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drawings/drawing4.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洪强\Desktop\"/>
    </mc:Choice>
  </mc:AlternateContent>
  <bookViews>
    <workbookView xWindow="10935" yWindow="390" windowWidth="13560" windowHeight="8100" tabRatio="831" firstSheet="2" activeTab="11"/>
  </bookViews>
  <sheets>
    <sheet name="Knight" sheetId="1" state="veryHidden" r:id="rId1"/>
    <sheet name="流程" sheetId="2" state="hidden" r:id="rId2"/>
    <sheet name="附件1总汇总表" sheetId="3" r:id="rId3"/>
    <sheet name="附件2编制说明" sheetId="4" r:id="rId4"/>
    <sheet name="附件3-1汇总表" sheetId="5" r:id="rId5"/>
    <sheet name="附件3-2套内汇总表" sheetId="6" r:id="rId6"/>
    <sheet name="附件3-3公共汇总表" sheetId="7" r:id="rId7"/>
    <sheet name="附件4-1套内1" sheetId="8" r:id="rId8"/>
    <sheet name="附件4-2套内 2" sheetId="9" r:id="rId9"/>
    <sheet name="附件4-3大堂(旧标) " sheetId="10" r:id="rId10"/>
    <sheet name="大堂(新标)" sheetId="11" state="hidden" r:id="rId11"/>
    <sheet name="附件4-4电梯间(旧标)" sheetId="12" r:id="rId12"/>
    <sheet name="电梯间(新标)" sheetId="13" state="hidden" r:id="rId13"/>
    <sheet name="附件4-5地下室电梯厅" sheetId="14" r:id="rId14"/>
    <sheet name="附件4-6入户门" sheetId="15" r:id="rId15"/>
    <sheet name="门廊" sheetId="16" state="hidden" r:id="rId16"/>
    <sheet name="商铺外立面" sheetId="17" state="hidden" r:id="rId17"/>
    <sheet name="门牌安装(仅仅个别地区有)" sheetId="18" state="hidden" r:id="rId18"/>
    <sheet name="附件4-7布草间" sheetId="19" r:id="rId19"/>
    <sheet name="附件4-8甲供材料清单" sheetId="20" r:id="rId20"/>
    <sheet name="原清单列" sheetId="21" state="hidden" r:id="rId21"/>
    <sheet name="A单元" sheetId="22" r:id="rId22"/>
    <sheet name="C单元" sheetId="23" r:id="rId23"/>
    <sheet name="B单元" sheetId="24" r:id="rId24"/>
    <sheet name="A1单元 " sheetId="25" r:id="rId25"/>
    <sheet name="H单元" sheetId="26" r:id="rId26"/>
    <sheet name="D单元 " sheetId="27" r:id="rId27"/>
    <sheet name="I单元" sheetId="28" r:id="rId28"/>
    <sheet name="E单元" sheetId="29" r:id="rId29"/>
    <sheet name="F单元" sheetId="30" r:id="rId30"/>
    <sheet name="G单元 " sheetId="31" r:id="rId31"/>
    <sheet name="J单元" sheetId="32" r:id="rId32"/>
    <sheet name="K单元 " sheetId="33" r:id="rId33"/>
  </sheets>
  <functionGroups builtInGroupCount="18"/>
  <externalReferences>
    <externalReference r:id="rId34"/>
    <externalReference r:id="rId35"/>
    <externalReference r:id="rId36"/>
    <externalReference r:id="rId37"/>
  </externalReferences>
  <definedNames>
    <definedName name="_xlnm._FilterDatabase" localSheetId="10" hidden="1">'大堂(新标)'!$A$6:$IU$207</definedName>
    <definedName name="_xlnm._FilterDatabase" localSheetId="12" hidden="1">'电梯间(新标)'!$A$6:$IL$88</definedName>
    <definedName name="_xlnm._FilterDatabase" localSheetId="7" hidden="1">'附件4-1套内1'!$A$13:$AP$336</definedName>
    <definedName name="_xlnm._FilterDatabase" localSheetId="8" hidden="1">'附件4-2套内 2'!$A$13:$AC$339</definedName>
    <definedName name="_xlnm._FilterDatabase" localSheetId="9" hidden="1">'附件4-3大堂(旧标) '!$A$6:$U$209</definedName>
    <definedName name="_xlnm._FilterDatabase" localSheetId="11" hidden="1">'附件4-4电梯间(旧标)'!$B$6:$BB$98</definedName>
    <definedName name="_xlnm._FilterDatabase" localSheetId="13" hidden="1">'附件4-5地下室电梯厅'!$A$6:$O$53</definedName>
    <definedName name="_xlnm._FilterDatabase" localSheetId="14" hidden="1">'附件4-6入户门'!$A$5:$K$34</definedName>
    <definedName name="_xlnm._FilterDatabase" localSheetId="18" hidden="1">'附件4-7布草间'!$A$6:$O$71</definedName>
    <definedName name="_xlnm._FilterDatabase" localSheetId="19" hidden="1">'附件4-8甲供材料清单'!$A$4:$IM$71</definedName>
    <definedName name="_xlnm._FilterDatabase" localSheetId="15" hidden="1">门廊!$B$5:$AI$130</definedName>
    <definedName name="_xlnm._FilterDatabase" localSheetId="16" hidden="1">商铺外立面!$A$4:$Q$50</definedName>
    <definedName name="a" localSheetId="24">'[1]2006年10月'!#REF!</definedName>
    <definedName name="a" localSheetId="26">'[1]2006年10月'!#REF!</definedName>
    <definedName name="a" localSheetId="29">'[1]2006年10月'!#REF!</definedName>
    <definedName name="a" localSheetId="30">'[1]2006年10月'!#REF!</definedName>
    <definedName name="a" localSheetId="25">'[1]2006年10月'!#REF!</definedName>
    <definedName name="a" localSheetId="31">'[1]2006年10月'!#REF!</definedName>
    <definedName name="a" localSheetId="32">'[1]2006年10月'!#REF!</definedName>
    <definedName name="a" localSheetId="2">'[1]2006年10月'!#REF!</definedName>
    <definedName name="a" localSheetId="8">'[1]2006年10月'!#REF!</definedName>
    <definedName name="a" localSheetId="18">'[1]2006年10月'!#REF!</definedName>
    <definedName name="a">'[1]2006年10月'!#REF!</definedName>
    <definedName name="d" localSheetId="24">'[1]2006年10月'!#REF!</definedName>
    <definedName name="d" localSheetId="26">'[1]2006年10月'!#REF!</definedName>
    <definedName name="d" localSheetId="29">'[1]2006年10月'!#REF!</definedName>
    <definedName name="d" localSheetId="30">'[1]2006年10月'!#REF!</definedName>
    <definedName name="d" localSheetId="25">'[1]2006年10月'!#REF!</definedName>
    <definedName name="d" localSheetId="31">'[1]2006年10月'!#REF!</definedName>
    <definedName name="d" localSheetId="32">'[1]2006年10月'!#REF!</definedName>
    <definedName name="d" localSheetId="2">'[1]2006年10月'!#REF!</definedName>
    <definedName name="d" localSheetId="8">'[1]2006年10月'!#REF!</definedName>
    <definedName name="d" localSheetId="18">'[1]2006年10月'!#REF!</definedName>
    <definedName name="d">'[1]2006年10月'!#REF!</definedName>
    <definedName name="f" localSheetId="24">'[1]2006年10月'!#REF!</definedName>
    <definedName name="f" localSheetId="26">'[1]2006年10月'!#REF!</definedName>
    <definedName name="f" localSheetId="29">'[1]2006年10月'!#REF!</definedName>
    <definedName name="f" localSheetId="30">'[1]2006年10月'!#REF!</definedName>
    <definedName name="f" localSheetId="25">'[1]2006年10月'!#REF!</definedName>
    <definedName name="f" localSheetId="31">'[1]2006年10月'!#REF!</definedName>
    <definedName name="f" localSheetId="32">'[1]2006年10月'!#REF!</definedName>
    <definedName name="f" localSheetId="2">'[1]2006年10月'!#REF!</definedName>
    <definedName name="f" localSheetId="8">'[1]2006年10月'!#REF!</definedName>
    <definedName name="f" localSheetId="18">'[1]2006年10月'!#REF!</definedName>
    <definedName name="f">'[1]2006年10月'!#REF!</definedName>
    <definedName name="_xlnm.Print_Area" localSheetId="10">'大堂(新标)'!$B$1:Y207</definedName>
    <definedName name="_xlnm.Print_Area" localSheetId="12">'电梯间(新标)'!$B$1:Y112</definedName>
    <definedName name="_xlnm.Print_Area" localSheetId="2">附件1总汇总表!$A$1:$D$13</definedName>
    <definedName name="_xlnm.Print_Area" localSheetId="4">'附件3-1汇总表'!$A$1:$G$17</definedName>
    <definedName name="_xlnm.Print_Area" localSheetId="5">'附件3-2套内汇总表'!$A$1:$L$17</definedName>
    <definedName name="_xlnm.Print_Area" localSheetId="6">'附件3-3公共汇总表'!$A$1:$I$24</definedName>
    <definedName name="_xlnm.Print_Area" localSheetId="7">'附件4-1套内1'!$B$8:$Y$336</definedName>
    <definedName name="_xlnm.Print_Area" localSheetId="8">'附件4-2套内 2'!$A$8:$R$339</definedName>
    <definedName name="_xlnm.Print_Area" localSheetId="9">'附件4-3大堂(旧标) '!$B$1:$P$209</definedName>
    <definedName name="_xlnm.Print_Area" localSheetId="11">'附件4-4电梯间(旧标)'!$B$1:$AM$98</definedName>
    <definedName name="_xlnm.Print_Area" localSheetId="13">'附件4-5地下室电梯厅'!$B$1:$L$53</definedName>
    <definedName name="_xlnm.Print_Area" localSheetId="14">'附件4-6入户门'!$A$1:$J$34</definedName>
    <definedName name="_xlnm.Print_Area" localSheetId="18">'附件4-7布草间'!$B$1:$L$71</definedName>
    <definedName name="_xlnm.Print_Area" localSheetId="19">'附件4-8甲供材料清单'!$A$1:$L$243</definedName>
    <definedName name="_xlnm.Print_Area" localSheetId="15">门廊!$B$1:Y130</definedName>
    <definedName name="_xlnm.Print_Area" localSheetId="16">商铺外立面!$B$1:Q50</definedName>
    <definedName name="_xlnm.Print_Titles" localSheetId="10">'大堂(新标)'!$2:6</definedName>
    <definedName name="_xlnm.Print_Titles" localSheetId="12">'电梯间(新标)'!$2:6</definedName>
    <definedName name="_xlnm.Print_Titles" localSheetId="3">附件2编制说明!$1:$2</definedName>
    <definedName name="_xlnm.Print_Titles" localSheetId="7">'附件4-1套内1'!$9:$13</definedName>
    <definedName name="_xlnm.Print_Titles" localSheetId="8">'附件4-2套内 2'!$9:$13</definedName>
    <definedName name="_xlnm.Print_Titles" localSheetId="9">'附件4-3大堂(旧标) '!$2:$6</definedName>
    <definedName name="_xlnm.Print_Titles" localSheetId="11">'附件4-4电梯间(旧标)'!$2:$6</definedName>
    <definedName name="_xlnm.Print_Titles" localSheetId="13">'附件4-5地下室电梯厅'!$2:$6</definedName>
    <definedName name="_xlnm.Print_Titles" localSheetId="14">'附件4-6入户门'!$2:$5</definedName>
    <definedName name="_xlnm.Print_Titles" localSheetId="18">'附件4-7布草间'!$2:$6</definedName>
    <definedName name="_xlnm.Print_Titles" localSheetId="19">'附件4-8甲供材料清单'!$1:$4</definedName>
    <definedName name="_xlnm.Print_Titles" localSheetId="15">门廊!$2:6</definedName>
    <definedName name="_xlnm.Print_Titles" localSheetId="16">商铺外立面!$2:6</definedName>
    <definedName name="s" localSheetId="24">'[1]2006年10月'!#REF!</definedName>
    <definedName name="s" localSheetId="26">'[1]2006年10月'!#REF!</definedName>
    <definedName name="s" localSheetId="29">'[1]2006年10月'!#REF!</definedName>
    <definedName name="s" localSheetId="30">'[1]2006年10月'!#REF!</definedName>
    <definedName name="s" localSheetId="25">'[1]2006年10月'!#REF!</definedName>
    <definedName name="s" localSheetId="31">'[1]2006年10月'!#REF!</definedName>
    <definedName name="s" localSheetId="32">'[1]2006年10月'!#REF!</definedName>
    <definedName name="s" localSheetId="2">'[1]2006年10月'!#REF!</definedName>
    <definedName name="s" localSheetId="8">'[1]2006年10月'!#REF!</definedName>
    <definedName name="s" localSheetId="18">'[1]2006年10月'!#REF!</definedName>
    <definedName name="s">'[1]2006年10月'!#REF!</definedName>
    <definedName name="v" localSheetId="24">'[1]2006年10月'!#REF!</definedName>
    <definedName name="v" localSheetId="26">'[1]2006年10月'!#REF!</definedName>
    <definedName name="v" localSheetId="29">'[1]2006年10月'!#REF!</definedName>
    <definedName name="v" localSheetId="30">'[1]2006年10月'!#REF!</definedName>
    <definedName name="v" localSheetId="25">'[1]2006年10月'!#REF!</definedName>
    <definedName name="v" localSheetId="31">'[1]2006年10月'!#REF!</definedName>
    <definedName name="v" localSheetId="32">'[1]2006年10月'!#REF!</definedName>
    <definedName name="v" localSheetId="2">'[1]2006年10月'!#REF!</definedName>
    <definedName name="v" localSheetId="8">'[1]2006年10月'!#REF!</definedName>
    <definedName name="v" localSheetId="18">'[1]2006年10月'!#REF!</definedName>
    <definedName name="v">'[1]2006年10月'!#REF!</definedName>
    <definedName name="Z_5EFBDE3D_A7E3_460E_8F88_A5E5F6908444_.wvu.PrintArea" localSheetId="2">附件1总汇总表!$A$1:$D$15</definedName>
    <definedName name="Z_5EFBDE3D_A7E3_460E_8F88_A5E5F6908444_.wvu.PrintArea" localSheetId="4">'附件3-1汇总表'!$A$1:$G$22</definedName>
    <definedName name="发" localSheetId="24">[2]室内汇总!$B$14:$C$20</definedName>
    <definedName name="发" localSheetId="21">[2]室内汇总!$B$14:$C$20</definedName>
    <definedName name="发" localSheetId="23">[2]室内汇总!$B$14:$C$20</definedName>
    <definedName name="发" localSheetId="22">[2]室内汇总!$B$14:$C$20</definedName>
    <definedName name="发" localSheetId="26">[2]室内汇总!$B$14:$C$20</definedName>
    <definedName name="发" localSheetId="28">[2]室内汇总!$B$14:$C$20</definedName>
    <definedName name="发" localSheetId="29">[2]室内汇总!$B$14:$C$20</definedName>
    <definedName name="发" localSheetId="30">[2]室内汇总!$B$14:$C$20</definedName>
    <definedName name="发" localSheetId="25">[2]室内汇总!$B$14:$C$20</definedName>
    <definedName name="发" localSheetId="27">[2]室内汇总!$B$14:$C$20</definedName>
    <definedName name="发" localSheetId="31">[2]室内汇总!$B$14:$C$20</definedName>
    <definedName name="发" localSheetId="32">[2]室内汇总!$B$14:$C$20</definedName>
    <definedName name="发" localSheetId="2">[3]室内汇总!$B$14:$C$20</definedName>
    <definedName name="发" localSheetId="4">[3]室内汇总!$B$14:$C$20</definedName>
    <definedName name="发">[4]室内汇总!$B$14:$C$20</definedName>
    <definedName name="绿景地产股份有限公司" localSheetId="24">'[1]2006年10月'!#REF!</definedName>
    <definedName name="绿景地产股份有限公司" localSheetId="21">'[1]2006年10月'!#REF!</definedName>
    <definedName name="绿景地产股份有限公司" localSheetId="23">'[1]2006年10月'!#REF!</definedName>
    <definedName name="绿景地产股份有限公司" localSheetId="22">'[1]2006年10月'!#REF!</definedName>
    <definedName name="绿景地产股份有限公司" localSheetId="26">'[1]2006年10月'!#REF!</definedName>
    <definedName name="绿景地产股份有限公司" localSheetId="28">'[1]2006年10月'!#REF!</definedName>
    <definedName name="绿景地产股份有限公司" localSheetId="29">'[1]2006年10月'!#REF!</definedName>
    <definedName name="绿景地产股份有限公司" localSheetId="30">'[1]2006年10月'!#REF!</definedName>
    <definedName name="绿景地产股份有限公司" localSheetId="25">'[1]2006年10月'!#REF!</definedName>
    <definedName name="绿景地产股份有限公司" localSheetId="27">'[1]2006年10月'!#REF!</definedName>
    <definedName name="绿景地产股份有限公司" localSheetId="31">'[1]2006年10月'!#REF!</definedName>
    <definedName name="绿景地产股份有限公司" localSheetId="32">'[1]2006年10月'!#REF!</definedName>
    <definedName name="绿景地产股份有限公司" localSheetId="2">'[1]2006年10月'!#REF!</definedName>
    <definedName name="绿景地产股份有限公司" localSheetId="8">'[1]2006年10月'!#REF!</definedName>
    <definedName name="绿景地产股份有限公司" localSheetId="9">'[1]2006年10月'!#REF!</definedName>
    <definedName name="绿景地产股份有限公司" localSheetId="18">'[1]2006年10月'!#REF!</definedName>
    <definedName name="绿景地产股份有限公司">'[1]2006年10月'!#REF!</definedName>
    <definedName name="图号2" localSheetId="24">[2]室内汇总!$B$4:$C$11</definedName>
    <definedName name="图号2" localSheetId="21">[2]室内汇总!$B$4:$C$11</definedName>
    <definedName name="图号2" localSheetId="23">[2]室内汇总!$B$4:$C$11</definedName>
    <definedName name="图号2" localSheetId="22">[2]室内汇总!$B$4:$C$11</definedName>
    <definedName name="图号2" localSheetId="26">[2]室内汇总!$B$4:$C$11</definedName>
    <definedName name="图号2" localSheetId="28">[2]室内汇总!$B$4:$C$11</definedName>
    <definedName name="图号2" localSheetId="29">[2]室内汇总!$B$4:$C$11</definedName>
    <definedName name="图号2" localSheetId="30">[2]室内汇总!$B$4:$C$11</definedName>
    <definedName name="图号2" localSheetId="25">[2]室内汇总!$B$4:$C$11</definedName>
    <definedName name="图号2" localSheetId="27">[2]室内汇总!$B$4:$C$11</definedName>
    <definedName name="图号2" localSheetId="31">[2]室内汇总!$B$4:$C$11</definedName>
    <definedName name="图号2" localSheetId="32">[2]室内汇总!$B$4:$C$11</definedName>
    <definedName name="图号2" localSheetId="2">[3]室内汇总!$B$4:$C$11</definedName>
    <definedName name="图号2" localSheetId="4">[3]室内汇总!$B$4:$C$11</definedName>
    <definedName name="图号2">[4]室内汇总!$B$4:$C$11</definedName>
    <definedName name="图号3" localSheetId="24">[2]室内汇总!$B$14:$C$20</definedName>
    <definedName name="图号3" localSheetId="21">[2]室内汇总!$B$14:$C$20</definedName>
    <definedName name="图号3" localSheetId="23">[2]室内汇总!$B$14:$C$20</definedName>
    <definedName name="图号3" localSheetId="22">[2]室内汇总!$B$14:$C$20</definedName>
    <definedName name="图号3" localSheetId="26">[2]室内汇总!$B$14:$C$20</definedName>
    <definedName name="图号3" localSheetId="28">[2]室内汇总!$B$14:$C$20</definedName>
    <definedName name="图号3" localSheetId="29">[2]室内汇总!$B$14:$C$20</definedName>
    <definedName name="图号3" localSheetId="30">[2]室内汇总!$B$14:$C$20</definedName>
    <definedName name="图号3" localSheetId="25">[2]室内汇总!$B$14:$C$20</definedName>
    <definedName name="图号3" localSheetId="27">[2]室内汇总!$B$14:$C$20</definedName>
    <definedName name="图号3" localSheetId="31">[2]室内汇总!$B$14:$C$20</definedName>
    <definedName name="图号3" localSheetId="32">[2]室内汇总!$B$14:$C$20</definedName>
    <definedName name="图号3" localSheetId="2">[3]室内汇总!$B$14:$C$20</definedName>
    <definedName name="图号3" localSheetId="4">[3]室内汇总!$B$14:$C$20</definedName>
    <definedName name="图号3">[4]室内汇总!$B$14:$C$20</definedName>
  </definedNames>
  <calcPr calcId="162913" iterate="1" concurrentCalc="0"/>
</workbook>
</file>

<file path=xl/calcChain.xml><?xml version="1.0" encoding="utf-8"?>
<calcChain xmlns="http://schemas.openxmlformats.org/spreadsheetml/2006/main">
  <c r="I72" i="10" l="1"/>
  <c r="I74" i="10"/>
  <c r="I73" i="10"/>
  <c r="I16" i="10"/>
  <c r="I15" i="10"/>
  <c r="I187" i="10"/>
  <c r="I188" i="10"/>
  <c r="I189" i="10"/>
  <c r="I190" i="10"/>
  <c r="I186" i="10"/>
  <c r="I185" i="10"/>
  <c r="I184" i="10"/>
  <c r="I177" i="10"/>
  <c r="I178" i="10"/>
  <c r="I179" i="10"/>
  <c r="I174" i="10"/>
  <c r="I175" i="10"/>
  <c r="I176" i="10"/>
  <c r="I173" i="10"/>
  <c r="I172" i="10"/>
  <c r="I170" i="10"/>
  <c r="I169" i="10"/>
  <c r="I167" i="10"/>
  <c r="I166" i="10"/>
  <c r="I165" i="10"/>
  <c r="I164" i="10"/>
  <c r="I154" i="10"/>
  <c r="I153" i="10"/>
  <c r="I148" i="10"/>
  <c r="I140" i="10"/>
  <c r="I139" i="10"/>
  <c r="I12" i="10"/>
  <c r="I11" i="10"/>
  <c r="I9" i="10"/>
  <c r="I18" i="9"/>
  <c r="M18" i="9"/>
  <c r="J190" i="10"/>
  <c r="N190" i="10"/>
  <c r="E190" i="10"/>
  <c r="I315" i="9"/>
  <c r="N315" i="9"/>
  <c r="M312" i="8"/>
  <c r="W312" i="8"/>
  <c r="E56" i="33"/>
  <c r="F54" i="33"/>
  <c r="I7" i="33"/>
  <c r="J7" i="33"/>
  <c r="M54" i="33"/>
  <c r="O54" i="33"/>
  <c r="N54" i="33"/>
  <c r="W44" i="33"/>
  <c r="W48" i="33"/>
  <c r="V44" i="33"/>
  <c r="V48" i="33"/>
  <c r="U48" i="33"/>
  <c r="R44" i="33"/>
  <c r="R46" i="33"/>
  <c r="R48" i="33"/>
  <c r="Q48" i="33"/>
  <c r="P48" i="33"/>
  <c r="O48" i="33"/>
  <c r="N48" i="33"/>
  <c r="M48" i="33"/>
  <c r="L48" i="33"/>
  <c r="E48" i="33"/>
  <c r="T46" i="33"/>
  <c r="F46" i="33"/>
  <c r="H7" i="33"/>
  <c r="S46" i="33"/>
  <c r="F45" i="33"/>
  <c r="T44" i="33"/>
  <c r="T48" i="33"/>
  <c r="F92" i="9"/>
  <c r="F44" i="33"/>
  <c r="T38" i="33"/>
  <c r="W36" i="33"/>
  <c r="U25" i="33"/>
  <c r="U30" i="33"/>
  <c r="U35" i="33"/>
  <c r="U36" i="33"/>
  <c r="F49" i="9"/>
  <c r="J49" i="9"/>
  <c r="AA49" i="9"/>
  <c r="V35" i="33"/>
  <c r="T35" i="33"/>
  <c r="E35" i="33"/>
  <c r="F33" i="33"/>
  <c r="E33" i="33"/>
  <c r="D33" i="33"/>
  <c r="G7" i="33"/>
  <c r="K7" i="33"/>
  <c r="S33" i="33"/>
  <c r="S32" i="33"/>
  <c r="F31" i="33"/>
  <c r="V30" i="33"/>
  <c r="T30" i="33"/>
  <c r="E30" i="33"/>
  <c r="F28" i="33"/>
  <c r="D28" i="33"/>
  <c r="S28" i="33"/>
  <c r="E28" i="33"/>
  <c r="F27" i="33"/>
  <c r="S27" i="33"/>
  <c r="V25" i="33"/>
  <c r="V36" i="33"/>
  <c r="T25" i="33"/>
  <c r="T36" i="33"/>
  <c r="E25" i="33"/>
  <c r="F22" i="33"/>
  <c r="E22" i="33"/>
  <c r="D22" i="33"/>
  <c r="S22" i="33"/>
  <c r="S21" i="33"/>
  <c r="S25" i="33"/>
  <c r="V18" i="33"/>
  <c r="U18" i="33"/>
  <c r="E18" i="33"/>
  <c r="Q17" i="33"/>
  <c r="G17" i="33"/>
  <c r="T18" i="33"/>
  <c r="F17" i="33"/>
  <c r="D17" i="33"/>
  <c r="S17" i="33"/>
  <c r="F16" i="33"/>
  <c r="S16" i="33"/>
  <c r="F15" i="33"/>
  <c r="F14" i="33"/>
  <c r="S14" i="33"/>
  <c r="F12" i="33"/>
  <c r="S12" i="33"/>
  <c r="S44" i="33"/>
  <c r="S38" i="33"/>
  <c r="E56" i="32"/>
  <c r="N54" i="32"/>
  <c r="M54" i="32"/>
  <c r="F54" i="32"/>
  <c r="I7" i="32"/>
  <c r="J7" i="32"/>
  <c r="S52" i="32"/>
  <c r="T52" i="32"/>
  <c r="O54" i="32"/>
  <c r="W48" i="32"/>
  <c r="V48" i="32"/>
  <c r="U48" i="32"/>
  <c r="T44" i="32"/>
  <c r="T46" i="32"/>
  <c r="T48" i="32"/>
  <c r="F44" i="32"/>
  <c r="F45" i="32"/>
  <c r="H7" i="32"/>
  <c r="S44" i="32"/>
  <c r="F46" i="32"/>
  <c r="F47" i="32"/>
  <c r="S46" i="32"/>
  <c r="S48" i="32"/>
  <c r="Q48" i="32"/>
  <c r="P48" i="32"/>
  <c r="O48" i="32"/>
  <c r="N48" i="32"/>
  <c r="M48" i="32"/>
  <c r="L48" i="32"/>
  <c r="E48" i="32"/>
  <c r="R46" i="32"/>
  <c r="R44" i="32"/>
  <c r="R48" i="32"/>
  <c r="T38" i="32"/>
  <c r="G7" i="32"/>
  <c r="S38" i="32"/>
  <c r="W36" i="32"/>
  <c r="U25" i="32"/>
  <c r="U30" i="32"/>
  <c r="U35" i="32"/>
  <c r="U36" i="32"/>
  <c r="V35" i="32"/>
  <c r="T35" i="32"/>
  <c r="E35" i="32"/>
  <c r="F33" i="32"/>
  <c r="E33" i="32"/>
  <c r="D33" i="32"/>
  <c r="S32" i="32"/>
  <c r="F31" i="32"/>
  <c r="V30" i="32"/>
  <c r="T30" i="32"/>
  <c r="T25" i="32"/>
  <c r="T36" i="32"/>
  <c r="E30" i="32"/>
  <c r="D28" i="32"/>
  <c r="F28" i="32"/>
  <c r="K7" i="32"/>
  <c r="S28" i="32"/>
  <c r="E28" i="32"/>
  <c r="S27" i="32"/>
  <c r="S30" i="32"/>
  <c r="V25" i="32"/>
  <c r="E25" i="32"/>
  <c r="E36" i="32"/>
  <c r="F22" i="32"/>
  <c r="E22" i="32"/>
  <c r="D22" i="32"/>
  <c r="S22" i="32"/>
  <c r="S21" i="32"/>
  <c r="S25" i="32"/>
  <c r="V18" i="32"/>
  <c r="U18" i="32"/>
  <c r="T18" i="32"/>
  <c r="E18" i="32"/>
  <c r="Q17" i="32"/>
  <c r="F17" i="32"/>
  <c r="D17" i="32"/>
  <c r="F16" i="32"/>
  <c r="S16" i="32"/>
  <c r="F15" i="32"/>
  <c r="F14" i="32"/>
  <c r="S14" i="32"/>
  <c r="F12" i="32"/>
  <c r="S12" i="32"/>
  <c r="S33" i="32"/>
  <c r="E56" i="31"/>
  <c r="N54" i="31"/>
  <c r="M54" i="31"/>
  <c r="F54" i="31"/>
  <c r="T52" i="31"/>
  <c r="I7" i="31"/>
  <c r="J7" i="31"/>
  <c r="S52" i="31"/>
  <c r="O54" i="31"/>
  <c r="U48" i="31"/>
  <c r="R44" i="31"/>
  <c r="R46" i="31"/>
  <c r="R48" i="31"/>
  <c r="Q48" i="31"/>
  <c r="P48" i="31"/>
  <c r="O48" i="31"/>
  <c r="N48" i="31"/>
  <c r="M48" i="31"/>
  <c r="L48" i="31"/>
  <c r="E48" i="31"/>
  <c r="W46" i="31"/>
  <c r="W48" i="31"/>
  <c r="V46" i="31"/>
  <c r="V48" i="31"/>
  <c r="T46" i="31"/>
  <c r="T44" i="31"/>
  <c r="T48" i="31"/>
  <c r="F44" i="31"/>
  <c r="H7" i="31"/>
  <c r="S44" i="31"/>
  <c r="T38" i="31"/>
  <c r="W36" i="31"/>
  <c r="U25" i="31"/>
  <c r="U30" i="31"/>
  <c r="U35" i="31"/>
  <c r="U36" i="31"/>
  <c r="V35" i="31"/>
  <c r="T35" i="31"/>
  <c r="E35" i="31"/>
  <c r="E33" i="31"/>
  <c r="D33" i="31"/>
  <c r="G7" i="31"/>
  <c r="K7" i="31"/>
  <c r="S33" i="31"/>
  <c r="S32" i="31"/>
  <c r="V30" i="31"/>
  <c r="T30" i="31"/>
  <c r="E30" i="31"/>
  <c r="F28" i="31"/>
  <c r="E28" i="31"/>
  <c r="D28" i="31"/>
  <c r="F27" i="31"/>
  <c r="S27" i="31"/>
  <c r="V25" i="31"/>
  <c r="V36" i="31"/>
  <c r="T25" i="31"/>
  <c r="E25" i="31"/>
  <c r="E36" i="31"/>
  <c r="Q22" i="31"/>
  <c r="F22" i="31"/>
  <c r="E22" i="31"/>
  <c r="D22" i="31"/>
  <c r="S21" i="31"/>
  <c r="V18" i="31"/>
  <c r="U18" i="31"/>
  <c r="T18" i="31"/>
  <c r="E18" i="31"/>
  <c r="Q17" i="31"/>
  <c r="F17" i="31"/>
  <c r="D17" i="31"/>
  <c r="F16" i="31"/>
  <c r="S16" i="31"/>
  <c r="F15" i="31"/>
  <c r="F14" i="31"/>
  <c r="S14" i="31"/>
  <c r="F12" i="31"/>
  <c r="S12" i="31"/>
  <c r="S46" i="31"/>
  <c r="S38" i="31"/>
  <c r="E56" i="30"/>
  <c r="M54" i="30"/>
  <c r="H54" i="30"/>
  <c r="G54" i="30"/>
  <c r="F54" i="30"/>
  <c r="W44" i="30"/>
  <c r="W48" i="30"/>
  <c r="V44" i="30"/>
  <c r="V48" i="30"/>
  <c r="U48" i="30"/>
  <c r="R44" i="30"/>
  <c r="R46" i="30"/>
  <c r="R48" i="30"/>
  <c r="Q48" i="30"/>
  <c r="P48" i="30"/>
  <c r="O44" i="30"/>
  <c r="O48" i="30"/>
  <c r="N48" i="30"/>
  <c r="M48" i="30"/>
  <c r="L48" i="30"/>
  <c r="E48" i="30"/>
  <c r="T46" i="30"/>
  <c r="F45" i="30"/>
  <c r="T44" i="30"/>
  <c r="T48" i="30"/>
  <c r="F44" i="30"/>
  <c r="H7" i="30"/>
  <c r="S44" i="30"/>
  <c r="S46" i="30"/>
  <c r="S48" i="30"/>
  <c r="T38" i="30"/>
  <c r="W36" i="30"/>
  <c r="U25" i="30"/>
  <c r="U30" i="30"/>
  <c r="U35" i="30"/>
  <c r="U36" i="30"/>
  <c r="T25" i="30"/>
  <c r="T30" i="30"/>
  <c r="T35" i="30"/>
  <c r="T36" i="30"/>
  <c r="V35" i="30"/>
  <c r="E35" i="30"/>
  <c r="D33" i="30"/>
  <c r="S32" i="30"/>
  <c r="V30" i="30"/>
  <c r="E30" i="30"/>
  <c r="E28" i="30"/>
  <c r="D28" i="30"/>
  <c r="S27" i="30"/>
  <c r="V25" i="30"/>
  <c r="V36" i="30"/>
  <c r="E25" i="30"/>
  <c r="F22" i="30"/>
  <c r="E22" i="30"/>
  <c r="D22" i="30"/>
  <c r="S21" i="30"/>
  <c r="V18" i="30"/>
  <c r="U18" i="30"/>
  <c r="T18" i="30"/>
  <c r="E18" i="30"/>
  <c r="F17" i="30"/>
  <c r="D17" i="30"/>
  <c r="G7" i="30"/>
  <c r="I7" i="30"/>
  <c r="J7" i="30"/>
  <c r="K7" i="30"/>
  <c r="S17" i="30"/>
  <c r="F16" i="30"/>
  <c r="S16" i="30"/>
  <c r="F15" i="30"/>
  <c r="S14" i="30"/>
  <c r="E13" i="30"/>
  <c r="F12" i="30"/>
  <c r="S12" i="30"/>
  <c r="S28" i="30"/>
  <c r="E56" i="29"/>
  <c r="M54" i="29"/>
  <c r="H54" i="29"/>
  <c r="G54" i="29"/>
  <c r="F54" i="29"/>
  <c r="U48" i="29"/>
  <c r="T44" i="29"/>
  <c r="T46" i="29"/>
  <c r="T48" i="29"/>
  <c r="Q48" i="29"/>
  <c r="P48" i="29"/>
  <c r="N48" i="29"/>
  <c r="M48" i="29"/>
  <c r="L48" i="29"/>
  <c r="E48" i="29"/>
  <c r="H7" i="29"/>
  <c r="S46" i="29"/>
  <c r="R46" i="29"/>
  <c r="F45" i="29"/>
  <c r="W44" i="29"/>
  <c r="W48" i="29"/>
  <c r="V44" i="29"/>
  <c r="V48" i="29"/>
  <c r="R44" i="29"/>
  <c r="O44" i="29"/>
  <c r="O48" i="29"/>
  <c r="F44" i="29"/>
  <c r="S44" i="29"/>
  <c r="S48" i="29"/>
  <c r="T38" i="29"/>
  <c r="W36" i="29"/>
  <c r="V25" i="29"/>
  <c r="V30" i="29"/>
  <c r="V35" i="29"/>
  <c r="V36" i="29"/>
  <c r="E25" i="29"/>
  <c r="E30" i="29"/>
  <c r="E35" i="29"/>
  <c r="E36" i="29"/>
  <c r="U35" i="29"/>
  <c r="T35" i="29"/>
  <c r="D33" i="29"/>
  <c r="S32" i="29"/>
  <c r="U30" i="29"/>
  <c r="T30" i="29"/>
  <c r="E28" i="29"/>
  <c r="D28" i="29"/>
  <c r="S27" i="29"/>
  <c r="U25" i="29"/>
  <c r="U36" i="29"/>
  <c r="T25" i="29"/>
  <c r="F22" i="29"/>
  <c r="E22" i="29"/>
  <c r="D22" i="29"/>
  <c r="S21" i="29"/>
  <c r="V18" i="29"/>
  <c r="U18" i="29"/>
  <c r="T18" i="29"/>
  <c r="E18" i="29"/>
  <c r="F17" i="29"/>
  <c r="D17" i="29"/>
  <c r="F16" i="29"/>
  <c r="S16" i="29"/>
  <c r="F15" i="29"/>
  <c r="S14" i="29"/>
  <c r="E13" i="29"/>
  <c r="F12" i="29"/>
  <c r="S12" i="29"/>
  <c r="K7" i="29"/>
  <c r="J7" i="29"/>
  <c r="G7" i="29"/>
  <c r="I7" i="29"/>
  <c r="S22" i="29"/>
  <c r="S38" i="29"/>
  <c r="E56" i="28"/>
  <c r="M54" i="28"/>
  <c r="H54" i="28"/>
  <c r="G54" i="28"/>
  <c r="N54" i="28"/>
  <c r="F54" i="28"/>
  <c r="I7" i="28"/>
  <c r="J7" i="28"/>
  <c r="O54" i="28"/>
  <c r="S52" i="28"/>
  <c r="W48" i="28"/>
  <c r="V48" i="28"/>
  <c r="U48" i="28"/>
  <c r="T44" i="28"/>
  <c r="T46" i="28"/>
  <c r="T48" i="28"/>
  <c r="Q48" i="28"/>
  <c r="P48" i="28"/>
  <c r="O48" i="28"/>
  <c r="K115" i="8"/>
  <c r="K135" i="8"/>
  <c r="N48" i="28"/>
  <c r="M48" i="28"/>
  <c r="L48" i="28"/>
  <c r="E48" i="28"/>
  <c r="K91" i="8"/>
  <c r="R46" i="28"/>
  <c r="F45" i="28"/>
  <c r="R44" i="28"/>
  <c r="F44" i="28"/>
  <c r="T38" i="28"/>
  <c r="W36" i="28"/>
  <c r="V35" i="28"/>
  <c r="U35" i="28"/>
  <c r="T35" i="28"/>
  <c r="E35" i="28"/>
  <c r="F33" i="28"/>
  <c r="D33" i="28"/>
  <c r="F32" i="28"/>
  <c r="S32" i="28"/>
  <c r="V30" i="28"/>
  <c r="V25" i="28"/>
  <c r="V36" i="28"/>
  <c r="U30" i="28"/>
  <c r="T30" i="28"/>
  <c r="E30" i="28"/>
  <c r="E25" i="28"/>
  <c r="E36" i="28"/>
  <c r="F28" i="28"/>
  <c r="E28" i="28"/>
  <c r="D28" i="28"/>
  <c r="G7" i="28"/>
  <c r="H7" i="28"/>
  <c r="K7" i="28"/>
  <c r="S28" i="28"/>
  <c r="F27" i="28"/>
  <c r="S27" i="28"/>
  <c r="U25" i="28"/>
  <c r="U36" i="28"/>
  <c r="T25" i="28"/>
  <c r="T36" i="28"/>
  <c r="F22" i="28"/>
  <c r="D22" i="28"/>
  <c r="S22" i="28"/>
  <c r="E22" i="28"/>
  <c r="S21" i="28"/>
  <c r="V18" i="28"/>
  <c r="U18" i="28"/>
  <c r="T18" i="28"/>
  <c r="E18" i="28"/>
  <c r="F17" i="28"/>
  <c r="D17" i="28"/>
  <c r="F16" i="28"/>
  <c r="S16" i="28"/>
  <c r="F15" i="28"/>
  <c r="F14" i="28"/>
  <c r="S14" i="28"/>
  <c r="E13" i="28"/>
  <c r="F12" i="28"/>
  <c r="S12" i="28"/>
  <c r="S46" i="28"/>
  <c r="E56" i="27"/>
  <c r="N54" i="27"/>
  <c r="M54" i="27"/>
  <c r="F54" i="27"/>
  <c r="V44" i="27"/>
  <c r="V48" i="27"/>
  <c r="U48" i="27"/>
  <c r="Q48" i="27"/>
  <c r="P48" i="27"/>
  <c r="O48" i="27"/>
  <c r="N48" i="27"/>
  <c r="M48" i="27"/>
  <c r="L48" i="27"/>
  <c r="E48" i="27"/>
  <c r="T46" i="27"/>
  <c r="R46" i="27"/>
  <c r="F45" i="27"/>
  <c r="W44" i="27"/>
  <c r="W48" i="27"/>
  <c r="T44" i="27"/>
  <c r="R44" i="27"/>
  <c r="R48" i="27"/>
  <c r="F44" i="27"/>
  <c r="H7" i="27"/>
  <c r="S44" i="27"/>
  <c r="T38" i="27"/>
  <c r="W36" i="27"/>
  <c r="V25" i="27"/>
  <c r="V30" i="27"/>
  <c r="V35" i="27"/>
  <c r="V36" i="27"/>
  <c r="E25" i="27"/>
  <c r="E30" i="27"/>
  <c r="E35" i="27"/>
  <c r="E36" i="27"/>
  <c r="U35" i="27"/>
  <c r="T35" i="27"/>
  <c r="E33" i="27"/>
  <c r="D33" i="27"/>
  <c r="G7" i="27"/>
  <c r="I7" i="27"/>
  <c r="J7" i="27"/>
  <c r="K7" i="27"/>
  <c r="S33" i="27"/>
  <c r="S32" i="27"/>
  <c r="S35" i="27"/>
  <c r="U30" i="27"/>
  <c r="T30" i="27"/>
  <c r="F28" i="27"/>
  <c r="E28" i="27"/>
  <c r="D28" i="27"/>
  <c r="F27" i="27"/>
  <c r="S27" i="27"/>
  <c r="U25" i="27"/>
  <c r="T25" i="27"/>
  <c r="F22" i="27"/>
  <c r="E22" i="27"/>
  <c r="D22" i="27"/>
  <c r="S21" i="27"/>
  <c r="V18" i="27"/>
  <c r="U18" i="27"/>
  <c r="E18" i="27"/>
  <c r="Q17" i="27"/>
  <c r="H17" i="27"/>
  <c r="G17" i="27"/>
  <c r="T18" i="27"/>
  <c r="F17" i="27"/>
  <c r="D17" i="27"/>
  <c r="S17" i="27"/>
  <c r="F16" i="27"/>
  <c r="S16" i="27"/>
  <c r="F15" i="27"/>
  <c r="F14" i="27"/>
  <c r="S14" i="27"/>
  <c r="S12" i="27"/>
  <c r="S46" i="27"/>
  <c r="S38" i="27"/>
  <c r="E56" i="26"/>
  <c r="N54" i="26"/>
  <c r="M54" i="26"/>
  <c r="F54" i="26"/>
  <c r="I7" i="26"/>
  <c r="J7" i="26"/>
  <c r="S52" i="26"/>
  <c r="T52" i="26"/>
  <c r="O54" i="26"/>
  <c r="W44" i="26"/>
  <c r="W48" i="26"/>
  <c r="U48" i="26"/>
  <c r="T44" i="26"/>
  <c r="T46" i="26"/>
  <c r="T48" i="26"/>
  <c r="Q48" i="26"/>
  <c r="P48" i="26"/>
  <c r="O48" i="26"/>
  <c r="N48" i="26"/>
  <c r="M48" i="26"/>
  <c r="L48" i="26"/>
  <c r="E48" i="26"/>
  <c r="R46" i="26"/>
  <c r="F45" i="26"/>
  <c r="V44" i="26"/>
  <c r="V48" i="26"/>
  <c r="F44" i="26"/>
  <c r="H7" i="26"/>
  <c r="S44" i="26"/>
  <c r="S46" i="26"/>
  <c r="S48" i="26"/>
  <c r="R44" i="26"/>
  <c r="R48" i="26"/>
  <c r="T38" i="26"/>
  <c r="G7" i="26"/>
  <c r="S38" i="26"/>
  <c r="W36" i="26"/>
  <c r="V35" i="26"/>
  <c r="U35" i="26"/>
  <c r="T35" i="26"/>
  <c r="E35" i="26"/>
  <c r="D33" i="26"/>
  <c r="F33" i="26"/>
  <c r="K7" i="26"/>
  <c r="S33" i="26"/>
  <c r="E33" i="26"/>
  <c r="S32" i="26"/>
  <c r="S35" i="26"/>
  <c r="F31" i="26"/>
  <c r="V30" i="26"/>
  <c r="U30" i="26"/>
  <c r="T30" i="26"/>
  <c r="T25" i="26"/>
  <c r="T36" i="26"/>
  <c r="E30" i="26"/>
  <c r="Q28" i="26"/>
  <c r="F28" i="26"/>
  <c r="E28" i="26"/>
  <c r="D28" i="26"/>
  <c r="S28" i="26"/>
  <c r="S27" i="26"/>
  <c r="V25" i="26"/>
  <c r="V36" i="26"/>
  <c r="U25" i="26"/>
  <c r="E25" i="26"/>
  <c r="E36" i="26"/>
  <c r="Q22" i="26"/>
  <c r="F22" i="26"/>
  <c r="E22" i="26"/>
  <c r="D22" i="26"/>
  <c r="S22" i="26"/>
  <c r="S21" i="26"/>
  <c r="V18" i="26"/>
  <c r="U18" i="26"/>
  <c r="E18" i="26"/>
  <c r="Q17" i="26"/>
  <c r="H17" i="26"/>
  <c r="T18" i="26"/>
  <c r="F17" i="26"/>
  <c r="D17" i="26"/>
  <c r="F16" i="26"/>
  <c r="S16" i="26"/>
  <c r="F15" i="26"/>
  <c r="F14" i="26"/>
  <c r="S14" i="26"/>
  <c r="S12" i="26"/>
  <c r="E56" i="25"/>
  <c r="N54" i="25"/>
  <c r="M54" i="25"/>
  <c r="F54" i="25"/>
  <c r="T52" i="25"/>
  <c r="S52" i="25"/>
  <c r="U48" i="25"/>
  <c r="T44" i="25"/>
  <c r="T46" i="25"/>
  <c r="T48" i="25"/>
  <c r="G92" i="9"/>
  <c r="M168" i="20"/>
  <c r="F44" i="25"/>
  <c r="H7" i="25"/>
  <c r="S44" i="25"/>
  <c r="S46" i="25"/>
  <c r="S48" i="25"/>
  <c r="Q48" i="25"/>
  <c r="P48" i="25"/>
  <c r="O48" i="25"/>
  <c r="N48" i="25"/>
  <c r="M48" i="25"/>
  <c r="L48" i="25"/>
  <c r="E48" i="25"/>
  <c r="G91" i="9"/>
  <c r="R46" i="25"/>
  <c r="W44" i="25"/>
  <c r="W48" i="25"/>
  <c r="V44" i="25"/>
  <c r="V48" i="25"/>
  <c r="R44" i="25"/>
  <c r="R48" i="25"/>
  <c r="T38" i="25"/>
  <c r="G7" i="25"/>
  <c r="S38" i="25"/>
  <c r="W36" i="25"/>
  <c r="T25" i="25"/>
  <c r="T30" i="25"/>
  <c r="T35" i="25"/>
  <c r="T36" i="25"/>
  <c r="V35" i="25"/>
  <c r="U35" i="25"/>
  <c r="E35" i="25"/>
  <c r="E33" i="25"/>
  <c r="D33" i="25"/>
  <c r="S32" i="25"/>
  <c r="V30" i="25"/>
  <c r="U30" i="25"/>
  <c r="E30" i="25"/>
  <c r="E28" i="25"/>
  <c r="D28" i="25"/>
  <c r="S27" i="25"/>
  <c r="V25" i="25"/>
  <c r="V36" i="25"/>
  <c r="U25" i="25"/>
  <c r="U36" i="25"/>
  <c r="E25" i="25"/>
  <c r="Q22" i="25"/>
  <c r="F22" i="25"/>
  <c r="E22" i="25"/>
  <c r="D22" i="25"/>
  <c r="S21" i="25"/>
  <c r="V18" i="25"/>
  <c r="U18" i="25"/>
  <c r="T18" i="25"/>
  <c r="E18" i="25"/>
  <c r="Q17" i="25"/>
  <c r="F17" i="25"/>
  <c r="D17" i="25"/>
  <c r="F16" i="25"/>
  <c r="S16" i="25"/>
  <c r="F15" i="25"/>
  <c r="F14" i="25"/>
  <c r="S14" i="25"/>
  <c r="S12" i="25"/>
  <c r="K7" i="25"/>
  <c r="J7" i="25"/>
  <c r="I7" i="25"/>
  <c r="E56" i="24"/>
  <c r="F54" i="24"/>
  <c r="I7" i="24"/>
  <c r="J7" i="24"/>
  <c r="M54" i="24"/>
  <c r="O54" i="24"/>
  <c r="N54" i="24"/>
  <c r="U48" i="24"/>
  <c r="T44" i="24"/>
  <c r="T46" i="24"/>
  <c r="T48" i="24"/>
  <c r="Q48" i="24"/>
  <c r="P48" i="24"/>
  <c r="O48" i="24"/>
  <c r="N48" i="24"/>
  <c r="M48" i="24"/>
  <c r="L48" i="24"/>
  <c r="E48" i="24"/>
  <c r="R46" i="24"/>
  <c r="W44" i="24"/>
  <c r="W48" i="24"/>
  <c r="V44" i="24"/>
  <c r="V48" i="24"/>
  <c r="F44" i="24"/>
  <c r="H7" i="24"/>
  <c r="S44" i="24"/>
  <c r="S46" i="24"/>
  <c r="S48" i="24"/>
  <c r="R44" i="24"/>
  <c r="R48" i="24"/>
  <c r="T38" i="24"/>
  <c r="W36" i="24"/>
  <c r="V35" i="24"/>
  <c r="U35" i="24"/>
  <c r="T35" i="24"/>
  <c r="T25" i="24"/>
  <c r="T30" i="24"/>
  <c r="T36" i="24"/>
  <c r="E35" i="24"/>
  <c r="E33" i="24"/>
  <c r="D33" i="24"/>
  <c r="S32" i="24"/>
  <c r="V30" i="24"/>
  <c r="U30" i="24"/>
  <c r="E30" i="24"/>
  <c r="R28" i="24"/>
  <c r="Q28" i="24"/>
  <c r="F28" i="24"/>
  <c r="E28" i="24"/>
  <c r="D28" i="24"/>
  <c r="F27" i="24"/>
  <c r="S27" i="24"/>
  <c r="V25" i="24"/>
  <c r="U25" i="24"/>
  <c r="U36" i="24"/>
  <c r="E25" i="24"/>
  <c r="E36" i="24"/>
  <c r="Q22" i="24"/>
  <c r="F22" i="24"/>
  <c r="E22" i="24"/>
  <c r="D22" i="24"/>
  <c r="S21" i="24"/>
  <c r="V18" i="24"/>
  <c r="U18" i="24"/>
  <c r="E18" i="24"/>
  <c r="Q17" i="24"/>
  <c r="H17" i="24"/>
  <c r="G17" i="24"/>
  <c r="F17" i="24"/>
  <c r="F16" i="24"/>
  <c r="S16" i="24"/>
  <c r="F15" i="24"/>
  <c r="F14" i="24"/>
  <c r="E14" i="24"/>
  <c r="D14" i="24"/>
  <c r="S12" i="24"/>
  <c r="D11" i="24"/>
  <c r="T18" i="24"/>
  <c r="K7" i="24"/>
  <c r="G7" i="24"/>
  <c r="E56" i="23"/>
  <c r="M54" i="23"/>
  <c r="H54" i="23"/>
  <c r="G54" i="23"/>
  <c r="N54" i="23"/>
  <c r="F54" i="23"/>
  <c r="W48" i="23"/>
  <c r="V48" i="23"/>
  <c r="U48" i="23"/>
  <c r="R44" i="23"/>
  <c r="R46" i="23"/>
  <c r="R48" i="23"/>
  <c r="Q48" i="23"/>
  <c r="P48" i="23"/>
  <c r="O44" i="23"/>
  <c r="O48" i="23"/>
  <c r="N48" i="23"/>
  <c r="M48" i="23"/>
  <c r="L48" i="23"/>
  <c r="E48" i="23"/>
  <c r="T46" i="23"/>
  <c r="F45" i="23"/>
  <c r="T44" i="23"/>
  <c r="T48" i="23"/>
  <c r="F44" i="23"/>
  <c r="H7" i="23"/>
  <c r="S44" i="23"/>
  <c r="S46" i="23"/>
  <c r="S48" i="23"/>
  <c r="T38" i="23"/>
  <c r="W36" i="23"/>
  <c r="V25" i="23"/>
  <c r="V30" i="23"/>
  <c r="V35" i="23"/>
  <c r="V36" i="23"/>
  <c r="E25" i="23"/>
  <c r="E30" i="23"/>
  <c r="E35" i="23"/>
  <c r="E36" i="23"/>
  <c r="U35" i="23"/>
  <c r="T35" i="23"/>
  <c r="D33" i="23"/>
  <c r="S32" i="23"/>
  <c r="U30" i="23"/>
  <c r="T30" i="23"/>
  <c r="E28" i="23"/>
  <c r="D28" i="23"/>
  <c r="S27" i="23"/>
  <c r="U25" i="23"/>
  <c r="U36" i="23"/>
  <c r="T25" i="23"/>
  <c r="Q22" i="23"/>
  <c r="F22" i="23"/>
  <c r="E22" i="23"/>
  <c r="D22" i="23"/>
  <c r="G7" i="23"/>
  <c r="I7" i="23"/>
  <c r="J7" i="23"/>
  <c r="K7" i="23"/>
  <c r="S22" i="23"/>
  <c r="S21" i="23"/>
  <c r="V18" i="23"/>
  <c r="U18" i="23"/>
  <c r="T18" i="23"/>
  <c r="E18" i="23"/>
  <c r="Q17" i="23"/>
  <c r="F17" i="23"/>
  <c r="D17" i="23"/>
  <c r="F16" i="23"/>
  <c r="S16" i="23"/>
  <c r="F15" i="23"/>
  <c r="S14" i="23"/>
  <c r="E13" i="23"/>
  <c r="F12" i="23"/>
  <c r="S12" i="23"/>
  <c r="O54" i="23"/>
  <c r="S38" i="23"/>
  <c r="E56" i="22"/>
  <c r="W54" i="22"/>
  <c r="V54" i="22"/>
  <c r="M54" i="22"/>
  <c r="H54" i="22"/>
  <c r="G54" i="22"/>
  <c r="N54" i="22"/>
  <c r="F54" i="22"/>
  <c r="W48" i="22"/>
  <c r="V48" i="22"/>
  <c r="U48" i="22"/>
  <c r="R44" i="22"/>
  <c r="R46" i="22"/>
  <c r="R48" i="22"/>
  <c r="Q48" i="22"/>
  <c r="P48" i="22"/>
  <c r="O48" i="22"/>
  <c r="N48" i="22"/>
  <c r="M48" i="22"/>
  <c r="L48" i="22"/>
  <c r="E48" i="22"/>
  <c r="T46" i="22"/>
  <c r="T44" i="22"/>
  <c r="F44" i="22"/>
  <c r="H7" i="22"/>
  <c r="S44" i="22"/>
  <c r="T38" i="22"/>
  <c r="G7" i="22"/>
  <c r="S38" i="22"/>
  <c r="W36" i="22"/>
  <c r="T25" i="22"/>
  <c r="T30" i="22"/>
  <c r="T35" i="22"/>
  <c r="T36" i="22"/>
  <c r="V35" i="22"/>
  <c r="U35" i="22"/>
  <c r="E35" i="22"/>
  <c r="D33" i="22"/>
  <c r="S32" i="22"/>
  <c r="V30" i="22"/>
  <c r="U30" i="22"/>
  <c r="U25" i="22"/>
  <c r="U36" i="22"/>
  <c r="E30" i="22"/>
  <c r="E28" i="22"/>
  <c r="D28" i="22"/>
  <c r="S27" i="22"/>
  <c r="V25" i="22"/>
  <c r="E25" i="22"/>
  <c r="E36" i="22"/>
  <c r="F22" i="22"/>
  <c r="E22" i="22"/>
  <c r="D22" i="22"/>
  <c r="S21" i="22"/>
  <c r="V18" i="22"/>
  <c r="U18" i="22"/>
  <c r="T18" i="22"/>
  <c r="E18" i="22"/>
  <c r="F17" i="22"/>
  <c r="D17" i="22"/>
  <c r="I7" i="22"/>
  <c r="J7" i="22"/>
  <c r="K7" i="22"/>
  <c r="S17" i="22"/>
  <c r="F16" i="22"/>
  <c r="S16" i="22"/>
  <c r="F15" i="22"/>
  <c r="F14" i="22"/>
  <c r="S14" i="22"/>
  <c r="E13" i="22"/>
  <c r="F12" i="22"/>
  <c r="S12" i="22"/>
  <c r="S46" i="22"/>
  <c r="E54" i="21"/>
  <c r="I7" i="21"/>
  <c r="J7" i="21"/>
  <c r="O52" i="21"/>
  <c r="N52" i="21"/>
  <c r="W46" i="21"/>
  <c r="V46" i="21"/>
  <c r="U46" i="21"/>
  <c r="T44" i="21"/>
  <c r="T45" i="21"/>
  <c r="T46" i="21"/>
  <c r="Q46" i="21"/>
  <c r="P46" i="21"/>
  <c r="O46" i="21"/>
  <c r="N46" i="21"/>
  <c r="M46" i="21"/>
  <c r="L46" i="21"/>
  <c r="E46" i="21"/>
  <c r="R45" i="21"/>
  <c r="R44" i="21"/>
  <c r="R46" i="21"/>
  <c r="T38" i="21"/>
  <c r="G7" i="21"/>
  <c r="H7" i="21"/>
  <c r="S38" i="21"/>
  <c r="W36" i="21"/>
  <c r="U25" i="21"/>
  <c r="U30" i="21"/>
  <c r="U35" i="21"/>
  <c r="U36" i="21"/>
  <c r="T25" i="21"/>
  <c r="T30" i="21"/>
  <c r="T35" i="21"/>
  <c r="T36" i="21"/>
  <c r="V35" i="21"/>
  <c r="E35" i="21"/>
  <c r="E33" i="21"/>
  <c r="D33" i="21"/>
  <c r="S32" i="21"/>
  <c r="V30" i="21"/>
  <c r="V25" i="21"/>
  <c r="V36" i="21"/>
  <c r="E30" i="21"/>
  <c r="E28" i="21"/>
  <c r="D28" i="21"/>
  <c r="K7" i="21"/>
  <c r="S28" i="21"/>
  <c r="S27" i="21"/>
  <c r="S30" i="21"/>
  <c r="S21" i="21"/>
  <c r="D22" i="21"/>
  <c r="S22" i="21"/>
  <c r="S25" i="21"/>
  <c r="E25" i="21"/>
  <c r="E22" i="21"/>
  <c r="V18" i="21"/>
  <c r="U18" i="21"/>
  <c r="T18" i="21"/>
  <c r="E18" i="21"/>
  <c r="D17" i="21"/>
  <c r="S16" i="21"/>
  <c r="F15" i="21"/>
  <c r="S14" i="21"/>
  <c r="S12" i="21"/>
  <c r="S33" i="21"/>
  <c r="M238" i="20"/>
  <c r="K173" i="10"/>
  <c r="U173" i="10"/>
  <c r="M237" i="20"/>
  <c r="M236" i="20"/>
  <c r="M235" i="20"/>
  <c r="M227" i="20"/>
  <c r="M223" i="20"/>
  <c r="M222" i="20"/>
  <c r="N222" i="20"/>
  <c r="M221" i="20"/>
  <c r="M220" i="20"/>
  <c r="M196" i="20"/>
  <c r="M195" i="20"/>
  <c r="M194" i="20"/>
  <c r="M193" i="20"/>
  <c r="N28" i="13"/>
  <c r="AP28" i="13"/>
  <c r="M192" i="20"/>
  <c r="M191" i="20"/>
  <c r="N46" i="11"/>
  <c r="M190" i="20"/>
  <c r="M189" i="20"/>
  <c r="M188" i="20"/>
  <c r="M187" i="20"/>
  <c r="M186" i="20"/>
  <c r="M185" i="20"/>
  <c r="M131" i="20"/>
  <c r="M130" i="20"/>
  <c r="M128" i="20"/>
  <c r="M127" i="20"/>
  <c r="M126" i="20"/>
  <c r="M125" i="20"/>
  <c r="N125" i="20"/>
  <c r="M124" i="20"/>
  <c r="M123" i="20"/>
  <c r="M19" i="20"/>
  <c r="M18" i="20"/>
  <c r="J155" i="9"/>
  <c r="M17" i="20"/>
  <c r="N91" i="8"/>
  <c r="M16" i="20"/>
  <c r="H35" i="19"/>
  <c r="M15" i="20"/>
  <c r="M14" i="20"/>
  <c r="M13" i="20"/>
  <c r="M12" i="20"/>
  <c r="N212" i="8"/>
  <c r="M11" i="20"/>
  <c r="J48" i="9"/>
  <c r="M10" i="20"/>
  <c r="J40" i="9"/>
  <c r="AC40" i="9"/>
  <c r="M9" i="20"/>
  <c r="J30" i="9"/>
  <c r="M8" i="20"/>
  <c r="M7" i="20"/>
  <c r="G62" i="19"/>
  <c r="G61" i="19"/>
  <c r="G60" i="19"/>
  <c r="G55" i="19"/>
  <c r="G64" i="19"/>
  <c r="G54" i="19"/>
  <c r="G63" i="19"/>
  <c r="G53" i="19"/>
  <c r="G52" i="19"/>
  <c r="H47" i="19"/>
  <c r="H46" i="19"/>
  <c r="H45" i="19"/>
  <c r="H44" i="19"/>
  <c r="O44" i="19"/>
  <c r="H43" i="19"/>
  <c r="G43" i="19"/>
  <c r="K43" i="19"/>
  <c r="M43" i="19"/>
  <c r="H42" i="19"/>
  <c r="O42" i="19"/>
  <c r="G41" i="19"/>
  <c r="K41" i="19"/>
  <c r="H40" i="19"/>
  <c r="G40" i="19"/>
  <c r="K40" i="19"/>
  <c r="K67" i="19"/>
  <c r="K68" i="19"/>
  <c r="G39" i="19"/>
  <c r="K39" i="19"/>
  <c r="G38" i="19"/>
  <c r="E37" i="19"/>
  <c r="E36" i="19"/>
  <c r="E35" i="19"/>
  <c r="H34" i="19"/>
  <c r="G34" i="19"/>
  <c r="K34" i="19"/>
  <c r="E34" i="19"/>
  <c r="G33" i="19"/>
  <c r="E33" i="19"/>
  <c r="K33" i="19"/>
  <c r="E32" i="19"/>
  <c r="H30" i="19"/>
  <c r="G30" i="19"/>
  <c r="H29" i="19"/>
  <c r="G29" i="19"/>
  <c r="K29" i="19"/>
  <c r="M29" i="19"/>
  <c r="H28" i="19"/>
  <c r="H27" i="19"/>
  <c r="H26" i="19"/>
  <c r="H25" i="19"/>
  <c r="H24" i="19"/>
  <c r="H23" i="19"/>
  <c r="G23" i="19"/>
  <c r="K23" i="19"/>
  <c r="M23" i="19"/>
  <c r="H22" i="19"/>
  <c r="H20" i="19"/>
  <c r="G19" i="19"/>
  <c r="K19" i="19"/>
  <c r="G18" i="19"/>
  <c r="G17" i="19"/>
  <c r="K17" i="19"/>
  <c r="E16" i="19"/>
  <c r="G14" i="19"/>
  <c r="K14" i="19"/>
  <c r="G13" i="19"/>
  <c r="K13" i="19"/>
  <c r="G12" i="19"/>
  <c r="K12" i="19"/>
  <c r="G11" i="19"/>
  <c r="E11" i="19"/>
  <c r="H10" i="19"/>
  <c r="G10" i="19"/>
  <c r="K10" i="19"/>
  <c r="M10" i="19"/>
  <c r="J10" i="19"/>
  <c r="K5" i="19"/>
  <c r="K4" i="19"/>
  <c r="E15" i="18"/>
  <c r="E14" i="18"/>
  <c r="I14" i="18"/>
  <c r="E6" i="18"/>
  <c r="I6" i="18"/>
  <c r="E7" i="18"/>
  <c r="I7" i="18"/>
  <c r="E8" i="18"/>
  <c r="I8" i="18"/>
  <c r="I9" i="18"/>
  <c r="I11" i="18"/>
  <c r="AA42" i="17"/>
  <c r="J12" i="17"/>
  <c r="I12" i="17"/>
  <c r="M12" i="17"/>
  <c r="W12" i="17"/>
  <c r="J14" i="17"/>
  <c r="I14" i="17"/>
  <c r="M14" i="17"/>
  <c r="I39" i="17"/>
  <c r="I48" i="17"/>
  <c r="I38" i="17"/>
  <c r="I31" i="17"/>
  <c r="O31" i="17"/>
  <c r="N31" i="17"/>
  <c r="M31" i="17"/>
  <c r="P31" i="17"/>
  <c r="F30" i="17"/>
  <c r="G30" i="17"/>
  <c r="H30" i="17"/>
  <c r="I30" i="17"/>
  <c r="P30" i="17"/>
  <c r="O30" i="17"/>
  <c r="I29" i="17"/>
  <c r="F29" i="17"/>
  <c r="G29" i="17"/>
  <c r="H29" i="17"/>
  <c r="F28" i="17"/>
  <c r="G28" i="17"/>
  <c r="H28" i="17"/>
  <c r="I28" i="17"/>
  <c r="P28" i="17"/>
  <c r="O28" i="17"/>
  <c r="I27" i="17"/>
  <c r="F27" i="17"/>
  <c r="G27" i="17"/>
  <c r="H27" i="17"/>
  <c r="F26" i="17"/>
  <c r="G26" i="17"/>
  <c r="H26" i="17"/>
  <c r="I26" i="17"/>
  <c r="P26" i="17"/>
  <c r="O26" i="17"/>
  <c r="I25" i="17"/>
  <c r="F25" i="17"/>
  <c r="G25" i="17"/>
  <c r="H25" i="17"/>
  <c r="F24" i="17"/>
  <c r="G24" i="17"/>
  <c r="H24" i="17"/>
  <c r="I24" i="17"/>
  <c r="P24" i="17"/>
  <c r="O24" i="17"/>
  <c r="I23" i="17"/>
  <c r="F23" i="17"/>
  <c r="G23" i="17"/>
  <c r="H23" i="17"/>
  <c r="F22" i="17"/>
  <c r="G22" i="17"/>
  <c r="H22" i="17"/>
  <c r="I22" i="17"/>
  <c r="P22" i="17"/>
  <c r="O22" i="17"/>
  <c r="I21" i="17"/>
  <c r="F21" i="17"/>
  <c r="G21" i="17"/>
  <c r="H21" i="17"/>
  <c r="F20" i="17"/>
  <c r="G20" i="17"/>
  <c r="H20" i="17"/>
  <c r="I20" i="17"/>
  <c r="P20" i="17"/>
  <c r="O20" i="17"/>
  <c r="I19" i="17"/>
  <c r="F19" i="17"/>
  <c r="G19" i="17"/>
  <c r="H19" i="17"/>
  <c r="F18" i="17"/>
  <c r="G18" i="17"/>
  <c r="H18" i="17"/>
  <c r="I18" i="17"/>
  <c r="P18" i="17"/>
  <c r="O18" i="17"/>
  <c r="I17" i="17"/>
  <c r="F17" i="17"/>
  <c r="G17" i="17"/>
  <c r="H17" i="17"/>
  <c r="F16" i="17"/>
  <c r="G16" i="17"/>
  <c r="H16" i="17"/>
  <c r="I16" i="17"/>
  <c r="P16" i="17"/>
  <c r="O16" i="17"/>
  <c r="I15" i="17"/>
  <c r="F15" i="17"/>
  <c r="G15" i="17"/>
  <c r="H15" i="17"/>
  <c r="R14" i="17"/>
  <c r="F14" i="17"/>
  <c r="I13" i="17"/>
  <c r="M13" i="17"/>
  <c r="F13" i="17"/>
  <c r="R12" i="17"/>
  <c r="R42" i="17"/>
  <c r="M43" i="17"/>
  <c r="M45" i="17"/>
  <c r="F12" i="17"/>
  <c r="I11" i="17"/>
  <c r="M11" i="17"/>
  <c r="F11" i="17"/>
  <c r="G11" i="17"/>
  <c r="N11" i="17"/>
  <c r="I10" i="17"/>
  <c r="M10" i="17"/>
  <c r="F10" i="17"/>
  <c r="G10" i="17"/>
  <c r="F9" i="17"/>
  <c r="I9" i="17"/>
  <c r="N9" i="17"/>
  <c r="M9" i="17"/>
  <c r="G9" i="17"/>
  <c r="I8" i="17"/>
  <c r="M8" i="17"/>
  <c r="F8" i="17"/>
  <c r="G8" i="17"/>
  <c r="I7" i="17"/>
  <c r="M7" i="17"/>
  <c r="F7" i="17"/>
  <c r="G7" i="17"/>
  <c r="N7" i="17"/>
  <c r="M125" i="16"/>
  <c r="M124" i="16"/>
  <c r="M123" i="16"/>
  <c r="AR120" i="16"/>
  <c r="M118" i="16"/>
  <c r="M127" i="16"/>
  <c r="M117" i="16"/>
  <c r="M116" i="16"/>
  <c r="M115" i="16"/>
  <c r="AR113" i="16"/>
  <c r="M111" i="16"/>
  <c r="X111" i="16"/>
  <c r="T111" i="16"/>
  <c r="S111" i="16"/>
  <c r="F110" i="16"/>
  <c r="M110" i="16"/>
  <c r="R110" i="16"/>
  <c r="Q110" i="16"/>
  <c r="F109" i="16"/>
  <c r="M109" i="16"/>
  <c r="R109" i="16"/>
  <c r="Q109" i="16"/>
  <c r="F108" i="16"/>
  <c r="M108" i="16"/>
  <c r="R108" i="16"/>
  <c r="Q108" i="16"/>
  <c r="F107" i="16"/>
  <c r="M107" i="16"/>
  <c r="R107" i="16"/>
  <c r="Q107" i="16"/>
  <c r="F106" i="16"/>
  <c r="M106" i="16"/>
  <c r="R106" i="16"/>
  <c r="Q106" i="16"/>
  <c r="F105" i="16"/>
  <c r="M105" i="16"/>
  <c r="R105" i="16"/>
  <c r="Q105" i="16"/>
  <c r="M104" i="16"/>
  <c r="Q104" i="16"/>
  <c r="F104" i="16"/>
  <c r="M103" i="16"/>
  <c r="Q103" i="16"/>
  <c r="F103" i="16"/>
  <c r="F102" i="16"/>
  <c r="G102" i="16"/>
  <c r="M102" i="16"/>
  <c r="S102" i="16"/>
  <c r="R102" i="16"/>
  <c r="AZ102" i="16"/>
  <c r="H102" i="16"/>
  <c r="N101" i="16"/>
  <c r="F101" i="16"/>
  <c r="N100" i="16"/>
  <c r="F100" i="16"/>
  <c r="G100" i="16"/>
  <c r="H100" i="16"/>
  <c r="N99" i="16"/>
  <c r="F99" i="16"/>
  <c r="N98" i="16"/>
  <c r="F98" i="16"/>
  <c r="G98" i="16"/>
  <c r="M97" i="16"/>
  <c r="F97" i="16"/>
  <c r="R97" i="16"/>
  <c r="P96" i="16"/>
  <c r="M96" i="16"/>
  <c r="F96" i="16"/>
  <c r="M95" i="16"/>
  <c r="Q95" i="16"/>
  <c r="F95" i="16"/>
  <c r="M94" i="16"/>
  <c r="S94" i="16"/>
  <c r="R94" i="16"/>
  <c r="Q94" i="16"/>
  <c r="H94" i="16"/>
  <c r="M93" i="16"/>
  <c r="Q93" i="16"/>
  <c r="F93" i="16"/>
  <c r="M92" i="16"/>
  <c r="Q92" i="16"/>
  <c r="F92" i="16"/>
  <c r="M91" i="16"/>
  <c r="AZ91" i="16"/>
  <c r="Q91" i="16"/>
  <c r="F91" i="16"/>
  <c r="M90" i="16"/>
  <c r="AZ90" i="16"/>
  <c r="Q90" i="16"/>
  <c r="F90" i="16"/>
  <c r="G90" i="16"/>
  <c r="M89" i="16"/>
  <c r="Q89" i="16"/>
  <c r="F89" i="16"/>
  <c r="G89" i="16"/>
  <c r="H89" i="16"/>
  <c r="S89" i="16"/>
  <c r="M88" i="16"/>
  <c r="Q88" i="16"/>
  <c r="F88" i="16"/>
  <c r="F87" i="16"/>
  <c r="M87" i="16"/>
  <c r="R87" i="16"/>
  <c r="G87" i="16"/>
  <c r="F86" i="16"/>
  <c r="G86" i="16"/>
  <c r="F85" i="16"/>
  <c r="G85" i="16"/>
  <c r="M84" i="16"/>
  <c r="F84" i="16"/>
  <c r="G84" i="16"/>
  <c r="M83" i="16"/>
  <c r="F83" i="16"/>
  <c r="G83" i="16"/>
  <c r="H83" i="16"/>
  <c r="M82" i="16"/>
  <c r="AZ82" i="16"/>
  <c r="F82" i="16"/>
  <c r="M81" i="16"/>
  <c r="Q81" i="16"/>
  <c r="F81" i="16"/>
  <c r="M80" i="16"/>
  <c r="Q80" i="16"/>
  <c r="F80" i="16"/>
  <c r="M79" i="16"/>
  <c r="Q79" i="16"/>
  <c r="F79" i="16"/>
  <c r="M78" i="16"/>
  <c r="AZ78" i="16"/>
  <c r="Q78" i="16"/>
  <c r="F78" i="16"/>
  <c r="M77" i="16"/>
  <c r="AZ77" i="16"/>
  <c r="F77" i="16"/>
  <c r="G77" i="16"/>
  <c r="S77" i="16"/>
  <c r="R77" i="16"/>
  <c r="Q77" i="16"/>
  <c r="F76" i="16"/>
  <c r="G76" i="16"/>
  <c r="M76" i="16"/>
  <c r="S76" i="16"/>
  <c r="H76" i="16"/>
  <c r="M75" i="16"/>
  <c r="F75" i="16"/>
  <c r="M74" i="16"/>
  <c r="AZ74" i="16"/>
  <c r="Q74" i="16"/>
  <c r="F74" i="16"/>
  <c r="M73" i="16"/>
  <c r="AZ73" i="16"/>
  <c r="F73" i="16"/>
  <c r="R73" i="16"/>
  <c r="Q73" i="16"/>
  <c r="G73" i="16"/>
  <c r="M72" i="16"/>
  <c r="W72" i="16"/>
  <c r="V72" i="16"/>
  <c r="U72" i="16"/>
  <c r="S72" i="16"/>
  <c r="R72" i="16"/>
  <c r="Q72" i="16"/>
  <c r="X72" i="16"/>
  <c r="M71" i="16"/>
  <c r="F71" i="16"/>
  <c r="G71" i="16"/>
  <c r="H71" i="16"/>
  <c r="F70" i="16"/>
  <c r="G70" i="16"/>
  <c r="H70" i="16"/>
  <c r="M70" i="16"/>
  <c r="T70" i="16"/>
  <c r="I70" i="16"/>
  <c r="U70" i="16"/>
  <c r="M69" i="16"/>
  <c r="AZ69" i="16"/>
  <c r="Q69" i="16"/>
  <c r="F69" i="16"/>
  <c r="M68" i="16"/>
  <c r="AZ68" i="16"/>
  <c r="F68" i="16"/>
  <c r="R68" i="16"/>
  <c r="Q68" i="16"/>
  <c r="M67" i="16"/>
  <c r="AZ67" i="16"/>
  <c r="F67" i="16"/>
  <c r="G67" i="16"/>
  <c r="S67" i="16"/>
  <c r="R67" i="16"/>
  <c r="Q67" i="16"/>
  <c r="H67" i="16"/>
  <c r="P66" i="16"/>
  <c r="M66" i="16"/>
  <c r="F66" i="16"/>
  <c r="M65" i="16"/>
  <c r="AZ65" i="16"/>
  <c r="F65" i="16"/>
  <c r="R65" i="16"/>
  <c r="Q65" i="16"/>
  <c r="G65" i="16"/>
  <c r="S65" i="16"/>
  <c r="M64" i="16"/>
  <c r="AZ64" i="16"/>
  <c r="F64" i="16"/>
  <c r="R64" i="16"/>
  <c r="Q64" i="16"/>
  <c r="G64" i="16"/>
  <c r="H64" i="16"/>
  <c r="F63" i="16"/>
  <c r="G63" i="16"/>
  <c r="H63" i="16"/>
  <c r="M63" i="16"/>
  <c r="T63" i="16"/>
  <c r="I63" i="16"/>
  <c r="M62" i="16"/>
  <c r="AZ62" i="16"/>
  <c r="Q62" i="16"/>
  <c r="F62" i="16"/>
  <c r="M61" i="16"/>
  <c r="AZ61" i="16"/>
  <c r="F61" i="16"/>
  <c r="R61" i="16"/>
  <c r="Q61" i="16"/>
  <c r="M60" i="16"/>
  <c r="Q60" i="16"/>
  <c r="F60" i="16"/>
  <c r="M59" i="16"/>
  <c r="Q59" i="16"/>
  <c r="F59" i="16"/>
  <c r="F58" i="16"/>
  <c r="G58" i="16"/>
  <c r="N58" i="16"/>
  <c r="M58" i="16"/>
  <c r="S58" i="16"/>
  <c r="R58" i="16"/>
  <c r="H58" i="16"/>
  <c r="I58" i="16"/>
  <c r="U58" i="16"/>
  <c r="M57" i="16"/>
  <c r="AZ57" i="16"/>
  <c r="Q57" i="16"/>
  <c r="F57" i="16"/>
  <c r="M56" i="16"/>
  <c r="AZ56" i="16"/>
  <c r="F56" i="16"/>
  <c r="R56" i="16"/>
  <c r="Q56" i="16"/>
  <c r="M55" i="16"/>
  <c r="AZ55" i="16"/>
  <c r="F55" i="16"/>
  <c r="G55" i="16"/>
  <c r="S55" i="16"/>
  <c r="R55" i="16"/>
  <c r="Q55" i="16"/>
  <c r="H55" i="16"/>
  <c r="T55" i="16"/>
  <c r="P54" i="16"/>
  <c r="M54" i="16"/>
  <c r="F54" i="16"/>
  <c r="M53" i="16"/>
  <c r="AZ53" i="16"/>
  <c r="F53" i="16"/>
  <c r="R53" i="16"/>
  <c r="Q53" i="16"/>
  <c r="G53" i="16"/>
  <c r="M52" i="16"/>
  <c r="V52" i="16"/>
  <c r="U52" i="16"/>
  <c r="R52" i="16"/>
  <c r="Q52" i="16"/>
  <c r="X52" i="16"/>
  <c r="M51" i="16"/>
  <c r="F51" i="16"/>
  <c r="G51" i="16"/>
  <c r="H51" i="16"/>
  <c r="M50" i="16"/>
  <c r="AZ50" i="16"/>
  <c r="F50" i="16"/>
  <c r="M49" i="16"/>
  <c r="AZ49" i="16"/>
  <c r="Q49" i="16"/>
  <c r="F49" i="16"/>
  <c r="M48" i="16"/>
  <c r="AZ48" i="16"/>
  <c r="F48" i="16"/>
  <c r="G48" i="16"/>
  <c r="S48" i="16"/>
  <c r="R48" i="16"/>
  <c r="Q48" i="16"/>
  <c r="F47" i="16"/>
  <c r="G47" i="16"/>
  <c r="M47" i="16"/>
  <c r="S47" i="16"/>
  <c r="H47" i="16"/>
  <c r="M46" i="16"/>
  <c r="F46" i="16"/>
  <c r="M45" i="16"/>
  <c r="AZ45" i="16"/>
  <c r="Q45" i="16"/>
  <c r="F45" i="16"/>
  <c r="M44" i="16"/>
  <c r="AZ44" i="16"/>
  <c r="F44" i="16"/>
  <c r="R44" i="16"/>
  <c r="Q44" i="16"/>
  <c r="G44" i="16"/>
  <c r="F43" i="16"/>
  <c r="G43" i="16"/>
  <c r="M43" i="16"/>
  <c r="S43" i="16"/>
  <c r="H43" i="16"/>
  <c r="I43" i="16"/>
  <c r="AZ42" i="16"/>
  <c r="Q42" i="16"/>
  <c r="F42" i="16"/>
  <c r="G42" i="16"/>
  <c r="H42" i="16"/>
  <c r="S42" i="16"/>
  <c r="R42" i="16"/>
  <c r="M41" i="16"/>
  <c r="AZ41" i="16"/>
  <c r="F41" i="16"/>
  <c r="F40" i="16"/>
  <c r="N40" i="16"/>
  <c r="G40" i="16"/>
  <c r="N39" i="16"/>
  <c r="Z39" i="16"/>
  <c r="F39" i="16"/>
  <c r="F38" i="16"/>
  <c r="N38" i="16"/>
  <c r="AE38" i="16"/>
  <c r="G38" i="16"/>
  <c r="N37" i="16"/>
  <c r="Z37" i="16"/>
  <c r="F37" i="16"/>
  <c r="M36" i="16"/>
  <c r="AZ36" i="16"/>
  <c r="Q36" i="16"/>
  <c r="F36" i="16"/>
  <c r="M35" i="16"/>
  <c r="AZ35" i="16"/>
  <c r="F35" i="16"/>
  <c r="G35" i="16"/>
  <c r="S35" i="16"/>
  <c r="R35" i="16"/>
  <c r="Q35" i="16"/>
  <c r="F34" i="16"/>
  <c r="G34" i="16"/>
  <c r="M34" i="16"/>
  <c r="S34" i="16"/>
  <c r="H34" i="16"/>
  <c r="M33" i="16"/>
  <c r="F33" i="16"/>
  <c r="M32" i="16"/>
  <c r="AZ32" i="16"/>
  <c r="Q32" i="16"/>
  <c r="F32" i="16"/>
  <c r="M31" i="16"/>
  <c r="AZ31" i="16"/>
  <c r="F31" i="16"/>
  <c r="R31" i="16"/>
  <c r="Q31" i="16"/>
  <c r="G31" i="16"/>
  <c r="F30" i="16"/>
  <c r="G30" i="16"/>
  <c r="M30" i="16"/>
  <c r="S30" i="16"/>
  <c r="H30" i="16"/>
  <c r="I30" i="16"/>
  <c r="M29" i="16"/>
  <c r="Q29" i="16"/>
  <c r="F29" i="16"/>
  <c r="M28" i="16"/>
  <c r="AZ28" i="16"/>
  <c r="F28" i="16"/>
  <c r="R28" i="16"/>
  <c r="Q28" i="16"/>
  <c r="G28" i="16"/>
  <c r="S28" i="16"/>
  <c r="M27" i="16"/>
  <c r="AZ27" i="16"/>
  <c r="F27" i="16"/>
  <c r="R27" i="16"/>
  <c r="Q27" i="16"/>
  <c r="G27" i="16"/>
  <c r="F26" i="16"/>
  <c r="G26" i="16"/>
  <c r="H26" i="16"/>
  <c r="M26" i="16"/>
  <c r="T26" i="16"/>
  <c r="I26" i="16"/>
  <c r="U26" i="16"/>
  <c r="M25" i="16"/>
  <c r="AZ25" i="16"/>
  <c r="Q25" i="16"/>
  <c r="F25" i="16"/>
  <c r="M24" i="16"/>
  <c r="Q24" i="16"/>
  <c r="F24" i="16"/>
  <c r="M23" i="16"/>
  <c r="AZ23" i="16"/>
  <c r="Q23" i="16"/>
  <c r="F23" i="16"/>
  <c r="F22" i="16"/>
  <c r="G22" i="16"/>
  <c r="M22" i="16"/>
  <c r="S22" i="16"/>
  <c r="R22" i="16"/>
  <c r="M21" i="16"/>
  <c r="Q21" i="16"/>
  <c r="F21" i="16"/>
  <c r="M20" i="16"/>
  <c r="F20" i="16"/>
  <c r="G20" i="16"/>
  <c r="M19" i="16"/>
  <c r="AZ19" i="16"/>
  <c r="Q19" i="16"/>
  <c r="F19" i="16"/>
  <c r="F18" i="16"/>
  <c r="G18" i="16"/>
  <c r="N18" i="16"/>
  <c r="M18" i="16"/>
  <c r="S18" i="16"/>
  <c r="R18" i="16"/>
  <c r="H18" i="16"/>
  <c r="M17" i="16"/>
  <c r="F17" i="16"/>
  <c r="M16" i="16"/>
  <c r="AZ16" i="16"/>
  <c r="Q16" i="16"/>
  <c r="F16" i="16"/>
  <c r="F15" i="16"/>
  <c r="G15" i="16"/>
  <c r="M15" i="16"/>
  <c r="S15" i="16"/>
  <c r="R15" i="16"/>
  <c r="AZ15" i="16"/>
  <c r="H15" i="16"/>
  <c r="M14" i="16"/>
  <c r="F14" i="16"/>
  <c r="M13" i="16"/>
  <c r="AZ13" i="16"/>
  <c r="Q13" i="16"/>
  <c r="F13" i="16"/>
  <c r="M12" i="16"/>
  <c r="AZ12" i="16"/>
  <c r="F12" i="16"/>
  <c r="R12" i="16"/>
  <c r="Q12" i="16"/>
  <c r="F11" i="16"/>
  <c r="M11" i="16"/>
  <c r="R11" i="16"/>
  <c r="AZ11" i="16"/>
  <c r="G11" i="16"/>
  <c r="M10" i="16"/>
  <c r="F10" i="16"/>
  <c r="R10" i="16"/>
  <c r="M9" i="16"/>
  <c r="F9" i="16"/>
  <c r="M8" i="16"/>
  <c r="AZ8" i="16"/>
  <c r="Q8" i="16"/>
  <c r="F8" i="16"/>
  <c r="X5" i="16"/>
  <c r="W5" i="16"/>
  <c r="V5" i="16"/>
  <c r="U5" i="16"/>
  <c r="T5" i="16"/>
  <c r="S5" i="16"/>
  <c r="R5" i="16"/>
  <c r="Q5" i="16"/>
  <c r="X4" i="16"/>
  <c r="W4" i="16"/>
  <c r="V4" i="16"/>
  <c r="U4" i="16"/>
  <c r="T4" i="16"/>
  <c r="S4" i="16"/>
  <c r="R4" i="16"/>
  <c r="Q4" i="16"/>
  <c r="E25" i="15"/>
  <c r="E24" i="15"/>
  <c r="D9" i="15"/>
  <c r="D18" i="15"/>
  <c r="I18" i="15"/>
  <c r="E17" i="15"/>
  <c r="E16" i="15"/>
  <c r="D16" i="15"/>
  <c r="E15" i="15"/>
  <c r="E14" i="15"/>
  <c r="F11" i="15"/>
  <c r="E11" i="15"/>
  <c r="F10" i="15"/>
  <c r="E10" i="15"/>
  <c r="F9" i="15"/>
  <c r="E9" i="15"/>
  <c r="I9" i="15"/>
  <c r="F8" i="15"/>
  <c r="E8" i="15"/>
  <c r="F7" i="15"/>
  <c r="E7" i="15"/>
  <c r="I7" i="15"/>
  <c r="G49" i="14"/>
  <c r="G48" i="14"/>
  <c r="G47" i="14"/>
  <c r="G42" i="14"/>
  <c r="G51" i="14"/>
  <c r="G41" i="14"/>
  <c r="G50" i="14"/>
  <c r="G40" i="14"/>
  <c r="G39" i="14"/>
  <c r="H34" i="14"/>
  <c r="H33" i="14"/>
  <c r="G33" i="14"/>
  <c r="E33" i="14"/>
  <c r="H30" i="14"/>
  <c r="H29" i="14"/>
  <c r="H28" i="14"/>
  <c r="G28" i="14"/>
  <c r="H27" i="14"/>
  <c r="G27" i="14"/>
  <c r="H26" i="14"/>
  <c r="O26" i="14"/>
  <c r="H25" i="14"/>
  <c r="H24" i="14"/>
  <c r="G24" i="14"/>
  <c r="H23" i="14"/>
  <c r="G23" i="14"/>
  <c r="H22" i="14"/>
  <c r="K21" i="14"/>
  <c r="H20" i="14"/>
  <c r="G20" i="14"/>
  <c r="K20" i="14"/>
  <c r="M20" i="14"/>
  <c r="G19" i="14"/>
  <c r="K19" i="14"/>
  <c r="G18" i="14"/>
  <c r="G17" i="14"/>
  <c r="K17" i="14"/>
  <c r="E16" i="14"/>
  <c r="K15" i="14"/>
  <c r="G14" i="14"/>
  <c r="G13" i="14"/>
  <c r="G12" i="14"/>
  <c r="K12" i="14"/>
  <c r="G11" i="14"/>
  <c r="K11" i="14"/>
  <c r="H10" i="14"/>
  <c r="J10" i="14"/>
  <c r="E8" i="14"/>
  <c r="K5" i="14"/>
  <c r="K4" i="14"/>
  <c r="AR103" i="13"/>
  <c r="M101" i="13"/>
  <c r="M110" i="13"/>
  <c r="M100" i="13"/>
  <c r="M109" i="13"/>
  <c r="X88" i="13"/>
  <c r="W88" i="13"/>
  <c r="V88" i="13"/>
  <c r="U88" i="13"/>
  <c r="T88" i="13"/>
  <c r="S88" i="13"/>
  <c r="R88" i="13"/>
  <c r="Q88" i="13"/>
  <c r="M87" i="13"/>
  <c r="W87" i="13"/>
  <c r="V87" i="13"/>
  <c r="S87" i="13"/>
  <c r="R87" i="13"/>
  <c r="AZ87" i="13"/>
  <c r="I86" i="13"/>
  <c r="N86" i="13"/>
  <c r="H86" i="13"/>
  <c r="L86" i="13"/>
  <c r="K86" i="13"/>
  <c r="J86" i="13"/>
  <c r="I85" i="13"/>
  <c r="N85" i="13"/>
  <c r="AN85" i="13"/>
  <c r="H85" i="13"/>
  <c r="L85" i="13"/>
  <c r="K85" i="13"/>
  <c r="J85" i="13"/>
  <c r="N84" i="13"/>
  <c r="AI84" i="13"/>
  <c r="L84" i="13"/>
  <c r="K84" i="13"/>
  <c r="J84" i="13"/>
  <c r="I84" i="13"/>
  <c r="H84" i="13"/>
  <c r="I83" i="13"/>
  <c r="N83" i="13"/>
  <c r="L83" i="13"/>
  <c r="K83" i="13"/>
  <c r="J83" i="13"/>
  <c r="H83" i="13"/>
  <c r="I82" i="13"/>
  <c r="N82" i="13"/>
  <c r="AL82" i="13"/>
  <c r="H82" i="13"/>
  <c r="L82" i="13"/>
  <c r="K82" i="13"/>
  <c r="J82" i="13"/>
  <c r="H81" i="13"/>
  <c r="N177" i="11"/>
  <c r="AP177" i="11"/>
  <c r="L81" i="13"/>
  <c r="K81" i="13"/>
  <c r="J81" i="13"/>
  <c r="I81" i="13"/>
  <c r="M80" i="13"/>
  <c r="AZ80" i="13"/>
  <c r="X80" i="13"/>
  <c r="Q80" i="13"/>
  <c r="L79" i="13"/>
  <c r="K79" i="13"/>
  <c r="J79" i="13"/>
  <c r="I79" i="13"/>
  <c r="H79" i="13"/>
  <c r="K78" i="13"/>
  <c r="N78" i="13"/>
  <c r="J78" i="13"/>
  <c r="L78" i="13"/>
  <c r="I78" i="13"/>
  <c r="H78" i="13"/>
  <c r="K77" i="13"/>
  <c r="N77" i="13"/>
  <c r="AK77" i="13"/>
  <c r="J77" i="13"/>
  <c r="L77" i="13"/>
  <c r="I77" i="13"/>
  <c r="H77" i="13"/>
  <c r="N76" i="13"/>
  <c r="AK76" i="13"/>
  <c r="AO76" i="13"/>
  <c r="AN76" i="13"/>
  <c r="M76" i="13"/>
  <c r="AM76" i="13"/>
  <c r="N75" i="13"/>
  <c r="J75" i="13"/>
  <c r="I75" i="13"/>
  <c r="L75" i="13"/>
  <c r="K75" i="13"/>
  <c r="H75" i="13"/>
  <c r="N74" i="13"/>
  <c r="J74" i="13"/>
  <c r="I74" i="13"/>
  <c r="L74" i="13"/>
  <c r="K74" i="13"/>
  <c r="H74" i="13"/>
  <c r="I73" i="13"/>
  <c r="N161" i="11"/>
  <c r="N73" i="13"/>
  <c r="L73" i="13"/>
  <c r="K73" i="13"/>
  <c r="J73" i="13"/>
  <c r="H73" i="13"/>
  <c r="L72" i="13"/>
  <c r="K72" i="13"/>
  <c r="J72" i="13"/>
  <c r="I72" i="13"/>
  <c r="H72" i="13"/>
  <c r="I71" i="13"/>
  <c r="N157" i="11"/>
  <c r="N71" i="13"/>
  <c r="L71" i="13"/>
  <c r="K71" i="13"/>
  <c r="J71" i="13"/>
  <c r="H71" i="13"/>
  <c r="L70" i="13"/>
  <c r="K70" i="13"/>
  <c r="J70" i="13"/>
  <c r="I70" i="13"/>
  <c r="H70" i="13"/>
  <c r="M69" i="13"/>
  <c r="AZ69" i="13"/>
  <c r="W69" i="13"/>
  <c r="V69" i="13"/>
  <c r="U69" i="13"/>
  <c r="S69" i="13"/>
  <c r="R69" i="13"/>
  <c r="Q69" i="13"/>
  <c r="X69" i="13"/>
  <c r="M68" i="13"/>
  <c r="W68" i="13"/>
  <c r="T68" i="13"/>
  <c r="S68" i="13"/>
  <c r="M66" i="13"/>
  <c r="AZ66" i="13"/>
  <c r="L66" i="13"/>
  <c r="X66" i="13"/>
  <c r="K66" i="13"/>
  <c r="J66" i="13"/>
  <c r="I66" i="13"/>
  <c r="U66" i="13"/>
  <c r="H66" i="13"/>
  <c r="K65" i="13"/>
  <c r="N65" i="13"/>
  <c r="H65" i="13"/>
  <c r="L65" i="13"/>
  <c r="J65" i="13"/>
  <c r="I65" i="13"/>
  <c r="M64" i="13"/>
  <c r="W64" i="13"/>
  <c r="T64" i="13"/>
  <c r="S64" i="13"/>
  <c r="P63" i="13"/>
  <c r="M63" i="13"/>
  <c r="M62" i="13"/>
  <c r="AZ62" i="13"/>
  <c r="U62" i="13"/>
  <c r="T62" i="13"/>
  <c r="Q62" i="13"/>
  <c r="P61" i="13"/>
  <c r="M61" i="13"/>
  <c r="M60" i="13"/>
  <c r="AZ60" i="13"/>
  <c r="V60" i="13"/>
  <c r="U60" i="13"/>
  <c r="R60" i="13"/>
  <c r="Q60" i="13"/>
  <c r="X60" i="13"/>
  <c r="M58" i="13"/>
  <c r="W58" i="13"/>
  <c r="V58" i="13"/>
  <c r="S58" i="13"/>
  <c r="R58" i="13"/>
  <c r="AZ58" i="13"/>
  <c r="M57" i="13"/>
  <c r="U57" i="13"/>
  <c r="T57" i="13"/>
  <c r="M56" i="13"/>
  <c r="W56" i="13"/>
  <c r="V56" i="13"/>
  <c r="S56" i="13"/>
  <c r="R56" i="13"/>
  <c r="AZ56" i="13"/>
  <c r="H55" i="13"/>
  <c r="I55" i="13"/>
  <c r="I54" i="13"/>
  <c r="M54" i="13"/>
  <c r="U54" i="13"/>
  <c r="H54" i="13"/>
  <c r="T54" i="13"/>
  <c r="L54" i="13"/>
  <c r="K54" i="13"/>
  <c r="W54" i="13"/>
  <c r="J54" i="13"/>
  <c r="L53" i="13"/>
  <c r="M53" i="13"/>
  <c r="X53" i="13"/>
  <c r="K53" i="13"/>
  <c r="J53" i="13"/>
  <c r="I53" i="13"/>
  <c r="U53" i="13"/>
  <c r="H53" i="13"/>
  <c r="J52" i="13"/>
  <c r="M52" i="13"/>
  <c r="V52" i="13"/>
  <c r="S52" i="13"/>
  <c r="R52" i="13"/>
  <c r="AZ52" i="13"/>
  <c r="L52" i="13"/>
  <c r="X52" i="13"/>
  <c r="K52" i="13"/>
  <c r="W52" i="13"/>
  <c r="I52" i="13"/>
  <c r="U52" i="13"/>
  <c r="H52" i="13"/>
  <c r="T52" i="13"/>
  <c r="N51" i="13"/>
  <c r="M51" i="13"/>
  <c r="AZ51" i="13"/>
  <c r="J51" i="13"/>
  <c r="V51" i="13"/>
  <c r="I51" i="13"/>
  <c r="U51" i="13"/>
  <c r="R51" i="13"/>
  <c r="Q51" i="13"/>
  <c r="S51" i="13"/>
  <c r="L51" i="13"/>
  <c r="X51" i="13"/>
  <c r="K51" i="13"/>
  <c r="W51" i="13"/>
  <c r="H51" i="13"/>
  <c r="T51" i="13"/>
  <c r="N50" i="13"/>
  <c r="M50" i="13"/>
  <c r="AZ50" i="13"/>
  <c r="J50" i="13"/>
  <c r="V50" i="13"/>
  <c r="I50" i="13"/>
  <c r="U50" i="13"/>
  <c r="R50" i="13"/>
  <c r="Q50" i="13"/>
  <c r="S50" i="13"/>
  <c r="L50" i="13"/>
  <c r="X50" i="13"/>
  <c r="K50" i="13"/>
  <c r="W50" i="13"/>
  <c r="H50" i="13"/>
  <c r="T50" i="13"/>
  <c r="N49" i="13"/>
  <c r="M49" i="13"/>
  <c r="AZ49" i="13"/>
  <c r="J49" i="13"/>
  <c r="V49" i="13"/>
  <c r="I49" i="13"/>
  <c r="U49" i="13"/>
  <c r="R49" i="13"/>
  <c r="Q49" i="13"/>
  <c r="S49" i="13"/>
  <c r="L49" i="13"/>
  <c r="X49" i="13"/>
  <c r="K49" i="13"/>
  <c r="W49" i="13"/>
  <c r="H49" i="13"/>
  <c r="T49" i="13"/>
  <c r="M48" i="13"/>
  <c r="AZ48" i="13"/>
  <c r="V48" i="13"/>
  <c r="U48" i="13"/>
  <c r="S48" i="13"/>
  <c r="R48" i="13"/>
  <c r="Q48" i="13"/>
  <c r="X48" i="13"/>
  <c r="N47" i="13"/>
  <c r="M47" i="13"/>
  <c r="M46" i="13"/>
  <c r="W46" i="13"/>
  <c r="V46" i="13"/>
  <c r="S46" i="13"/>
  <c r="R46" i="13"/>
  <c r="AZ46" i="13"/>
  <c r="M45" i="13"/>
  <c r="M44" i="13"/>
  <c r="W44" i="13"/>
  <c r="V44" i="13"/>
  <c r="S44" i="13"/>
  <c r="R44" i="13"/>
  <c r="AZ44" i="13"/>
  <c r="M43" i="13"/>
  <c r="U43" i="13"/>
  <c r="T43" i="13"/>
  <c r="M42" i="13"/>
  <c r="W42" i="13"/>
  <c r="V42" i="13"/>
  <c r="S42" i="13"/>
  <c r="R42" i="13"/>
  <c r="AZ42" i="13"/>
  <c r="M41" i="13"/>
  <c r="AZ41" i="13"/>
  <c r="U41" i="13"/>
  <c r="T41" i="13"/>
  <c r="Q41" i="13"/>
  <c r="M40" i="13"/>
  <c r="W40" i="13"/>
  <c r="V40" i="13"/>
  <c r="S40" i="13"/>
  <c r="R40" i="13"/>
  <c r="AZ40" i="13"/>
  <c r="L39" i="13"/>
  <c r="N39" i="13"/>
  <c r="AP39" i="13"/>
  <c r="K39" i="13"/>
  <c r="J39" i="13"/>
  <c r="I39" i="13"/>
  <c r="H39" i="13"/>
  <c r="L38" i="13"/>
  <c r="N61" i="11"/>
  <c r="K38" i="13"/>
  <c r="J38" i="13"/>
  <c r="I38" i="13"/>
  <c r="H38" i="13"/>
  <c r="I37" i="13"/>
  <c r="M37" i="13"/>
  <c r="U37" i="13"/>
  <c r="H37" i="13"/>
  <c r="T37" i="13"/>
  <c r="L37" i="13"/>
  <c r="K37" i="13"/>
  <c r="W37" i="13"/>
  <c r="J37" i="13"/>
  <c r="M30" i="13"/>
  <c r="AZ30" i="13"/>
  <c r="V30" i="13"/>
  <c r="U30" i="13"/>
  <c r="R30" i="13"/>
  <c r="Q30" i="13"/>
  <c r="X30" i="13"/>
  <c r="L29" i="13"/>
  <c r="N29" i="13"/>
  <c r="K29" i="13"/>
  <c r="J29" i="13"/>
  <c r="I29" i="13"/>
  <c r="H29" i="13"/>
  <c r="N27" i="13"/>
  <c r="AJ27" i="13"/>
  <c r="M26" i="13"/>
  <c r="AZ26" i="13"/>
  <c r="V26" i="13"/>
  <c r="U26" i="13"/>
  <c r="R26" i="13"/>
  <c r="Q26" i="13"/>
  <c r="X26" i="13"/>
  <c r="M25" i="13"/>
  <c r="M24" i="13"/>
  <c r="AZ24" i="13"/>
  <c r="V24" i="13"/>
  <c r="U24" i="13"/>
  <c r="R24" i="13"/>
  <c r="Q24" i="13"/>
  <c r="X24" i="13"/>
  <c r="M23" i="13"/>
  <c r="W23" i="13"/>
  <c r="M22" i="13"/>
  <c r="AZ22" i="13"/>
  <c r="V22" i="13"/>
  <c r="U22" i="13"/>
  <c r="R22" i="13"/>
  <c r="Q22" i="13"/>
  <c r="X22" i="13"/>
  <c r="M21" i="13"/>
  <c r="W21" i="13"/>
  <c r="T21" i="13"/>
  <c r="M20" i="13"/>
  <c r="AZ20" i="13"/>
  <c r="V20" i="13"/>
  <c r="U20" i="13"/>
  <c r="R20" i="13"/>
  <c r="Q20" i="13"/>
  <c r="X20" i="13"/>
  <c r="M19" i="13"/>
  <c r="W19" i="13"/>
  <c r="T19" i="13"/>
  <c r="S19" i="13"/>
  <c r="M18" i="13"/>
  <c r="AZ18" i="13"/>
  <c r="V18" i="13"/>
  <c r="U18" i="13"/>
  <c r="R18" i="13"/>
  <c r="Q18" i="13"/>
  <c r="X18" i="13"/>
  <c r="M17" i="13"/>
  <c r="M14" i="13"/>
  <c r="M13" i="13"/>
  <c r="AZ13" i="13"/>
  <c r="J13" i="13"/>
  <c r="V13" i="13"/>
  <c r="I13" i="13"/>
  <c r="U13" i="13"/>
  <c r="R13" i="13"/>
  <c r="Q13" i="13"/>
  <c r="S13" i="13"/>
  <c r="L13" i="13"/>
  <c r="X13" i="13"/>
  <c r="K13" i="13"/>
  <c r="W13" i="13"/>
  <c r="H13" i="13"/>
  <c r="T13" i="13"/>
  <c r="M12" i="13"/>
  <c r="AZ12" i="13"/>
  <c r="H12" i="13"/>
  <c r="T12" i="13"/>
  <c r="Q12" i="13"/>
  <c r="I12" i="13"/>
  <c r="M11" i="13"/>
  <c r="W11" i="13"/>
  <c r="T11" i="13"/>
  <c r="S11" i="13"/>
  <c r="M10" i="13"/>
  <c r="AZ10" i="13"/>
  <c r="V10" i="13"/>
  <c r="U10" i="13"/>
  <c r="R10" i="13"/>
  <c r="Q10" i="13"/>
  <c r="X10" i="13"/>
  <c r="M9" i="13"/>
  <c r="X9" i="13"/>
  <c r="H8" i="13"/>
  <c r="X5" i="13"/>
  <c r="W5" i="13"/>
  <c r="V5" i="13"/>
  <c r="U5" i="13"/>
  <c r="T5" i="13"/>
  <c r="S5" i="13"/>
  <c r="R5" i="13"/>
  <c r="Q5" i="13"/>
  <c r="X4" i="13"/>
  <c r="W4" i="13"/>
  <c r="V4" i="13"/>
  <c r="U4" i="13"/>
  <c r="T4" i="13"/>
  <c r="S4" i="13"/>
  <c r="R4" i="13"/>
  <c r="Q4" i="13"/>
  <c r="AB94" i="12"/>
  <c r="AB93" i="12"/>
  <c r="AB92" i="12"/>
  <c r="AB87" i="12"/>
  <c r="AB96" i="12"/>
  <c r="AB86" i="12"/>
  <c r="AB95" i="12"/>
  <c r="AB85" i="12"/>
  <c r="AB84" i="12"/>
  <c r="AB79" i="12"/>
  <c r="AG79" i="12"/>
  <c r="Y79" i="12"/>
  <c r="V79" i="12"/>
  <c r="S79" i="12"/>
  <c r="P79" i="12"/>
  <c r="M79" i="12"/>
  <c r="E79" i="12"/>
  <c r="AB78" i="12"/>
  <c r="Y78" i="12"/>
  <c r="V78" i="12"/>
  <c r="S78" i="12"/>
  <c r="P78" i="12"/>
  <c r="M78" i="12"/>
  <c r="J78" i="12"/>
  <c r="E78" i="12"/>
  <c r="AB77" i="12"/>
  <c r="Y77" i="12"/>
  <c r="AL77" i="12"/>
  <c r="V77" i="12"/>
  <c r="S77" i="12"/>
  <c r="P77" i="12"/>
  <c r="M77" i="12"/>
  <c r="J77" i="12"/>
  <c r="E77" i="12"/>
  <c r="AB76" i="12"/>
  <c r="Y76" i="12"/>
  <c r="V76" i="12"/>
  <c r="S76" i="12"/>
  <c r="P76" i="12"/>
  <c r="M76" i="12"/>
  <c r="J76" i="12"/>
  <c r="E76" i="12"/>
  <c r="AB75" i="12"/>
  <c r="Y75" i="12"/>
  <c r="AL75" i="12"/>
  <c r="V75" i="12"/>
  <c r="S75" i="12"/>
  <c r="P75" i="12"/>
  <c r="M75" i="12"/>
  <c r="J75" i="12"/>
  <c r="E75" i="12"/>
  <c r="V74" i="12"/>
  <c r="AC74" i="12"/>
  <c r="BA74" i="12"/>
  <c r="S74" i="12"/>
  <c r="AZ74" i="12"/>
  <c r="E74" i="12"/>
  <c r="AV74" i="12"/>
  <c r="Y74" i="12"/>
  <c r="P74" i="12"/>
  <c r="AY74" i="12"/>
  <c r="M74" i="12"/>
  <c r="AX74" i="12"/>
  <c r="J74" i="12"/>
  <c r="AW74" i="12"/>
  <c r="AB73" i="12"/>
  <c r="S73" i="12"/>
  <c r="AJ73" i="12"/>
  <c r="Y73" i="12"/>
  <c r="V73" i="12"/>
  <c r="P73" i="12"/>
  <c r="M73" i="12"/>
  <c r="J73" i="12"/>
  <c r="E73" i="12"/>
  <c r="AB72" i="12"/>
  <c r="E72" i="12"/>
  <c r="AF72" i="12"/>
  <c r="Y72" i="12"/>
  <c r="V72" i="12"/>
  <c r="S72" i="12"/>
  <c r="P72" i="12"/>
  <c r="M72" i="12"/>
  <c r="J72" i="12"/>
  <c r="AC71" i="12"/>
  <c r="E71" i="12"/>
  <c r="AV71" i="12"/>
  <c r="S71" i="12"/>
  <c r="AZ71" i="12"/>
  <c r="J71" i="12"/>
  <c r="AE71" i="12"/>
  <c r="Y71" i="12"/>
  <c r="V71" i="12"/>
  <c r="P71" i="12"/>
  <c r="M71" i="12"/>
  <c r="AW71" i="12"/>
  <c r="Y70" i="12"/>
  <c r="M70" i="12"/>
  <c r="V70" i="12"/>
  <c r="S70" i="12"/>
  <c r="P70" i="12"/>
  <c r="J70" i="12"/>
  <c r="E70" i="12"/>
  <c r="M69" i="12"/>
  <c r="AC69" i="12"/>
  <c r="V69" i="12"/>
  <c r="BA69" i="12"/>
  <c r="Y69" i="12"/>
  <c r="S69" i="12"/>
  <c r="P69" i="12"/>
  <c r="J69" i="12"/>
  <c r="AW69" i="12"/>
  <c r="E69" i="12"/>
  <c r="AC68" i="12"/>
  <c r="S68" i="12"/>
  <c r="P68" i="12"/>
  <c r="E68" i="12"/>
  <c r="Y68" i="12"/>
  <c r="V68" i="12"/>
  <c r="M68" i="12"/>
  <c r="J68" i="12"/>
  <c r="AB66" i="12"/>
  <c r="AF66" i="12"/>
  <c r="AC65" i="12"/>
  <c r="AB65" i="12"/>
  <c r="AC64" i="12"/>
  <c r="BB64" i="12"/>
  <c r="AY64" i="12"/>
  <c r="AC63" i="12"/>
  <c r="BB63" i="12"/>
  <c r="AC62" i="12"/>
  <c r="AC61" i="12"/>
  <c r="AY61" i="12"/>
  <c r="AC60" i="12"/>
  <c r="BB60" i="12"/>
  <c r="AB59" i="12"/>
  <c r="AL59" i="12"/>
  <c r="AC58" i="12"/>
  <c r="AC57" i="12"/>
  <c r="BB57" i="12"/>
  <c r="AY57" i="12"/>
  <c r="AX57" i="12"/>
  <c r="BA57" i="12"/>
  <c r="AC56" i="12"/>
  <c r="BB56" i="12"/>
  <c r="AC55" i="12"/>
  <c r="BB55" i="12"/>
  <c r="AC54" i="12"/>
  <c r="BB54" i="12"/>
  <c r="AC53" i="12"/>
  <c r="BB53" i="12"/>
  <c r="AC52" i="12"/>
  <c r="AC51" i="12"/>
  <c r="AB49" i="12"/>
  <c r="AC48" i="12"/>
  <c r="AC47" i="12"/>
  <c r="AY47" i="12"/>
  <c r="AB46" i="12"/>
  <c r="AE45" i="12"/>
  <c r="AB45" i="12"/>
  <c r="AB44" i="12"/>
  <c r="AC43" i="12"/>
  <c r="BA43" i="12"/>
  <c r="AZ43" i="12"/>
  <c r="AW43" i="12"/>
  <c r="AV43" i="12"/>
  <c r="AB43" i="12"/>
  <c r="AL43" i="12"/>
  <c r="AT43" i="12"/>
  <c r="AB42" i="12"/>
  <c r="AH42" i="12"/>
  <c r="AB41" i="12"/>
  <c r="AI41" i="12"/>
  <c r="AB40" i="12"/>
  <c r="AJ40" i="12"/>
  <c r="AI40" i="12"/>
  <c r="AB39" i="12"/>
  <c r="AK39" i="12"/>
  <c r="AB38" i="12"/>
  <c r="AF38" i="12"/>
  <c r="AB37" i="12"/>
  <c r="AJ37" i="12"/>
  <c r="AB36" i="12"/>
  <c r="AJ36" i="12"/>
  <c r="AB35" i="12"/>
  <c r="AG35" i="12"/>
  <c r="AC34" i="12"/>
  <c r="AB33" i="12"/>
  <c r="AB32" i="12"/>
  <c r="AC31" i="12"/>
  <c r="BA31" i="12"/>
  <c r="AV31" i="12"/>
  <c r="AB31" i="12"/>
  <c r="AC30" i="12"/>
  <c r="AZ30" i="12"/>
  <c r="AY30" i="12"/>
  <c r="AV30" i="12"/>
  <c r="BB30" i="12"/>
  <c r="AB30" i="12"/>
  <c r="AG30" i="12"/>
  <c r="AO30" i="12"/>
  <c r="AC29" i="12"/>
  <c r="AC28" i="12"/>
  <c r="AC27" i="12"/>
  <c r="AC26" i="12"/>
  <c r="AZ26" i="12"/>
  <c r="AB24" i="12"/>
  <c r="AB23" i="12"/>
  <c r="AK23" i="12"/>
  <c r="AB22" i="12"/>
  <c r="AF22" i="12"/>
  <c r="AB21" i="12"/>
  <c r="AG21" i="12"/>
  <c r="AB20" i="12"/>
  <c r="AL20" i="12"/>
  <c r="AB19" i="12"/>
  <c r="AB18" i="12"/>
  <c r="AI18" i="12"/>
  <c r="AB17" i="12"/>
  <c r="AK17" i="12"/>
  <c r="AB16" i="12"/>
  <c r="AG16" i="12"/>
  <c r="AB15" i="12"/>
  <c r="AI15" i="12"/>
  <c r="AC13" i="12"/>
  <c r="AB11" i="12"/>
  <c r="Y11" i="12"/>
  <c r="AL11" i="12"/>
  <c r="V11" i="12"/>
  <c r="S11" i="12"/>
  <c r="P11" i="12"/>
  <c r="M11" i="12"/>
  <c r="M10" i="12"/>
  <c r="AB10" i="12"/>
  <c r="Y10" i="12"/>
  <c r="AL10" i="12"/>
  <c r="J11" i="12"/>
  <c r="J10" i="12"/>
  <c r="E11" i="12"/>
  <c r="Y8" i="12"/>
  <c r="S10" i="12"/>
  <c r="P10" i="12"/>
  <c r="P8" i="12"/>
  <c r="E10" i="12"/>
  <c r="AB9" i="12"/>
  <c r="AI9" i="12"/>
  <c r="AL5" i="12"/>
  <c r="AK5" i="12"/>
  <c r="AJ5" i="12"/>
  <c r="AI5" i="12"/>
  <c r="AH5" i="12"/>
  <c r="AG5" i="12"/>
  <c r="AF5" i="12"/>
  <c r="AL4" i="12"/>
  <c r="AK4" i="12"/>
  <c r="AJ4" i="12"/>
  <c r="AI4" i="12"/>
  <c r="AH4" i="12"/>
  <c r="AG4" i="12"/>
  <c r="AF4" i="12"/>
  <c r="M196" i="11"/>
  <c r="M195" i="11"/>
  <c r="M204" i="11"/>
  <c r="X188" i="11"/>
  <c r="W188" i="11"/>
  <c r="V188" i="11"/>
  <c r="U188" i="11"/>
  <c r="T188" i="11"/>
  <c r="S188" i="11"/>
  <c r="R188" i="11"/>
  <c r="Q188" i="11"/>
  <c r="X187" i="11"/>
  <c r="W187" i="11"/>
  <c r="V187" i="11"/>
  <c r="U187" i="11"/>
  <c r="T187" i="11"/>
  <c r="S187" i="11"/>
  <c r="R187" i="11"/>
  <c r="Q187" i="11"/>
  <c r="X186" i="11"/>
  <c r="W186" i="11"/>
  <c r="V186" i="11"/>
  <c r="U186" i="11"/>
  <c r="T186" i="11"/>
  <c r="S186" i="11"/>
  <c r="R186" i="11"/>
  <c r="Q186" i="11"/>
  <c r="X185" i="11"/>
  <c r="W185" i="11"/>
  <c r="V185" i="11"/>
  <c r="U185" i="11"/>
  <c r="T185" i="11"/>
  <c r="S185" i="11"/>
  <c r="R185" i="11"/>
  <c r="Q185" i="11"/>
  <c r="X184" i="11"/>
  <c r="W184" i="11"/>
  <c r="V184" i="11"/>
  <c r="U184" i="11"/>
  <c r="T184" i="11"/>
  <c r="S184" i="11"/>
  <c r="R184" i="11"/>
  <c r="Q184" i="11"/>
  <c r="X183" i="11"/>
  <c r="W183" i="11"/>
  <c r="V183" i="11"/>
  <c r="U183" i="11"/>
  <c r="T183" i="11"/>
  <c r="S183" i="11"/>
  <c r="R183" i="11"/>
  <c r="Q183" i="11"/>
  <c r="X182" i="11"/>
  <c r="W182" i="11"/>
  <c r="V182" i="11"/>
  <c r="U182" i="11"/>
  <c r="T182" i="11"/>
  <c r="S182" i="11"/>
  <c r="R182" i="11"/>
  <c r="Q182" i="11"/>
  <c r="M181" i="11"/>
  <c r="W181" i="11"/>
  <c r="V181" i="11"/>
  <c r="S181" i="11"/>
  <c r="R181" i="11"/>
  <c r="U181" i="11"/>
  <c r="M180" i="11"/>
  <c r="U180" i="11"/>
  <c r="T180" i="11"/>
  <c r="N179" i="11"/>
  <c r="AN179" i="11"/>
  <c r="N178" i="11"/>
  <c r="AN178" i="11"/>
  <c r="AO178" i="11"/>
  <c r="AJ178" i="11"/>
  <c r="M178" i="11"/>
  <c r="AM178" i="11"/>
  <c r="M176" i="11"/>
  <c r="X176" i="11"/>
  <c r="U176" i="11"/>
  <c r="M175" i="11"/>
  <c r="W175" i="11"/>
  <c r="V175" i="11"/>
  <c r="S175" i="11"/>
  <c r="R175" i="11"/>
  <c r="AZ175" i="11"/>
  <c r="N174" i="11"/>
  <c r="AM174" i="11"/>
  <c r="AL174" i="11"/>
  <c r="N173" i="11"/>
  <c r="N172" i="11"/>
  <c r="AN172" i="11"/>
  <c r="AM172" i="11"/>
  <c r="M171" i="11"/>
  <c r="AZ171" i="11"/>
  <c r="W171" i="11"/>
  <c r="V171" i="11"/>
  <c r="U171" i="11"/>
  <c r="S171" i="11"/>
  <c r="R171" i="11"/>
  <c r="Q171" i="11"/>
  <c r="X171" i="11"/>
  <c r="N170" i="11"/>
  <c r="M170" i="11"/>
  <c r="AP170" i="11"/>
  <c r="N169" i="11"/>
  <c r="N168" i="11"/>
  <c r="AI168" i="11"/>
  <c r="N167" i="11"/>
  <c r="N166" i="11"/>
  <c r="N165" i="11"/>
  <c r="N164" i="11"/>
  <c r="AO164" i="11"/>
  <c r="M164" i="11"/>
  <c r="AZ164" i="11"/>
  <c r="AJ164" i="11"/>
  <c r="AI164" i="11"/>
  <c r="AP164" i="11"/>
  <c r="N163" i="11"/>
  <c r="N162" i="11"/>
  <c r="AO161" i="11"/>
  <c r="AN161" i="11"/>
  <c r="AK161" i="11"/>
  <c r="AJ161" i="11"/>
  <c r="M161" i="11"/>
  <c r="N160" i="11"/>
  <c r="AO160" i="11"/>
  <c r="N159" i="11"/>
  <c r="N158" i="11"/>
  <c r="N156" i="11"/>
  <c r="N155" i="11"/>
  <c r="N72" i="13"/>
  <c r="AJ72" i="13"/>
  <c r="N154" i="11"/>
  <c r="M153" i="11"/>
  <c r="W153" i="11"/>
  <c r="V153" i="11"/>
  <c r="S153" i="11"/>
  <c r="R153" i="11"/>
  <c r="AZ153" i="11"/>
  <c r="M152" i="11"/>
  <c r="U152" i="11"/>
  <c r="M151" i="11"/>
  <c r="W151" i="11"/>
  <c r="V151" i="11"/>
  <c r="S151" i="11"/>
  <c r="R151" i="11"/>
  <c r="AZ151" i="11"/>
  <c r="M148" i="11"/>
  <c r="W148" i="11"/>
  <c r="V148" i="11"/>
  <c r="S148" i="11"/>
  <c r="R148" i="11"/>
  <c r="AZ148" i="11"/>
  <c r="M147" i="11"/>
  <c r="X147" i="11"/>
  <c r="U147" i="11"/>
  <c r="N146" i="11"/>
  <c r="AI146" i="11"/>
  <c r="M145" i="11"/>
  <c r="AZ145" i="11"/>
  <c r="W145" i="11"/>
  <c r="V145" i="11"/>
  <c r="U145" i="11"/>
  <c r="S145" i="11"/>
  <c r="R145" i="11"/>
  <c r="Q145" i="11"/>
  <c r="X145" i="11"/>
  <c r="M144" i="11"/>
  <c r="W144" i="11"/>
  <c r="T144" i="11"/>
  <c r="M143" i="11"/>
  <c r="AZ143" i="11"/>
  <c r="W143" i="11"/>
  <c r="V143" i="11"/>
  <c r="U143" i="11"/>
  <c r="S143" i="11"/>
  <c r="R143" i="11"/>
  <c r="Q143" i="11"/>
  <c r="X143" i="11"/>
  <c r="M142" i="11"/>
  <c r="M141" i="11"/>
  <c r="AZ141" i="11"/>
  <c r="W141" i="11"/>
  <c r="V141" i="11"/>
  <c r="U141" i="11"/>
  <c r="S141" i="11"/>
  <c r="R141" i="11"/>
  <c r="Q141" i="11"/>
  <c r="X141" i="11"/>
  <c r="M139" i="11"/>
  <c r="W139" i="11"/>
  <c r="V139" i="11"/>
  <c r="S139" i="11"/>
  <c r="R139" i="11"/>
  <c r="AZ139" i="11"/>
  <c r="M138" i="11"/>
  <c r="AZ138" i="11"/>
  <c r="Q138" i="11"/>
  <c r="M137" i="11"/>
  <c r="W137" i="11"/>
  <c r="V137" i="11"/>
  <c r="S137" i="11"/>
  <c r="R137" i="11"/>
  <c r="AZ137" i="11"/>
  <c r="M136" i="11"/>
  <c r="U136" i="11"/>
  <c r="M135" i="11"/>
  <c r="W135" i="11"/>
  <c r="V135" i="11"/>
  <c r="S135" i="11"/>
  <c r="R135" i="11"/>
  <c r="AZ135" i="11"/>
  <c r="M134" i="11"/>
  <c r="U134" i="11"/>
  <c r="T134" i="11"/>
  <c r="M126" i="11"/>
  <c r="W126" i="11"/>
  <c r="T126" i="11"/>
  <c r="S126" i="11"/>
  <c r="M125" i="11"/>
  <c r="AZ125" i="11"/>
  <c r="W125" i="11"/>
  <c r="V125" i="11"/>
  <c r="U125" i="11"/>
  <c r="S125" i="11"/>
  <c r="R125" i="11"/>
  <c r="Q125" i="11"/>
  <c r="X125" i="11"/>
  <c r="N124" i="11"/>
  <c r="M124" i="11"/>
  <c r="W124" i="11"/>
  <c r="M123" i="11"/>
  <c r="W123" i="11"/>
  <c r="V123" i="11"/>
  <c r="S123" i="11"/>
  <c r="R123" i="11"/>
  <c r="AZ123" i="11"/>
  <c r="M122" i="11"/>
  <c r="U122" i="11"/>
  <c r="T122" i="11"/>
  <c r="M121" i="11"/>
  <c r="W121" i="11"/>
  <c r="V121" i="11"/>
  <c r="S121" i="11"/>
  <c r="R121" i="11"/>
  <c r="AZ121" i="11"/>
  <c r="M120" i="11"/>
  <c r="AZ120" i="11"/>
  <c r="U120" i="11"/>
  <c r="T120" i="11"/>
  <c r="Q120" i="11"/>
  <c r="M119" i="11"/>
  <c r="W119" i="11"/>
  <c r="V119" i="11"/>
  <c r="S119" i="11"/>
  <c r="R119" i="11"/>
  <c r="AZ119" i="11"/>
  <c r="M118" i="11"/>
  <c r="AZ118" i="11"/>
  <c r="X118" i="11"/>
  <c r="Q118" i="11"/>
  <c r="M117" i="11"/>
  <c r="W117" i="11"/>
  <c r="V117" i="11"/>
  <c r="S117" i="11"/>
  <c r="R117" i="11"/>
  <c r="AZ117" i="11"/>
  <c r="M115" i="11"/>
  <c r="X115" i="11"/>
  <c r="S115" i="11"/>
  <c r="M114" i="11"/>
  <c r="AZ114" i="11"/>
  <c r="W114" i="11"/>
  <c r="V114" i="11"/>
  <c r="U114" i="11"/>
  <c r="S114" i="11"/>
  <c r="R114" i="11"/>
  <c r="Q114" i="11"/>
  <c r="X114" i="11"/>
  <c r="M113" i="11"/>
  <c r="W113" i="11"/>
  <c r="T113" i="11"/>
  <c r="S113" i="11"/>
  <c r="M112" i="11"/>
  <c r="AZ112" i="11"/>
  <c r="W112" i="11"/>
  <c r="V112" i="11"/>
  <c r="U112" i="11"/>
  <c r="S112" i="11"/>
  <c r="R112" i="11"/>
  <c r="Q112" i="11"/>
  <c r="X112" i="11"/>
  <c r="M111" i="11"/>
  <c r="W111" i="11"/>
  <c r="T111" i="11"/>
  <c r="M110" i="11"/>
  <c r="AZ110" i="11"/>
  <c r="W110" i="11"/>
  <c r="V110" i="11"/>
  <c r="U110" i="11"/>
  <c r="S110" i="11"/>
  <c r="R110" i="11"/>
  <c r="Q110" i="11"/>
  <c r="X110" i="11"/>
  <c r="M109" i="11"/>
  <c r="W109" i="11"/>
  <c r="M108" i="11"/>
  <c r="AZ108" i="11"/>
  <c r="W108" i="11"/>
  <c r="V108" i="11"/>
  <c r="U108" i="11"/>
  <c r="S108" i="11"/>
  <c r="R108" i="11"/>
  <c r="Q108" i="11"/>
  <c r="X108" i="11"/>
  <c r="M107" i="11"/>
  <c r="X107" i="11"/>
  <c r="S107" i="11"/>
  <c r="M106" i="11"/>
  <c r="AZ106" i="11"/>
  <c r="W106" i="11"/>
  <c r="V106" i="11"/>
  <c r="U106" i="11"/>
  <c r="S106" i="11"/>
  <c r="R106" i="11"/>
  <c r="Q106" i="11"/>
  <c r="X106" i="11"/>
  <c r="M105" i="11"/>
  <c r="W105" i="11"/>
  <c r="T105" i="11"/>
  <c r="S105" i="11"/>
  <c r="M104" i="11"/>
  <c r="AZ104" i="11"/>
  <c r="W104" i="11"/>
  <c r="V104" i="11"/>
  <c r="U104" i="11"/>
  <c r="S104" i="11"/>
  <c r="R104" i="11"/>
  <c r="Q104" i="11"/>
  <c r="X104" i="11"/>
  <c r="M103" i="11"/>
  <c r="W103" i="11"/>
  <c r="T103" i="11"/>
  <c r="M102" i="11"/>
  <c r="AZ102" i="11"/>
  <c r="W102" i="11"/>
  <c r="V102" i="11"/>
  <c r="U102" i="11"/>
  <c r="S102" i="11"/>
  <c r="R102" i="11"/>
  <c r="Q102" i="11"/>
  <c r="X102" i="11"/>
  <c r="N101" i="11"/>
  <c r="M101" i="11"/>
  <c r="M100" i="11"/>
  <c r="W100" i="11"/>
  <c r="V100" i="11"/>
  <c r="S100" i="11"/>
  <c r="R100" i="11"/>
  <c r="AZ100" i="11"/>
  <c r="N99" i="11"/>
  <c r="P96" i="11"/>
  <c r="P99" i="11"/>
  <c r="M99" i="11"/>
  <c r="X99" i="11"/>
  <c r="U99" i="11"/>
  <c r="N98" i="11"/>
  <c r="M98" i="11"/>
  <c r="U98" i="11"/>
  <c r="T98" i="11"/>
  <c r="N97" i="11"/>
  <c r="M97" i="11"/>
  <c r="N96" i="11"/>
  <c r="M96" i="11"/>
  <c r="R96" i="11"/>
  <c r="N95" i="11"/>
  <c r="M95" i="11"/>
  <c r="W95" i="11"/>
  <c r="S95" i="11"/>
  <c r="R95" i="11"/>
  <c r="M94" i="11"/>
  <c r="AZ94" i="11"/>
  <c r="W94" i="11"/>
  <c r="V94" i="11"/>
  <c r="U94" i="11"/>
  <c r="S94" i="11"/>
  <c r="R94" i="11"/>
  <c r="Q94" i="11"/>
  <c r="X94" i="11"/>
  <c r="N93" i="11"/>
  <c r="M93" i="11"/>
  <c r="W93" i="11"/>
  <c r="M92" i="11"/>
  <c r="W92" i="11"/>
  <c r="V92" i="11"/>
  <c r="S92" i="11"/>
  <c r="R92" i="11"/>
  <c r="AZ92" i="11"/>
  <c r="M91" i="11"/>
  <c r="U91" i="11"/>
  <c r="T91" i="11"/>
  <c r="M90" i="11"/>
  <c r="W90" i="11"/>
  <c r="V90" i="11"/>
  <c r="S90" i="11"/>
  <c r="R90" i="11"/>
  <c r="AZ90" i="11"/>
  <c r="M89" i="11"/>
  <c r="AZ89" i="11"/>
  <c r="U89" i="11"/>
  <c r="T89" i="11"/>
  <c r="Q89" i="11"/>
  <c r="M88" i="11"/>
  <c r="W88" i="11"/>
  <c r="V88" i="11"/>
  <c r="S88" i="11"/>
  <c r="R88" i="11"/>
  <c r="AZ88" i="11"/>
  <c r="M87" i="11"/>
  <c r="AZ87" i="11"/>
  <c r="X87" i="11"/>
  <c r="Q87" i="11"/>
  <c r="M86" i="11"/>
  <c r="W86" i="11"/>
  <c r="V86" i="11"/>
  <c r="S86" i="11"/>
  <c r="R86" i="11"/>
  <c r="AZ86" i="11"/>
  <c r="M85" i="11"/>
  <c r="X85" i="11"/>
  <c r="U85" i="11"/>
  <c r="M84" i="11"/>
  <c r="W84" i="11"/>
  <c r="V84" i="11"/>
  <c r="S84" i="11"/>
  <c r="R84" i="11"/>
  <c r="AZ84" i="11"/>
  <c r="M83" i="11"/>
  <c r="U83" i="11"/>
  <c r="T83" i="11"/>
  <c r="P82" i="11"/>
  <c r="M82" i="11"/>
  <c r="W82" i="11"/>
  <c r="V82" i="11"/>
  <c r="M81" i="11"/>
  <c r="AZ81" i="11"/>
  <c r="W81" i="11"/>
  <c r="V81" i="11"/>
  <c r="U81" i="11"/>
  <c r="S81" i="11"/>
  <c r="R81" i="11"/>
  <c r="Q81" i="11"/>
  <c r="X81" i="11"/>
  <c r="M80" i="11"/>
  <c r="W80" i="11"/>
  <c r="T80" i="11"/>
  <c r="S80" i="11"/>
  <c r="N79" i="11"/>
  <c r="AI79" i="11"/>
  <c r="M78" i="11"/>
  <c r="X78" i="11"/>
  <c r="Q78" i="11"/>
  <c r="AZ78" i="11"/>
  <c r="N77" i="11"/>
  <c r="M77" i="11"/>
  <c r="S77" i="11"/>
  <c r="R77" i="11"/>
  <c r="N76" i="11"/>
  <c r="M76" i="11"/>
  <c r="AZ76" i="11"/>
  <c r="V76" i="11"/>
  <c r="U76" i="11"/>
  <c r="R76" i="11"/>
  <c r="Q76" i="11"/>
  <c r="X76" i="11"/>
  <c r="M75" i="11"/>
  <c r="U75" i="11"/>
  <c r="N74" i="11"/>
  <c r="M74" i="11"/>
  <c r="W74" i="11"/>
  <c r="S74" i="11"/>
  <c r="R74" i="11"/>
  <c r="M73" i="11"/>
  <c r="AZ73" i="11"/>
  <c r="W73" i="11"/>
  <c r="V73" i="11"/>
  <c r="U73" i="11"/>
  <c r="S73" i="11"/>
  <c r="R73" i="11"/>
  <c r="Q73" i="11"/>
  <c r="X73" i="11"/>
  <c r="M72" i="11"/>
  <c r="W72" i="11"/>
  <c r="T72" i="11"/>
  <c r="M71" i="11"/>
  <c r="AZ71" i="11"/>
  <c r="W71" i="11"/>
  <c r="V71" i="11"/>
  <c r="U71" i="11"/>
  <c r="S71" i="11"/>
  <c r="R71" i="11"/>
  <c r="Q71" i="11"/>
  <c r="X71" i="11"/>
  <c r="M70" i="11"/>
  <c r="X70" i="11"/>
  <c r="W70" i="11"/>
  <c r="M69" i="11"/>
  <c r="AZ69" i="11"/>
  <c r="W69" i="11"/>
  <c r="V69" i="11"/>
  <c r="U69" i="11"/>
  <c r="S69" i="11"/>
  <c r="R69" i="11"/>
  <c r="Q69" i="11"/>
  <c r="X69" i="11"/>
  <c r="M68" i="11"/>
  <c r="X68" i="11"/>
  <c r="S68" i="11"/>
  <c r="M67" i="11"/>
  <c r="AZ67" i="11"/>
  <c r="W67" i="11"/>
  <c r="V67" i="11"/>
  <c r="U67" i="11"/>
  <c r="S67" i="11"/>
  <c r="R67" i="11"/>
  <c r="Q67" i="11"/>
  <c r="X67" i="11"/>
  <c r="M66" i="11"/>
  <c r="W66" i="11"/>
  <c r="T66" i="11"/>
  <c r="S66" i="11"/>
  <c r="P65" i="11"/>
  <c r="M65" i="11"/>
  <c r="AZ65" i="11"/>
  <c r="V65" i="11"/>
  <c r="U65" i="11"/>
  <c r="R65" i="11"/>
  <c r="Q65" i="11"/>
  <c r="X65" i="11"/>
  <c r="M64" i="11"/>
  <c r="U64" i="11"/>
  <c r="T64" i="11"/>
  <c r="M63" i="11"/>
  <c r="W63" i="11"/>
  <c r="V63" i="11"/>
  <c r="S63" i="11"/>
  <c r="R63" i="11"/>
  <c r="AZ63" i="11"/>
  <c r="M62" i="11"/>
  <c r="AZ62" i="11"/>
  <c r="U62" i="11"/>
  <c r="T62" i="11"/>
  <c r="Q62" i="11"/>
  <c r="AK61" i="11"/>
  <c r="AJ61" i="11"/>
  <c r="N60" i="11"/>
  <c r="M59" i="11"/>
  <c r="U59" i="11"/>
  <c r="T59" i="11"/>
  <c r="M58" i="11"/>
  <c r="W58" i="11"/>
  <c r="V58" i="11"/>
  <c r="S58" i="11"/>
  <c r="R58" i="11"/>
  <c r="AZ58" i="11"/>
  <c r="M57" i="11"/>
  <c r="AZ57" i="11"/>
  <c r="U57" i="11"/>
  <c r="T57" i="11"/>
  <c r="Q57" i="11"/>
  <c r="P56" i="11"/>
  <c r="M56" i="11"/>
  <c r="V56" i="11"/>
  <c r="M55" i="11"/>
  <c r="AZ55" i="11"/>
  <c r="W55" i="11"/>
  <c r="V55" i="11"/>
  <c r="U55" i="11"/>
  <c r="S55" i="11"/>
  <c r="R55" i="11"/>
  <c r="Q55" i="11"/>
  <c r="X55" i="11"/>
  <c r="M54" i="11"/>
  <c r="X54" i="11"/>
  <c r="S54" i="11"/>
  <c r="M53" i="11"/>
  <c r="AZ53" i="11"/>
  <c r="W53" i="11"/>
  <c r="V53" i="11"/>
  <c r="U53" i="11"/>
  <c r="S53" i="11"/>
  <c r="R53" i="11"/>
  <c r="Q53" i="11"/>
  <c r="X53" i="11"/>
  <c r="M52" i="11"/>
  <c r="W52" i="11"/>
  <c r="T52" i="11"/>
  <c r="S52" i="11"/>
  <c r="M51" i="11"/>
  <c r="AZ51" i="11"/>
  <c r="W51" i="11"/>
  <c r="V51" i="11"/>
  <c r="U51" i="11"/>
  <c r="S51" i="11"/>
  <c r="R51" i="11"/>
  <c r="Q51" i="11"/>
  <c r="X51" i="11"/>
  <c r="M50" i="11"/>
  <c r="W50" i="11"/>
  <c r="T50" i="11"/>
  <c r="M49" i="11"/>
  <c r="AZ49" i="11"/>
  <c r="W49" i="11"/>
  <c r="V49" i="11"/>
  <c r="U49" i="11"/>
  <c r="S49" i="11"/>
  <c r="R49" i="11"/>
  <c r="Q49" i="11"/>
  <c r="X49" i="11"/>
  <c r="M48" i="11"/>
  <c r="N47" i="11"/>
  <c r="AO47" i="11"/>
  <c r="M45" i="11"/>
  <c r="X45" i="11"/>
  <c r="W45" i="11"/>
  <c r="N44" i="11"/>
  <c r="P44" i="11"/>
  <c r="M44" i="11"/>
  <c r="Q44" i="11"/>
  <c r="AZ44" i="11"/>
  <c r="N41" i="11"/>
  <c r="M41" i="11"/>
  <c r="M40" i="11"/>
  <c r="W40" i="11"/>
  <c r="V40" i="11"/>
  <c r="S40" i="11"/>
  <c r="R40" i="11"/>
  <c r="AZ40" i="11"/>
  <c r="M39" i="11"/>
  <c r="M38" i="11"/>
  <c r="AZ38" i="11"/>
  <c r="W38" i="11"/>
  <c r="V38" i="11"/>
  <c r="U38" i="11"/>
  <c r="S38" i="11"/>
  <c r="R38" i="11"/>
  <c r="Q38" i="11"/>
  <c r="X38" i="11"/>
  <c r="M37" i="11"/>
  <c r="M36" i="11"/>
  <c r="AZ36" i="11"/>
  <c r="W36" i="11"/>
  <c r="V36" i="11"/>
  <c r="U36" i="11"/>
  <c r="S36" i="11"/>
  <c r="R36" i="11"/>
  <c r="Q36" i="11"/>
  <c r="X36" i="11"/>
  <c r="M35" i="11"/>
  <c r="M34" i="11"/>
  <c r="AZ34" i="11"/>
  <c r="W34" i="11"/>
  <c r="V34" i="11"/>
  <c r="U34" i="11"/>
  <c r="S34" i="11"/>
  <c r="R34" i="11"/>
  <c r="Q34" i="11"/>
  <c r="X34" i="11"/>
  <c r="M33" i="11"/>
  <c r="AZ33" i="11"/>
  <c r="W33" i="11"/>
  <c r="V33" i="11"/>
  <c r="U33" i="11"/>
  <c r="S33" i="11"/>
  <c r="R33" i="11"/>
  <c r="Q33" i="11"/>
  <c r="X33" i="11"/>
  <c r="M32" i="11"/>
  <c r="T32" i="11"/>
  <c r="S32" i="11"/>
  <c r="W32" i="11"/>
  <c r="N31" i="11"/>
  <c r="M31" i="11"/>
  <c r="AO31" i="11"/>
  <c r="AN31" i="11"/>
  <c r="AM31" i="11"/>
  <c r="AK31" i="11"/>
  <c r="AJ31" i="11"/>
  <c r="AI31" i="11"/>
  <c r="Q31" i="11"/>
  <c r="Z31" i="11"/>
  <c r="AP31" i="11"/>
  <c r="M30" i="11"/>
  <c r="X30" i="11"/>
  <c r="M29" i="11"/>
  <c r="W29" i="11"/>
  <c r="V29" i="11"/>
  <c r="S29" i="11"/>
  <c r="R29" i="11"/>
  <c r="AZ29" i="11"/>
  <c r="M28" i="11"/>
  <c r="U28" i="11"/>
  <c r="AZ28" i="11"/>
  <c r="P27" i="11"/>
  <c r="M27" i="11"/>
  <c r="W27" i="11"/>
  <c r="R27" i="11"/>
  <c r="S27" i="11"/>
  <c r="M26" i="11"/>
  <c r="AZ26" i="11"/>
  <c r="W26" i="11"/>
  <c r="V26" i="11"/>
  <c r="U26" i="11"/>
  <c r="S26" i="11"/>
  <c r="R26" i="11"/>
  <c r="Q26" i="11"/>
  <c r="X26" i="11"/>
  <c r="M25" i="11"/>
  <c r="W25" i="11"/>
  <c r="T25" i="11"/>
  <c r="S25" i="11"/>
  <c r="M24" i="11"/>
  <c r="AZ24" i="11"/>
  <c r="W24" i="11"/>
  <c r="V24" i="11"/>
  <c r="U24" i="11"/>
  <c r="S24" i="11"/>
  <c r="R24" i="11"/>
  <c r="Q24" i="11"/>
  <c r="X24" i="11"/>
  <c r="M23" i="11"/>
  <c r="W23" i="11"/>
  <c r="M22" i="11"/>
  <c r="AZ22" i="11"/>
  <c r="W22" i="11"/>
  <c r="V22" i="11"/>
  <c r="U22" i="11"/>
  <c r="S22" i="11"/>
  <c r="R22" i="11"/>
  <c r="Q22" i="11"/>
  <c r="X22" i="11"/>
  <c r="M21" i="11"/>
  <c r="X21" i="11"/>
  <c r="M20" i="11"/>
  <c r="AZ20" i="11"/>
  <c r="W20" i="11"/>
  <c r="V20" i="11"/>
  <c r="U20" i="11"/>
  <c r="S20" i="11"/>
  <c r="R20" i="11"/>
  <c r="Q20" i="11"/>
  <c r="X20" i="11"/>
  <c r="M19" i="11"/>
  <c r="T19" i="11"/>
  <c r="S19" i="11"/>
  <c r="W19" i="11"/>
  <c r="N18" i="11"/>
  <c r="AO18" i="11"/>
  <c r="M18" i="11"/>
  <c r="AZ18" i="11"/>
  <c r="AN18" i="11"/>
  <c r="AM18" i="11"/>
  <c r="AK18" i="11"/>
  <c r="AJ18" i="11"/>
  <c r="AI18" i="11"/>
  <c r="U18" i="11"/>
  <c r="AD18" i="11"/>
  <c r="Q18" i="11"/>
  <c r="Z18" i="11"/>
  <c r="AP18" i="11"/>
  <c r="X18" i="11"/>
  <c r="AG18" i="11"/>
  <c r="M16" i="11"/>
  <c r="T16" i="11"/>
  <c r="S16" i="11"/>
  <c r="W16" i="11"/>
  <c r="M15" i="11"/>
  <c r="AZ15" i="11"/>
  <c r="W15" i="11"/>
  <c r="V15" i="11"/>
  <c r="U15" i="11"/>
  <c r="S15" i="11"/>
  <c r="R15" i="11"/>
  <c r="Q15" i="11"/>
  <c r="X15" i="11"/>
  <c r="M14" i="11"/>
  <c r="W14" i="11"/>
  <c r="T14" i="11"/>
  <c r="S14" i="11"/>
  <c r="M13" i="11"/>
  <c r="AZ13" i="11"/>
  <c r="W13" i="11"/>
  <c r="V13" i="11"/>
  <c r="U13" i="11"/>
  <c r="S13" i="11"/>
  <c r="R13" i="11"/>
  <c r="Q13" i="11"/>
  <c r="X13" i="11"/>
  <c r="M12" i="11"/>
  <c r="W12" i="11"/>
  <c r="S12" i="11"/>
  <c r="P11" i="11"/>
  <c r="M11" i="11"/>
  <c r="AZ11" i="11"/>
  <c r="V11" i="11"/>
  <c r="U11" i="11"/>
  <c r="R11" i="11"/>
  <c r="Q11" i="11"/>
  <c r="X11" i="11"/>
  <c r="M10" i="11"/>
  <c r="X10" i="11"/>
  <c r="M9" i="11"/>
  <c r="W9" i="11"/>
  <c r="V9" i="11"/>
  <c r="S9" i="11"/>
  <c r="R9" i="11"/>
  <c r="AZ9" i="11"/>
  <c r="M8" i="11"/>
  <c r="U8" i="11"/>
  <c r="X5" i="11"/>
  <c r="W5" i="11"/>
  <c r="V5" i="11"/>
  <c r="U5" i="11"/>
  <c r="T5" i="11"/>
  <c r="S5" i="11"/>
  <c r="R5" i="11"/>
  <c r="Q5" i="11"/>
  <c r="X4" i="11"/>
  <c r="W4" i="11"/>
  <c r="V4" i="11"/>
  <c r="U4" i="11"/>
  <c r="T4" i="11"/>
  <c r="S4" i="11"/>
  <c r="R4" i="11"/>
  <c r="Q4" i="11"/>
  <c r="J205" i="10"/>
  <c r="J204" i="10"/>
  <c r="J203" i="10"/>
  <c r="J198" i="10"/>
  <c r="J207" i="10"/>
  <c r="J197" i="10"/>
  <c r="J206" i="10"/>
  <c r="J196" i="10"/>
  <c r="J195" i="10"/>
  <c r="J189" i="10"/>
  <c r="O189" i="10"/>
  <c r="G189" i="10"/>
  <c r="J188" i="10"/>
  <c r="O188" i="10"/>
  <c r="J187" i="10"/>
  <c r="O187" i="10"/>
  <c r="E187" i="10"/>
  <c r="J186" i="10"/>
  <c r="K185" i="10"/>
  <c r="U185" i="10"/>
  <c r="G185" i="10"/>
  <c r="E185" i="10"/>
  <c r="J184" i="10"/>
  <c r="N184" i="10"/>
  <c r="E184" i="10"/>
  <c r="J183" i="10"/>
  <c r="O183" i="10"/>
  <c r="E183" i="10"/>
  <c r="J182" i="10"/>
  <c r="O182" i="10"/>
  <c r="G182" i="10"/>
  <c r="E182" i="10"/>
  <c r="J181" i="10"/>
  <c r="N181" i="10"/>
  <c r="E181" i="10"/>
  <c r="J180" i="10"/>
  <c r="N180" i="10"/>
  <c r="E180" i="10"/>
  <c r="G180" i="10"/>
  <c r="J179" i="10"/>
  <c r="N179" i="10"/>
  <c r="G179" i="10"/>
  <c r="E179" i="10"/>
  <c r="J178" i="10"/>
  <c r="N178" i="10"/>
  <c r="E178" i="10"/>
  <c r="J177" i="10"/>
  <c r="O177" i="10"/>
  <c r="G177" i="10"/>
  <c r="E177" i="10"/>
  <c r="J176" i="10"/>
  <c r="O176" i="10"/>
  <c r="G176" i="10"/>
  <c r="E176" i="10"/>
  <c r="J175" i="10"/>
  <c r="G175" i="10"/>
  <c r="E175" i="10"/>
  <c r="J174" i="10"/>
  <c r="G174" i="10"/>
  <c r="E174" i="10"/>
  <c r="G172" i="10"/>
  <c r="E172" i="10"/>
  <c r="K171" i="10"/>
  <c r="J171" i="10"/>
  <c r="O171" i="10"/>
  <c r="R171" i="10"/>
  <c r="M171" i="10"/>
  <c r="G171" i="10"/>
  <c r="E171" i="10"/>
  <c r="K170" i="10"/>
  <c r="M170" i="10"/>
  <c r="J170" i="10"/>
  <c r="O170" i="10"/>
  <c r="M169" i="10"/>
  <c r="J169" i="10"/>
  <c r="N169" i="10"/>
  <c r="K168" i="10"/>
  <c r="K167" i="10"/>
  <c r="U167" i="10"/>
  <c r="J167" i="10"/>
  <c r="N167" i="10"/>
  <c r="Q167" i="10"/>
  <c r="G166" i="10"/>
  <c r="E166" i="10"/>
  <c r="J165" i="10"/>
  <c r="O165" i="10"/>
  <c r="J164" i="10"/>
  <c r="N164" i="10"/>
  <c r="G164" i="10"/>
  <c r="J162" i="10"/>
  <c r="N162" i="10"/>
  <c r="K161" i="10"/>
  <c r="K160" i="10"/>
  <c r="U160" i="10"/>
  <c r="T160" i="10"/>
  <c r="J160" i="10"/>
  <c r="N160" i="10"/>
  <c r="Q160" i="10"/>
  <c r="K159" i="10"/>
  <c r="J158" i="10"/>
  <c r="N158" i="10"/>
  <c r="J157" i="10"/>
  <c r="K156" i="10"/>
  <c r="K155" i="10"/>
  <c r="J154" i="10"/>
  <c r="O154" i="10"/>
  <c r="K153" i="10"/>
  <c r="J153" i="10"/>
  <c r="U153" i="10"/>
  <c r="K152" i="10"/>
  <c r="U152" i="10"/>
  <c r="K151" i="10"/>
  <c r="J151" i="10"/>
  <c r="O151" i="10"/>
  <c r="R151" i="10"/>
  <c r="K150" i="10"/>
  <c r="J150" i="10"/>
  <c r="N150" i="10"/>
  <c r="Q150" i="10"/>
  <c r="U150" i="10"/>
  <c r="T150" i="10"/>
  <c r="K149" i="10"/>
  <c r="K148" i="10"/>
  <c r="J148" i="10"/>
  <c r="K147" i="10"/>
  <c r="K146" i="10"/>
  <c r="U146" i="10"/>
  <c r="K145" i="10"/>
  <c r="U145" i="10"/>
  <c r="K144" i="10"/>
  <c r="U144" i="10"/>
  <c r="K143" i="10"/>
  <c r="K142" i="10"/>
  <c r="T142" i="10"/>
  <c r="K141" i="10"/>
  <c r="U141" i="10"/>
  <c r="K140" i="10"/>
  <c r="T140" i="10"/>
  <c r="K139" i="10"/>
  <c r="U139" i="10"/>
  <c r="J137" i="10"/>
  <c r="O137" i="10"/>
  <c r="J136" i="10"/>
  <c r="O136" i="10"/>
  <c r="K135" i="10"/>
  <c r="K134" i="10"/>
  <c r="J133" i="10"/>
  <c r="O133" i="10"/>
  <c r="J131" i="10"/>
  <c r="O131" i="10"/>
  <c r="J130" i="10"/>
  <c r="J129" i="10"/>
  <c r="O129" i="10"/>
  <c r="J128" i="10"/>
  <c r="N128" i="10"/>
  <c r="J126" i="10"/>
  <c r="O126" i="10"/>
  <c r="J125" i="10"/>
  <c r="N125" i="10"/>
  <c r="J124" i="10"/>
  <c r="N124" i="10"/>
  <c r="J123" i="10"/>
  <c r="J122" i="10"/>
  <c r="O122" i="10"/>
  <c r="J121" i="10"/>
  <c r="K32" i="10"/>
  <c r="K115" i="10"/>
  <c r="K102" i="10"/>
  <c r="J113" i="10"/>
  <c r="N113" i="10"/>
  <c r="J112" i="10"/>
  <c r="O112" i="10"/>
  <c r="J111" i="10"/>
  <c r="O111" i="10"/>
  <c r="J110" i="10"/>
  <c r="J109" i="10"/>
  <c r="J108" i="10"/>
  <c r="O108" i="10"/>
  <c r="J107" i="10"/>
  <c r="N107" i="10"/>
  <c r="J106" i="10"/>
  <c r="J105" i="10"/>
  <c r="N105" i="10"/>
  <c r="J103" i="10"/>
  <c r="N103" i="10"/>
  <c r="J101" i="10"/>
  <c r="N101" i="10"/>
  <c r="J99" i="10"/>
  <c r="O99" i="10"/>
  <c r="J98" i="10"/>
  <c r="O98" i="10"/>
  <c r="J97" i="10"/>
  <c r="O97" i="10"/>
  <c r="J96" i="10"/>
  <c r="N96" i="10"/>
  <c r="J95" i="10"/>
  <c r="O95" i="10"/>
  <c r="J94" i="10"/>
  <c r="O94" i="10"/>
  <c r="J93" i="10"/>
  <c r="O93" i="10"/>
  <c r="J92" i="10"/>
  <c r="O92" i="10"/>
  <c r="J91" i="10"/>
  <c r="J90" i="10"/>
  <c r="N90" i="10"/>
  <c r="J89" i="10"/>
  <c r="N89" i="10"/>
  <c r="J88" i="10"/>
  <c r="O88" i="10"/>
  <c r="J87" i="10"/>
  <c r="O87" i="10"/>
  <c r="J86" i="10"/>
  <c r="O86" i="10"/>
  <c r="J85" i="10"/>
  <c r="N85" i="10"/>
  <c r="J84" i="10"/>
  <c r="K82" i="10"/>
  <c r="J81" i="10"/>
  <c r="O81" i="10"/>
  <c r="J80" i="10"/>
  <c r="J79" i="10"/>
  <c r="O79" i="10"/>
  <c r="J78" i="10"/>
  <c r="O78" i="10"/>
  <c r="J77" i="10"/>
  <c r="O77" i="10"/>
  <c r="J76" i="10"/>
  <c r="O76" i="10"/>
  <c r="J74" i="10"/>
  <c r="O74" i="10"/>
  <c r="K73" i="10"/>
  <c r="J72" i="10"/>
  <c r="O72" i="10"/>
  <c r="J71" i="10"/>
  <c r="N71" i="10"/>
  <c r="J70" i="10"/>
  <c r="O70" i="10"/>
  <c r="J69" i="10"/>
  <c r="O69" i="10"/>
  <c r="J68" i="10"/>
  <c r="O68" i="10"/>
  <c r="J67" i="10"/>
  <c r="J66" i="10"/>
  <c r="N66" i="10"/>
  <c r="J65" i="10"/>
  <c r="O65" i="10"/>
  <c r="J64" i="10"/>
  <c r="J63" i="10"/>
  <c r="N63" i="10"/>
  <c r="J62" i="10"/>
  <c r="O62" i="10"/>
  <c r="J61" i="10"/>
  <c r="O61" i="10"/>
  <c r="J60" i="10"/>
  <c r="N60" i="10"/>
  <c r="J59" i="10"/>
  <c r="N59" i="10"/>
  <c r="J58" i="10"/>
  <c r="N58" i="10"/>
  <c r="J57" i="10"/>
  <c r="O57" i="10"/>
  <c r="J56" i="10"/>
  <c r="O56" i="10"/>
  <c r="J55" i="10"/>
  <c r="N55" i="10"/>
  <c r="J54" i="10"/>
  <c r="N54" i="10"/>
  <c r="J53" i="10"/>
  <c r="N53" i="10"/>
  <c r="J52" i="10"/>
  <c r="N52" i="10"/>
  <c r="J51" i="10"/>
  <c r="N51" i="10"/>
  <c r="K49" i="10"/>
  <c r="K48" i="10"/>
  <c r="J47" i="10"/>
  <c r="N47" i="10"/>
  <c r="K46" i="10"/>
  <c r="J46" i="10"/>
  <c r="K45" i="10"/>
  <c r="J45" i="10"/>
  <c r="N45" i="10"/>
  <c r="J44" i="10"/>
  <c r="N44" i="10"/>
  <c r="J41" i="10"/>
  <c r="J40" i="10"/>
  <c r="O40" i="10"/>
  <c r="J39" i="10"/>
  <c r="O39" i="10"/>
  <c r="J38" i="10"/>
  <c r="N38" i="10"/>
  <c r="J37" i="10"/>
  <c r="J36" i="10"/>
  <c r="O36" i="10"/>
  <c r="J35" i="10"/>
  <c r="N35" i="10"/>
  <c r="J34" i="10"/>
  <c r="O34" i="10"/>
  <c r="J33" i="10"/>
  <c r="N33" i="10"/>
  <c r="K31" i="10"/>
  <c r="K30" i="10"/>
  <c r="U30" i="10"/>
  <c r="J30" i="10"/>
  <c r="O30" i="10"/>
  <c r="R30" i="10"/>
  <c r="J29" i="10"/>
  <c r="O29" i="10"/>
  <c r="J27" i="10"/>
  <c r="J26" i="10"/>
  <c r="N26" i="10"/>
  <c r="J25" i="10"/>
  <c r="O25" i="10"/>
  <c r="J23" i="10"/>
  <c r="N23" i="10"/>
  <c r="K22" i="10"/>
  <c r="U22" i="10"/>
  <c r="J21" i="10"/>
  <c r="O21" i="10"/>
  <c r="J20" i="10"/>
  <c r="O20" i="10"/>
  <c r="J19" i="10"/>
  <c r="J18" i="10"/>
  <c r="O18" i="10"/>
  <c r="J17" i="10"/>
  <c r="N17" i="10"/>
  <c r="K16" i="10"/>
  <c r="T16" i="10"/>
  <c r="J16" i="10"/>
  <c r="N16" i="10"/>
  <c r="Q16" i="10"/>
  <c r="G11" i="10"/>
  <c r="G12" i="10"/>
  <c r="G14" i="10"/>
  <c r="G15" i="10"/>
  <c r="J14" i="10"/>
  <c r="E14" i="10"/>
  <c r="J13" i="10"/>
  <c r="O13" i="10"/>
  <c r="J12" i="10"/>
  <c r="N12" i="10"/>
  <c r="E12" i="10"/>
  <c r="J11" i="10"/>
  <c r="E11" i="10"/>
  <c r="E15" i="10"/>
  <c r="J10" i="10"/>
  <c r="O10" i="10"/>
  <c r="J9" i="10"/>
  <c r="O9" i="10"/>
  <c r="G9" i="10"/>
  <c r="J8" i="10"/>
  <c r="G8" i="10"/>
  <c r="G16" i="10"/>
  <c r="O5" i="10"/>
  <c r="N5" i="10"/>
  <c r="O4" i="10"/>
  <c r="N4" i="10"/>
  <c r="I337" i="9"/>
  <c r="I332" i="9"/>
  <c r="I322" i="9"/>
  <c r="I331" i="9"/>
  <c r="X316" i="9"/>
  <c r="I314" i="9"/>
  <c r="O314" i="9"/>
  <c r="I313" i="9"/>
  <c r="M313" i="9"/>
  <c r="I312" i="9"/>
  <c r="Q312" i="9"/>
  <c r="E312" i="9"/>
  <c r="J311" i="9"/>
  <c r="I311" i="9"/>
  <c r="P311" i="9"/>
  <c r="V311" i="9"/>
  <c r="AB311" i="9"/>
  <c r="I310" i="9"/>
  <c r="O310" i="9"/>
  <c r="I309" i="9"/>
  <c r="I308" i="9"/>
  <c r="N308" i="9"/>
  <c r="D207" i="9"/>
  <c r="D307" i="9"/>
  <c r="J306" i="9"/>
  <c r="Y306" i="9"/>
  <c r="J305" i="9"/>
  <c r="AA305" i="9"/>
  <c r="AC305" i="9"/>
  <c r="J304" i="9"/>
  <c r="H304" i="9"/>
  <c r="G304" i="9"/>
  <c r="AB304" i="9"/>
  <c r="F304" i="9"/>
  <c r="E304" i="9"/>
  <c r="D304" i="9"/>
  <c r="J303" i="9"/>
  <c r="AA303" i="9"/>
  <c r="J302" i="9"/>
  <c r="AB302" i="9"/>
  <c r="J301" i="9"/>
  <c r="Y301" i="9"/>
  <c r="J300" i="9"/>
  <c r="D299" i="9"/>
  <c r="J299" i="9"/>
  <c r="I299" i="9"/>
  <c r="M299" i="9"/>
  <c r="H299" i="9"/>
  <c r="G299" i="9"/>
  <c r="F299" i="9"/>
  <c r="E299" i="9"/>
  <c r="J298" i="9"/>
  <c r="AC298" i="9"/>
  <c r="I297" i="9"/>
  <c r="O297" i="9"/>
  <c r="D296" i="9"/>
  <c r="I296" i="9"/>
  <c r="M296" i="9"/>
  <c r="H296" i="9"/>
  <c r="G296" i="9"/>
  <c r="F296" i="9"/>
  <c r="E296" i="9"/>
  <c r="I295" i="9"/>
  <c r="P295" i="9"/>
  <c r="G295" i="9"/>
  <c r="H295" i="9"/>
  <c r="F295" i="9"/>
  <c r="E295" i="9"/>
  <c r="D295" i="9"/>
  <c r="I294" i="9"/>
  <c r="H294" i="9"/>
  <c r="G294" i="9"/>
  <c r="F294" i="9"/>
  <c r="E294" i="9"/>
  <c r="D294" i="9"/>
  <c r="G293" i="9"/>
  <c r="D293" i="9"/>
  <c r="H293" i="9"/>
  <c r="F293" i="9"/>
  <c r="E293" i="9"/>
  <c r="I292" i="9"/>
  <c r="M292" i="9"/>
  <c r="E292" i="9"/>
  <c r="I291" i="9"/>
  <c r="N291" i="9"/>
  <c r="H291" i="9"/>
  <c r="G291" i="9"/>
  <c r="F291" i="9"/>
  <c r="E291" i="9"/>
  <c r="D291" i="9"/>
  <c r="I289" i="9"/>
  <c r="Q289" i="9"/>
  <c r="J288" i="9"/>
  <c r="J287" i="9"/>
  <c r="I287" i="9"/>
  <c r="N287" i="9"/>
  <c r="T287" i="9"/>
  <c r="J286" i="9"/>
  <c r="AC286" i="9"/>
  <c r="Y286" i="9"/>
  <c r="J285" i="9"/>
  <c r="AC285" i="9"/>
  <c r="AA285" i="9"/>
  <c r="J284" i="9"/>
  <c r="Z284" i="9"/>
  <c r="J283" i="9"/>
  <c r="AC283" i="9"/>
  <c r="J282" i="9"/>
  <c r="Z282" i="9"/>
  <c r="J281" i="9"/>
  <c r="AA281" i="9"/>
  <c r="J280" i="9"/>
  <c r="AC280" i="9"/>
  <c r="I279" i="9"/>
  <c r="P279" i="9"/>
  <c r="I278" i="9"/>
  <c r="G278" i="9"/>
  <c r="I277" i="9"/>
  <c r="M277" i="9"/>
  <c r="G277" i="9"/>
  <c r="I276" i="9"/>
  <c r="G276" i="9"/>
  <c r="J275" i="9"/>
  <c r="J274" i="9"/>
  <c r="J273" i="9"/>
  <c r="I272" i="9"/>
  <c r="J271" i="9"/>
  <c r="Z271" i="9"/>
  <c r="I270" i="9"/>
  <c r="J269" i="9"/>
  <c r="G269" i="9"/>
  <c r="J268" i="9"/>
  <c r="G268" i="9"/>
  <c r="J267" i="9"/>
  <c r="J266" i="9"/>
  <c r="I265" i="9"/>
  <c r="Q265" i="9"/>
  <c r="J264" i="9"/>
  <c r="Z264" i="9"/>
  <c r="J263" i="9"/>
  <c r="J262" i="9"/>
  <c r="AB262" i="9"/>
  <c r="J261" i="9"/>
  <c r="AC261" i="9"/>
  <c r="J260" i="9"/>
  <c r="Y260" i="9"/>
  <c r="J259" i="9"/>
  <c r="AB259" i="9"/>
  <c r="J258" i="9"/>
  <c r="I257" i="9"/>
  <c r="M257" i="9"/>
  <c r="J256" i="9"/>
  <c r="I256" i="9"/>
  <c r="J255" i="9"/>
  <c r="J254" i="9"/>
  <c r="AA254" i="9"/>
  <c r="J253" i="9"/>
  <c r="AC253" i="9"/>
  <c r="J252" i="9"/>
  <c r="I251" i="9"/>
  <c r="M251" i="9"/>
  <c r="J250" i="9"/>
  <c r="J249" i="9"/>
  <c r="AA249" i="9"/>
  <c r="J248" i="9"/>
  <c r="AB248" i="9"/>
  <c r="J247" i="9"/>
  <c r="AA247" i="9"/>
  <c r="J246" i="9"/>
  <c r="J245" i="9"/>
  <c r="Y245" i="9"/>
  <c r="J244" i="9"/>
  <c r="J243" i="9"/>
  <c r="AB243" i="9"/>
  <c r="J242" i="9"/>
  <c r="AC242" i="9"/>
  <c r="J241" i="9"/>
  <c r="AC241" i="9"/>
  <c r="J240" i="9"/>
  <c r="J239" i="9"/>
  <c r="AC239" i="9"/>
  <c r="J238" i="9"/>
  <c r="AC238" i="9"/>
  <c r="J237" i="9"/>
  <c r="AA237" i="9"/>
  <c r="J236" i="9"/>
  <c r="AC236" i="9"/>
  <c r="J235" i="9"/>
  <c r="AC235" i="9"/>
  <c r="J232" i="9"/>
  <c r="J231" i="9"/>
  <c r="AA231" i="9"/>
  <c r="AB231" i="9"/>
  <c r="J230" i="9"/>
  <c r="AA230" i="9"/>
  <c r="J229" i="9"/>
  <c r="J228" i="9"/>
  <c r="Z228" i="9"/>
  <c r="J227" i="9"/>
  <c r="Z227" i="9"/>
  <c r="G226" i="9"/>
  <c r="J226" i="9"/>
  <c r="AB226" i="9"/>
  <c r="H226" i="9"/>
  <c r="F226" i="9"/>
  <c r="E226" i="9"/>
  <c r="D226" i="9"/>
  <c r="J225" i="9"/>
  <c r="G225" i="9"/>
  <c r="H225" i="9"/>
  <c r="F225" i="9"/>
  <c r="E225" i="9"/>
  <c r="D225" i="9"/>
  <c r="J224" i="9"/>
  <c r="G223" i="9"/>
  <c r="G224" i="9"/>
  <c r="F223" i="9"/>
  <c r="F224" i="9"/>
  <c r="J223" i="9"/>
  <c r="H223" i="9"/>
  <c r="H224" i="9"/>
  <c r="AC224" i="9"/>
  <c r="E223" i="9"/>
  <c r="D223" i="9"/>
  <c r="J222" i="9"/>
  <c r="I222" i="9"/>
  <c r="H221" i="9"/>
  <c r="H222" i="9"/>
  <c r="E221" i="9"/>
  <c r="E222" i="9"/>
  <c r="D221" i="9"/>
  <c r="D222" i="9"/>
  <c r="Y222" i="9"/>
  <c r="J221" i="9"/>
  <c r="G221" i="9"/>
  <c r="F221" i="9"/>
  <c r="J220" i="9"/>
  <c r="E219" i="9"/>
  <c r="E220" i="9"/>
  <c r="J219" i="9"/>
  <c r="Z219" i="9"/>
  <c r="H219" i="9"/>
  <c r="G219" i="9"/>
  <c r="G220" i="9"/>
  <c r="F219" i="9"/>
  <c r="F220" i="9"/>
  <c r="D219" i="9"/>
  <c r="J217" i="9"/>
  <c r="J216" i="9"/>
  <c r="AA216" i="9"/>
  <c r="I215" i="9"/>
  <c r="P215" i="9"/>
  <c r="Q215" i="9"/>
  <c r="I214" i="9"/>
  <c r="O214" i="9"/>
  <c r="I211" i="9"/>
  <c r="P211" i="9"/>
  <c r="L210" i="9"/>
  <c r="H209" i="9"/>
  <c r="G209" i="9"/>
  <c r="F209" i="9"/>
  <c r="E209" i="9"/>
  <c r="D209" i="9"/>
  <c r="G207" i="9"/>
  <c r="G307" i="9"/>
  <c r="H207" i="9"/>
  <c r="H307" i="9"/>
  <c r="F207" i="9"/>
  <c r="E207" i="9"/>
  <c r="E307" i="9"/>
  <c r="L205" i="9"/>
  <c r="L203" i="9"/>
  <c r="H202" i="9"/>
  <c r="G202" i="9"/>
  <c r="F202" i="9"/>
  <c r="E202" i="9"/>
  <c r="D202" i="9"/>
  <c r="J199" i="9"/>
  <c r="I198" i="9"/>
  <c r="N198" i="9"/>
  <c r="J197" i="9"/>
  <c r="I197" i="9"/>
  <c r="O197" i="9"/>
  <c r="U197" i="9"/>
  <c r="J196" i="9"/>
  <c r="I195" i="9"/>
  <c r="O195" i="9"/>
  <c r="I194" i="9"/>
  <c r="Q194" i="9"/>
  <c r="I193" i="9"/>
  <c r="J189" i="9"/>
  <c r="I189" i="9"/>
  <c r="N189" i="9"/>
  <c r="I188" i="9"/>
  <c r="P188" i="9"/>
  <c r="J187" i="9"/>
  <c r="J186" i="9"/>
  <c r="L185" i="9"/>
  <c r="I182" i="9"/>
  <c r="J181" i="9"/>
  <c r="Z181" i="9"/>
  <c r="J180" i="9"/>
  <c r="AC180" i="9"/>
  <c r="L175" i="9"/>
  <c r="I173" i="9"/>
  <c r="Q173" i="9"/>
  <c r="J170" i="9"/>
  <c r="AC170" i="9"/>
  <c r="AC169" i="9"/>
  <c r="AB169" i="9"/>
  <c r="AA169" i="9"/>
  <c r="Z169" i="9"/>
  <c r="Y169" i="9"/>
  <c r="I169" i="9"/>
  <c r="O169" i="9"/>
  <c r="U169" i="9"/>
  <c r="J168" i="9"/>
  <c r="I168" i="9"/>
  <c r="J167" i="9"/>
  <c r="I167" i="9"/>
  <c r="M167" i="9"/>
  <c r="AC165" i="9"/>
  <c r="AB165" i="9"/>
  <c r="AA165" i="9"/>
  <c r="Z165" i="9"/>
  <c r="Y165" i="9"/>
  <c r="I165" i="9"/>
  <c r="P165" i="9"/>
  <c r="V165" i="9"/>
  <c r="J164" i="9"/>
  <c r="I164" i="9"/>
  <c r="I162" i="9"/>
  <c r="P162" i="9"/>
  <c r="I161" i="9"/>
  <c r="Q161" i="9"/>
  <c r="I160" i="9"/>
  <c r="H160" i="9"/>
  <c r="G160" i="9"/>
  <c r="D160" i="9"/>
  <c r="I159" i="9"/>
  <c r="H159" i="9"/>
  <c r="H155" i="9"/>
  <c r="D159" i="9"/>
  <c r="G159" i="9"/>
  <c r="J158" i="9"/>
  <c r="I157" i="9"/>
  <c r="Q157" i="9"/>
  <c r="I156" i="9"/>
  <c r="N156" i="9"/>
  <c r="F155" i="9"/>
  <c r="E155" i="9"/>
  <c r="D155" i="9"/>
  <c r="H153" i="9"/>
  <c r="G153" i="9"/>
  <c r="F153" i="9"/>
  <c r="E153" i="9"/>
  <c r="D153" i="9"/>
  <c r="I152" i="9"/>
  <c r="P152" i="9"/>
  <c r="H152" i="9"/>
  <c r="H148" i="9"/>
  <c r="G152" i="9"/>
  <c r="F152" i="9"/>
  <c r="E152" i="9"/>
  <c r="D152" i="9"/>
  <c r="D148" i="9"/>
  <c r="I150" i="9"/>
  <c r="P150" i="9"/>
  <c r="L149" i="9"/>
  <c r="G148" i="9"/>
  <c r="G147" i="9"/>
  <c r="I147" i="9"/>
  <c r="J143" i="9"/>
  <c r="AB143" i="9"/>
  <c r="G143" i="9"/>
  <c r="F143" i="9"/>
  <c r="H143" i="9"/>
  <c r="E143" i="9"/>
  <c r="D143" i="9"/>
  <c r="J142" i="9"/>
  <c r="AB142" i="9"/>
  <c r="F142" i="9"/>
  <c r="E142" i="9"/>
  <c r="H142" i="9"/>
  <c r="G142" i="9"/>
  <c r="D142" i="9"/>
  <c r="J141" i="9"/>
  <c r="AA141" i="9"/>
  <c r="H141" i="9"/>
  <c r="G141" i="9"/>
  <c r="F141" i="9"/>
  <c r="E141" i="9"/>
  <c r="D141" i="9"/>
  <c r="G140" i="9"/>
  <c r="J140" i="9"/>
  <c r="F140" i="9"/>
  <c r="H140" i="9"/>
  <c r="E140" i="9"/>
  <c r="D140" i="9"/>
  <c r="J139" i="9"/>
  <c r="J138" i="9"/>
  <c r="H138" i="9"/>
  <c r="G138" i="9"/>
  <c r="F138" i="9"/>
  <c r="E138" i="9"/>
  <c r="D138" i="9"/>
  <c r="J137" i="9"/>
  <c r="Z137" i="9"/>
  <c r="J136" i="9"/>
  <c r="I136" i="9"/>
  <c r="N136" i="9"/>
  <c r="T136" i="9"/>
  <c r="H136" i="9"/>
  <c r="G136" i="9"/>
  <c r="F136" i="9"/>
  <c r="E136" i="9"/>
  <c r="D136" i="9"/>
  <c r="J135" i="9"/>
  <c r="I135" i="9"/>
  <c r="H115" i="9"/>
  <c r="H135" i="9"/>
  <c r="E115" i="9"/>
  <c r="E135" i="9"/>
  <c r="J133" i="9"/>
  <c r="J132" i="9"/>
  <c r="AB132" i="9"/>
  <c r="J131" i="9"/>
  <c r="J130" i="9"/>
  <c r="J129" i="9"/>
  <c r="I129" i="9"/>
  <c r="O129" i="9"/>
  <c r="U129" i="9"/>
  <c r="J128" i="9"/>
  <c r="Y128" i="9"/>
  <c r="J127" i="9"/>
  <c r="AB127" i="9"/>
  <c r="J126" i="9"/>
  <c r="J125" i="9"/>
  <c r="I125" i="9"/>
  <c r="J124" i="9"/>
  <c r="J122" i="9"/>
  <c r="Y122" i="9"/>
  <c r="I121" i="9"/>
  <c r="N121" i="9"/>
  <c r="I120" i="9"/>
  <c r="Q120" i="9"/>
  <c r="I119" i="9"/>
  <c r="Q119" i="9"/>
  <c r="G119" i="9"/>
  <c r="I118" i="9"/>
  <c r="M118" i="9"/>
  <c r="G118" i="9"/>
  <c r="H117" i="9"/>
  <c r="I117" i="9"/>
  <c r="Q117" i="9"/>
  <c r="G117" i="9"/>
  <c r="F117" i="9"/>
  <c r="E117" i="9"/>
  <c r="D117" i="9"/>
  <c r="J116" i="9"/>
  <c r="J115" i="9"/>
  <c r="I115" i="9"/>
  <c r="F115" i="9"/>
  <c r="F135" i="9"/>
  <c r="G115" i="9"/>
  <c r="D115" i="9"/>
  <c r="D135" i="9"/>
  <c r="I114" i="9"/>
  <c r="H114" i="9"/>
  <c r="G114" i="9"/>
  <c r="F114" i="9"/>
  <c r="E114" i="9"/>
  <c r="D114" i="9"/>
  <c r="J113" i="9"/>
  <c r="AA113" i="9"/>
  <c r="J112" i="9"/>
  <c r="J111" i="9"/>
  <c r="E111" i="9"/>
  <c r="D111" i="9"/>
  <c r="H111" i="9"/>
  <c r="G111" i="9"/>
  <c r="F111" i="9"/>
  <c r="J110" i="9"/>
  <c r="L110" i="9"/>
  <c r="J109" i="9"/>
  <c r="L109" i="9"/>
  <c r="J108" i="9"/>
  <c r="L108" i="9"/>
  <c r="J107" i="9"/>
  <c r="AC107" i="9"/>
  <c r="L107" i="9"/>
  <c r="L106" i="9"/>
  <c r="J106" i="9"/>
  <c r="AA106" i="9"/>
  <c r="J105" i="9"/>
  <c r="Y105" i="9"/>
  <c r="L105" i="9"/>
  <c r="I104" i="9"/>
  <c r="N104" i="9"/>
  <c r="J103" i="9"/>
  <c r="I103" i="9"/>
  <c r="H103" i="9"/>
  <c r="G103" i="9"/>
  <c r="F103" i="9"/>
  <c r="E103" i="9"/>
  <c r="D103" i="9"/>
  <c r="E102" i="9"/>
  <c r="J102" i="9"/>
  <c r="G102" i="9"/>
  <c r="J101" i="9"/>
  <c r="J100" i="9"/>
  <c r="AA100" i="9"/>
  <c r="J99" i="9"/>
  <c r="AC99" i="9"/>
  <c r="J98" i="9"/>
  <c r="I96" i="9"/>
  <c r="O96" i="9"/>
  <c r="I95" i="9"/>
  <c r="Q95" i="9"/>
  <c r="I94" i="9"/>
  <c r="I93" i="9"/>
  <c r="M93" i="9"/>
  <c r="H92" i="9"/>
  <c r="E92" i="9"/>
  <c r="D92" i="9"/>
  <c r="D91" i="9"/>
  <c r="H91" i="9"/>
  <c r="F91" i="9"/>
  <c r="E91" i="9"/>
  <c r="L89" i="9"/>
  <c r="I87" i="9"/>
  <c r="H86" i="9"/>
  <c r="D86" i="9"/>
  <c r="J83" i="9"/>
  <c r="AC83" i="9"/>
  <c r="J82" i="9"/>
  <c r="Z82" i="9"/>
  <c r="J81" i="9"/>
  <c r="I79" i="9"/>
  <c r="O79" i="9"/>
  <c r="J78" i="9"/>
  <c r="I78" i="9"/>
  <c r="AC78" i="9"/>
  <c r="J77" i="9"/>
  <c r="J76" i="9"/>
  <c r="H76" i="9"/>
  <c r="G76" i="9"/>
  <c r="F76" i="9"/>
  <c r="E76" i="9"/>
  <c r="D76" i="9"/>
  <c r="J75" i="9"/>
  <c r="AC75" i="9"/>
  <c r="AA75" i="9"/>
  <c r="Y75" i="9"/>
  <c r="L74" i="9"/>
  <c r="J71" i="9"/>
  <c r="G71" i="9"/>
  <c r="F71" i="9"/>
  <c r="E71" i="9"/>
  <c r="J70" i="9"/>
  <c r="J69" i="9"/>
  <c r="I68" i="9"/>
  <c r="M68" i="9"/>
  <c r="D68" i="9"/>
  <c r="H68" i="9"/>
  <c r="H69" i="9"/>
  <c r="E68" i="9"/>
  <c r="E69" i="9"/>
  <c r="D69" i="9"/>
  <c r="I66" i="9"/>
  <c r="Q66" i="9"/>
  <c r="I65" i="9"/>
  <c r="P65" i="9"/>
  <c r="L64" i="9"/>
  <c r="E62" i="9"/>
  <c r="E63" i="9"/>
  <c r="H62" i="9"/>
  <c r="H63" i="9"/>
  <c r="D62" i="9"/>
  <c r="D63" i="9"/>
  <c r="I62" i="9"/>
  <c r="Q62" i="9"/>
  <c r="G62" i="9"/>
  <c r="F62" i="9"/>
  <c r="I61" i="9"/>
  <c r="M61" i="9"/>
  <c r="I60" i="9"/>
  <c r="O60" i="9"/>
  <c r="J57" i="9"/>
  <c r="J56" i="9"/>
  <c r="J55" i="9"/>
  <c r="Z55" i="9"/>
  <c r="I53" i="9"/>
  <c r="J52" i="9"/>
  <c r="J51" i="9"/>
  <c r="J50" i="9"/>
  <c r="E49" i="9"/>
  <c r="Z49" i="9"/>
  <c r="I49" i="9"/>
  <c r="H49" i="9"/>
  <c r="G49" i="9"/>
  <c r="D49" i="9"/>
  <c r="H48" i="9"/>
  <c r="G48" i="9"/>
  <c r="F48" i="9"/>
  <c r="E48" i="9"/>
  <c r="D48" i="9"/>
  <c r="AC47" i="9"/>
  <c r="AB47" i="9"/>
  <c r="AA47" i="9"/>
  <c r="Z47" i="9"/>
  <c r="Y47" i="9"/>
  <c r="I47" i="9"/>
  <c r="Q47" i="9"/>
  <c r="W47" i="9"/>
  <c r="AC46" i="9"/>
  <c r="AB46" i="9"/>
  <c r="AA46" i="9"/>
  <c r="Z46" i="9"/>
  <c r="Y46" i="9"/>
  <c r="I46" i="9"/>
  <c r="M46" i="9"/>
  <c r="S46" i="9"/>
  <c r="I45" i="9"/>
  <c r="M45" i="9"/>
  <c r="J44" i="9"/>
  <c r="Y44" i="9"/>
  <c r="L43" i="9"/>
  <c r="G42" i="9"/>
  <c r="J39" i="9"/>
  <c r="AC39" i="9"/>
  <c r="J37" i="9"/>
  <c r="Z37" i="9"/>
  <c r="J36" i="9"/>
  <c r="J35" i="9"/>
  <c r="J34" i="9"/>
  <c r="Z34" i="9"/>
  <c r="I33" i="9"/>
  <c r="P33" i="9"/>
  <c r="D33" i="9"/>
  <c r="H33" i="9"/>
  <c r="F33" i="9"/>
  <c r="E33" i="9"/>
  <c r="I32" i="9"/>
  <c r="H32" i="9"/>
  <c r="G32" i="9"/>
  <c r="F32" i="9"/>
  <c r="E32" i="9"/>
  <c r="D32" i="9"/>
  <c r="I31" i="9"/>
  <c r="M31" i="9"/>
  <c r="E29" i="9"/>
  <c r="J29" i="9"/>
  <c r="H29" i="9"/>
  <c r="G29" i="9"/>
  <c r="F29" i="9"/>
  <c r="D29" i="9"/>
  <c r="L27" i="9"/>
  <c r="G26" i="9"/>
  <c r="F26" i="9"/>
  <c r="H26" i="9"/>
  <c r="E26" i="9"/>
  <c r="D26" i="9"/>
  <c r="I25" i="9"/>
  <c r="O25" i="9"/>
  <c r="I24" i="9"/>
  <c r="P24" i="9"/>
  <c r="I23" i="9"/>
  <c r="Q23" i="9"/>
  <c r="I22" i="9"/>
  <c r="O22" i="9"/>
  <c r="I21" i="9"/>
  <c r="M21" i="9"/>
  <c r="I20" i="9"/>
  <c r="P20" i="9"/>
  <c r="I19" i="9"/>
  <c r="P19" i="9"/>
  <c r="I17" i="9"/>
  <c r="Q17" i="9"/>
  <c r="I16" i="9"/>
  <c r="M16" i="9"/>
  <c r="Q12" i="9"/>
  <c r="P12" i="9"/>
  <c r="O12" i="9"/>
  <c r="N12" i="9"/>
  <c r="M12" i="9"/>
  <c r="Q11" i="9"/>
  <c r="P11" i="9"/>
  <c r="O11" i="9"/>
  <c r="N11" i="9"/>
  <c r="M11" i="9"/>
  <c r="M334" i="8"/>
  <c r="M329" i="8"/>
  <c r="E32" i="15"/>
  <c r="M328" i="8"/>
  <c r="E31" i="15"/>
  <c r="AH313" i="8"/>
  <c r="AF311" i="8"/>
  <c r="N311" i="8"/>
  <c r="AM311" i="8"/>
  <c r="M310" i="8"/>
  <c r="Q310" i="8"/>
  <c r="L310" i="8"/>
  <c r="K310" i="8"/>
  <c r="I310" i="8"/>
  <c r="H310" i="8"/>
  <c r="M309" i="8"/>
  <c r="X309" i="8"/>
  <c r="M308" i="8"/>
  <c r="T308" i="8"/>
  <c r="N306" i="8"/>
  <c r="AN306" i="8"/>
  <c r="N305" i="8"/>
  <c r="AP305" i="8"/>
  <c r="N304" i="8"/>
  <c r="L304" i="8"/>
  <c r="K304" i="8"/>
  <c r="J304" i="8"/>
  <c r="I304" i="8"/>
  <c r="H304" i="8"/>
  <c r="G304" i="8"/>
  <c r="F304" i="8"/>
  <c r="E304" i="8"/>
  <c r="N303" i="8"/>
  <c r="N302" i="8"/>
  <c r="N301" i="8"/>
  <c r="AP301" i="8"/>
  <c r="N300" i="8"/>
  <c r="AP300" i="8"/>
  <c r="N299" i="8"/>
  <c r="M299" i="8"/>
  <c r="L299" i="8"/>
  <c r="K299" i="8"/>
  <c r="J299" i="8"/>
  <c r="I299" i="8"/>
  <c r="H299" i="8"/>
  <c r="G299" i="8"/>
  <c r="F299" i="8"/>
  <c r="E299" i="8"/>
  <c r="N298" i="8"/>
  <c r="AO298" i="8"/>
  <c r="M297" i="8"/>
  <c r="Q297" i="8"/>
  <c r="M296" i="8"/>
  <c r="Q296" i="8"/>
  <c r="K296" i="8"/>
  <c r="J296" i="8"/>
  <c r="I296" i="8"/>
  <c r="G296" i="8"/>
  <c r="F296" i="8"/>
  <c r="M295" i="8"/>
  <c r="T295" i="8"/>
  <c r="K295" i="8"/>
  <c r="J295" i="8"/>
  <c r="I295" i="8"/>
  <c r="G295" i="8"/>
  <c r="F295" i="8"/>
  <c r="M294" i="8"/>
  <c r="U294" i="8"/>
  <c r="K294" i="8"/>
  <c r="J294" i="8"/>
  <c r="I294" i="8"/>
  <c r="G294" i="8"/>
  <c r="F294" i="8"/>
  <c r="L293" i="8"/>
  <c r="K293" i="8"/>
  <c r="J293" i="8"/>
  <c r="I293" i="8"/>
  <c r="H293" i="8"/>
  <c r="G293" i="8"/>
  <c r="F293" i="8"/>
  <c r="E293" i="8"/>
  <c r="M292" i="8"/>
  <c r="W292" i="8"/>
  <c r="M291" i="8"/>
  <c r="L291" i="8"/>
  <c r="K291" i="8"/>
  <c r="J291" i="8"/>
  <c r="I291" i="8"/>
  <c r="H291" i="8"/>
  <c r="E291" i="8"/>
  <c r="M289" i="8"/>
  <c r="T289" i="8"/>
  <c r="N288" i="8"/>
  <c r="AI288" i="8"/>
  <c r="N287" i="8"/>
  <c r="N286" i="8"/>
  <c r="N285" i="8"/>
  <c r="AO285" i="8"/>
  <c r="N284" i="8"/>
  <c r="AI284" i="8"/>
  <c r="N283" i="8"/>
  <c r="N282" i="8"/>
  <c r="AK282" i="8"/>
  <c r="N281" i="8"/>
  <c r="AL281" i="8"/>
  <c r="N280" i="8"/>
  <c r="M279" i="8"/>
  <c r="S279" i="8"/>
  <c r="M278" i="8"/>
  <c r="V278" i="8"/>
  <c r="F278" i="8"/>
  <c r="M277" i="8"/>
  <c r="F277" i="8"/>
  <c r="M276" i="8"/>
  <c r="U276" i="8"/>
  <c r="F276" i="8"/>
  <c r="N275" i="8"/>
  <c r="N274" i="8"/>
  <c r="AK274" i="8"/>
  <c r="N273" i="8"/>
  <c r="M272" i="8"/>
  <c r="R272" i="8"/>
  <c r="N271" i="8"/>
  <c r="M270" i="8"/>
  <c r="S270" i="8"/>
  <c r="N269" i="8"/>
  <c r="F269" i="8"/>
  <c r="N268" i="8"/>
  <c r="F268" i="8"/>
  <c r="N267" i="8"/>
  <c r="AL267" i="8"/>
  <c r="N266" i="8"/>
  <c r="AN266" i="8"/>
  <c r="M265" i="8"/>
  <c r="U265" i="8"/>
  <c r="N264" i="8"/>
  <c r="N263" i="8"/>
  <c r="N262" i="8"/>
  <c r="AI262" i="8"/>
  <c r="N261" i="8"/>
  <c r="AO261" i="8"/>
  <c r="N260" i="8"/>
  <c r="AN260" i="8"/>
  <c r="N259" i="8"/>
  <c r="AN259" i="8"/>
  <c r="N258" i="8"/>
  <c r="AK258" i="8"/>
  <c r="M257" i="8"/>
  <c r="X257" i="8"/>
  <c r="N256" i="8"/>
  <c r="N255" i="8"/>
  <c r="AP255" i="8"/>
  <c r="N254" i="8"/>
  <c r="AO254" i="8"/>
  <c r="N253" i="8"/>
  <c r="AP253" i="8"/>
  <c r="N252" i="8"/>
  <c r="AI252" i="8"/>
  <c r="M251" i="8"/>
  <c r="U251" i="8"/>
  <c r="N250" i="8"/>
  <c r="N249" i="8"/>
  <c r="N248" i="8"/>
  <c r="N247" i="8"/>
  <c r="N246" i="8"/>
  <c r="AP246" i="8"/>
  <c r="N245" i="8"/>
  <c r="N244" i="8"/>
  <c r="AL244" i="8"/>
  <c r="N243" i="8"/>
  <c r="AN243" i="8"/>
  <c r="AO243" i="8"/>
  <c r="AL243" i="8"/>
  <c r="AK243" i="8"/>
  <c r="N242" i="8"/>
  <c r="AO242" i="8"/>
  <c r="N241" i="8"/>
  <c r="N240" i="8"/>
  <c r="N239" i="8"/>
  <c r="N238" i="8"/>
  <c r="AK238" i="8"/>
  <c r="N237" i="8"/>
  <c r="AJ237" i="8"/>
  <c r="N236" i="8"/>
  <c r="N235" i="8"/>
  <c r="N232" i="8"/>
  <c r="N231" i="8"/>
  <c r="N230" i="8"/>
  <c r="AP230" i="8"/>
  <c r="N229" i="8"/>
  <c r="AJ229" i="8"/>
  <c r="AM229" i="8"/>
  <c r="N228" i="8"/>
  <c r="M228" i="8"/>
  <c r="N227" i="8"/>
  <c r="AN227" i="8"/>
  <c r="N226" i="8"/>
  <c r="L226" i="8"/>
  <c r="K226" i="8"/>
  <c r="J226" i="8"/>
  <c r="I226" i="8"/>
  <c r="H226" i="8"/>
  <c r="G226" i="8"/>
  <c r="F226" i="8"/>
  <c r="AJ226" i="8"/>
  <c r="E226" i="8"/>
  <c r="N225" i="8"/>
  <c r="M225" i="8"/>
  <c r="L225" i="8"/>
  <c r="K225" i="8"/>
  <c r="J225" i="8"/>
  <c r="I225" i="8"/>
  <c r="H225" i="8"/>
  <c r="G225" i="8"/>
  <c r="F225" i="8"/>
  <c r="AJ225" i="8"/>
  <c r="E225" i="8"/>
  <c r="N224" i="8"/>
  <c r="M224" i="8"/>
  <c r="N223" i="8"/>
  <c r="M223" i="8"/>
  <c r="X223" i="8"/>
  <c r="AG223" i="8"/>
  <c r="J223" i="8"/>
  <c r="J224" i="8"/>
  <c r="L223" i="8"/>
  <c r="K223" i="8"/>
  <c r="I223" i="8"/>
  <c r="H223" i="8"/>
  <c r="G223" i="8"/>
  <c r="F223" i="8"/>
  <c r="F224" i="8"/>
  <c r="E223" i="8"/>
  <c r="N222" i="8"/>
  <c r="M222" i="8"/>
  <c r="L221" i="8"/>
  <c r="L222" i="8"/>
  <c r="AP222" i="8"/>
  <c r="N221" i="8"/>
  <c r="K221" i="8"/>
  <c r="J221" i="8"/>
  <c r="I221" i="8"/>
  <c r="H221" i="8"/>
  <c r="H222" i="8"/>
  <c r="G221" i="8"/>
  <c r="F221" i="8"/>
  <c r="E221" i="8"/>
  <c r="N220" i="8"/>
  <c r="I219" i="8"/>
  <c r="I220" i="8"/>
  <c r="H219" i="8"/>
  <c r="H220" i="8"/>
  <c r="E219" i="8"/>
  <c r="E220" i="8"/>
  <c r="N219" i="8"/>
  <c r="L219" i="8"/>
  <c r="L220" i="8"/>
  <c r="K219" i="8"/>
  <c r="J219" i="8"/>
  <c r="G219" i="8"/>
  <c r="F219" i="8"/>
  <c r="N217" i="8"/>
  <c r="M217" i="8"/>
  <c r="N216" i="8"/>
  <c r="M215" i="8"/>
  <c r="U215" i="8"/>
  <c r="M214" i="8"/>
  <c r="X214" i="8"/>
  <c r="M211" i="8"/>
  <c r="W211" i="8"/>
  <c r="P210" i="8"/>
  <c r="L209" i="8"/>
  <c r="K209" i="8"/>
  <c r="H209" i="8"/>
  <c r="L207" i="8"/>
  <c r="K207" i="8"/>
  <c r="J207" i="8"/>
  <c r="I207" i="8"/>
  <c r="H207" i="8"/>
  <c r="G207" i="8"/>
  <c r="F207" i="8"/>
  <c r="F307" i="8"/>
  <c r="E207" i="8"/>
  <c r="P205" i="8"/>
  <c r="P203" i="8"/>
  <c r="L202" i="8"/>
  <c r="K202" i="8"/>
  <c r="J202" i="8"/>
  <c r="I202" i="8"/>
  <c r="H202" i="8"/>
  <c r="G202" i="8"/>
  <c r="F202" i="8"/>
  <c r="E202" i="8"/>
  <c r="N199" i="8"/>
  <c r="AI199" i="8"/>
  <c r="M198" i="8"/>
  <c r="V198" i="8"/>
  <c r="N197" i="8"/>
  <c r="N196" i="8"/>
  <c r="AO196" i="8"/>
  <c r="M195" i="8"/>
  <c r="X195" i="8"/>
  <c r="M194" i="8"/>
  <c r="U194" i="8"/>
  <c r="M193" i="8"/>
  <c r="X193" i="8"/>
  <c r="N189" i="8"/>
  <c r="M189" i="8"/>
  <c r="W189" i="8"/>
  <c r="M188" i="8"/>
  <c r="W188" i="8"/>
  <c r="N187" i="8"/>
  <c r="AO187" i="8"/>
  <c r="N186" i="8"/>
  <c r="AN186" i="8"/>
  <c r="P185" i="8"/>
  <c r="M182" i="8"/>
  <c r="R182" i="8"/>
  <c r="N181" i="8"/>
  <c r="N180" i="8"/>
  <c r="P175" i="8"/>
  <c r="M173" i="8"/>
  <c r="Q173" i="8"/>
  <c r="N170" i="8"/>
  <c r="AL170" i="8"/>
  <c r="AP169" i="8"/>
  <c r="AO169" i="8"/>
  <c r="AN169" i="8"/>
  <c r="AM169" i="8"/>
  <c r="AL169" i="8"/>
  <c r="AK169" i="8"/>
  <c r="AJ169" i="8"/>
  <c r="AI169" i="8"/>
  <c r="M169" i="8"/>
  <c r="T169" i="8"/>
  <c r="AC169" i="8"/>
  <c r="N168" i="8"/>
  <c r="M168" i="8"/>
  <c r="N167" i="8"/>
  <c r="M167" i="8"/>
  <c r="X167" i="8"/>
  <c r="M166" i="8"/>
  <c r="U166" i="8"/>
  <c r="AP165" i="8"/>
  <c r="AO165" i="8"/>
  <c r="AN165" i="8"/>
  <c r="AM165" i="8"/>
  <c r="AL165" i="8"/>
  <c r="AK165" i="8"/>
  <c r="AJ165" i="8"/>
  <c r="AI165" i="8"/>
  <c r="M165" i="8"/>
  <c r="U165" i="8"/>
  <c r="AD165" i="8"/>
  <c r="N164" i="8"/>
  <c r="M164" i="8"/>
  <c r="M162" i="8"/>
  <c r="T162" i="8"/>
  <c r="M161" i="8"/>
  <c r="W161" i="8"/>
  <c r="M160" i="8"/>
  <c r="L160" i="8"/>
  <c r="K160" i="8"/>
  <c r="J160" i="8"/>
  <c r="I160" i="8"/>
  <c r="H160" i="8"/>
  <c r="G160" i="8"/>
  <c r="F160" i="8"/>
  <c r="E160" i="8"/>
  <c r="M159" i="8"/>
  <c r="K159" i="8"/>
  <c r="K155" i="8"/>
  <c r="L42" i="8"/>
  <c r="J159" i="8"/>
  <c r="I159" i="8"/>
  <c r="I155" i="8"/>
  <c r="H159" i="8"/>
  <c r="G159" i="8"/>
  <c r="F159" i="8"/>
  <c r="E159" i="8"/>
  <c r="N158" i="8"/>
  <c r="M157" i="8"/>
  <c r="V157" i="8"/>
  <c r="M156" i="8"/>
  <c r="S156" i="8"/>
  <c r="L155" i="8"/>
  <c r="H155" i="8"/>
  <c r="G155" i="8"/>
  <c r="F155" i="8"/>
  <c r="E155" i="8"/>
  <c r="K153" i="8"/>
  <c r="J153" i="8"/>
  <c r="I153" i="8"/>
  <c r="I148" i="8"/>
  <c r="I147" i="8"/>
  <c r="H153" i="8"/>
  <c r="G153" i="8"/>
  <c r="F153" i="8"/>
  <c r="M152" i="8"/>
  <c r="S152" i="8"/>
  <c r="G152" i="8"/>
  <c r="L152" i="8"/>
  <c r="L148" i="8"/>
  <c r="L147" i="8"/>
  <c r="K152" i="8"/>
  <c r="J152" i="8"/>
  <c r="J148" i="8"/>
  <c r="I152" i="8"/>
  <c r="H152" i="8"/>
  <c r="F152" i="8"/>
  <c r="E152" i="8"/>
  <c r="M150" i="8"/>
  <c r="Q150" i="8"/>
  <c r="P149" i="8"/>
  <c r="M147" i="8"/>
  <c r="N143" i="8"/>
  <c r="L143" i="8"/>
  <c r="K143" i="8"/>
  <c r="J143" i="8"/>
  <c r="I143" i="8"/>
  <c r="H143" i="8"/>
  <c r="G143" i="8"/>
  <c r="F143" i="8"/>
  <c r="E143" i="8"/>
  <c r="J142" i="8"/>
  <c r="N142" i="8"/>
  <c r="G142" i="8"/>
  <c r="L142" i="8"/>
  <c r="K142" i="8"/>
  <c r="I142" i="8"/>
  <c r="H142" i="8"/>
  <c r="F142" i="8"/>
  <c r="E142" i="8"/>
  <c r="N141" i="8"/>
  <c r="M141" i="8"/>
  <c r="S141" i="8"/>
  <c r="AB141" i="8"/>
  <c r="K141" i="8"/>
  <c r="L141" i="8"/>
  <c r="J141" i="8"/>
  <c r="I141" i="8"/>
  <c r="H141" i="8"/>
  <c r="G141" i="8"/>
  <c r="F141" i="8"/>
  <c r="E141" i="8"/>
  <c r="N140" i="8"/>
  <c r="L140" i="8"/>
  <c r="K140" i="8"/>
  <c r="J140" i="8"/>
  <c r="I140" i="8"/>
  <c r="H140" i="8"/>
  <c r="G140" i="8"/>
  <c r="F140" i="8"/>
  <c r="E140" i="8"/>
  <c r="N139" i="8"/>
  <c r="AK139" i="8"/>
  <c r="N138" i="8"/>
  <c r="M138" i="8"/>
  <c r="K138" i="8"/>
  <c r="L138" i="8"/>
  <c r="J138" i="8"/>
  <c r="I138" i="8"/>
  <c r="H138" i="8"/>
  <c r="G138" i="8"/>
  <c r="F138" i="8"/>
  <c r="E138" i="8"/>
  <c r="N137" i="8"/>
  <c r="N136" i="8"/>
  <c r="L136" i="8"/>
  <c r="K136" i="8"/>
  <c r="J136" i="8"/>
  <c r="I136" i="8"/>
  <c r="H136" i="8"/>
  <c r="G136" i="8"/>
  <c r="F136" i="8"/>
  <c r="E136" i="8"/>
  <c r="N135" i="8"/>
  <c r="M135" i="8"/>
  <c r="N133" i="8"/>
  <c r="N132" i="8"/>
  <c r="AJ132" i="8"/>
  <c r="N131" i="8"/>
  <c r="N130" i="8"/>
  <c r="N129" i="8"/>
  <c r="N128" i="8"/>
  <c r="N127" i="8"/>
  <c r="AO127" i="8"/>
  <c r="N126" i="8"/>
  <c r="N125" i="8"/>
  <c r="AM125" i="8"/>
  <c r="N124" i="8"/>
  <c r="N122" i="8"/>
  <c r="M121" i="8"/>
  <c r="Q121" i="8"/>
  <c r="M120" i="8"/>
  <c r="W120" i="8"/>
  <c r="M119" i="8"/>
  <c r="M118" i="8"/>
  <c r="U118" i="8"/>
  <c r="M117" i="8"/>
  <c r="J117" i="8"/>
  <c r="I117" i="8"/>
  <c r="H117" i="8"/>
  <c r="G117" i="8"/>
  <c r="F117" i="8"/>
  <c r="E117" i="8"/>
  <c r="N116" i="8"/>
  <c r="N115" i="8"/>
  <c r="M115" i="8"/>
  <c r="L115" i="8"/>
  <c r="L135" i="8"/>
  <c r="J115" i="8"/>
  <c r="I115" i="8"/>
  <c r="I135" i="8"/>
  <c r="H115" i="8"/>
  <c r="H135" i="8"/>
  <c r="G115" i="8"/>
  <c r="G135" i="8"/>
  <c r="F115" i="8"/>
  <c r="E115" i="8"/>
  <c r="E135" i="8"/>
  <c r="M114" i="8"/>
  <c r="L114" i="8"/>
  <c r="K114" i="8"/>
  <c r="J114" i="8"/>
  <c r="I114" i="8"/>
  <c r="H114" i="8"/>
  <c r="G114" i="8"/>
  <c r="F114" i="8"/>
  <c r="E114" i="8"/>
  <c r="N113" i="8"/>
  <c r="AJ113" i="8"/>
  <c r="AL113" i="8"/>
  <c r="N112" i="8"/>
  <c r="AK112" i="8"/>
  <c r="N111" i="8"/>
  <c r="L111" i="8"/>
  <c r="K111" i="8"/>
  <c r="J111" i="8"/>
  <c r="H111" i="8"/>
  <c r="G111" i="8"/>
  <c r="F111" i="8"/>
  <c r="E111" i="8"/>
  <c r="N110" i="8"/>
  <c r="AM110" i="8"/>
  <c r="P110" i="8"/>
  <c r="N109" i="8"/>
  <c r="P109" i="8"/>
  <c r="N108" i="8"/>
  <c r="AM108" i="8"/>
  <c r="P108" i="8"/>
  <c r="N107" i="8"/>
  <c r="P107" i="8"/>
  <c r="P106" i="8"/>
  <c r="N106" i="8"/>
  <c r="N105" i="8"/>
  <c r="AP105" i="8"/>
  <c r="AL105" i="8"/>
  <c r="P105" i="8"/>
  <c r="M104" i="8"/>
  <c r="N103" i="8"/>
  <c r="M103" i="8"/>
  <c r="L103" i="8"/>
  <c r="E103" i="8"/>
  <c r="K103" i="8"/>
  <c r="J103" i="8"/>
  <c r="I103" i="8"/>
  <c r="H103" i="8"/>
  <c r="G103" i="8"/>
  <c r="F103" i="8"/>
  <c r="N102" i="8"/>
  <c r="L102" i="8"/>
  <c r="I102" i="8"/>
  <c r="H102" i="8"/>
  <c r="G102" i="8"/>
  <c r="F102" i="8"/>
  <c r="N101" i="8"/>
  <c r="AO101" i="8"/>
  <c r="N100" i="8"/>
  <c r="AM100" i="8"/>
  <c r="N99" i="8"/>
  <c r="N98" i="8"/>
  <c r="M96" i="8"/>
  <c r="U96" i="8"/>
  <c r="M95" i="8"/>
  <c r="V95" i="8"/>
  <c r="M94" i="8"/>
  <c r="V94" i="8"/>
  <c r="M93" i="8"/>
  <c r="R93" i="8"/>
  <c r="L92" i="8"/>
  <c r="K92" i="8"/>
  <c r="I92" i="8"/>
  <c r="H92" i="8"/>
  <c r="G92" i="8"/>
  <c r="F92" i="8"/>
  <c r="L91" i="8"/>
  <c r="J91" i="8"/>
  <c r="J86" i="8"/>
  <c r="I91" i="8"/>
  <c r="H91" i="8"/>
  <c r="G91" i="8"/>
  <c r="F91" i="8"/>
  <c r="E91" i="8"/>
  <c r="E86" i="8"/>
  <c r="P89" i="8"/>
  <c r="M87" i="8"/>
  <c r="W87" i="8"/>
  <c r="I86" i="8"/>
  <c r="G86" i="8"/>
  <c r="F86" i="8"/>
  <c r="N83" i="8"/>
  <c r="AN83" i="8"/>
  <c r="N82" i="8"/>
  <c r="AJ82" i="8"/>
  <c r="N81" i="8"/>
  <c r="AL81" i="8"/>
  <c r="AP81" i="8"/>
  <c r="M79" i="8"/>
  <c r="N78" i="8"/>
  <c r="M78" i="8"/>
  <c r="AJ78" i="8"/>
  <c r="N77" i="8"/>
  <c r="AP77" i="8"/>
  <c r="H76" i="8"/>
  <c r="N76" i="8"/>
  <c r="AL76" i="8"/>
  <c r="L76" i="8"/>
  <c r="K76" i="8"/>
  <c r="G76" i="8"/>
  <c r="F76" i="8"/>
  <c r="AJ76" i="8"/>
  <c r="N75" i="8"/>
  <c r="M75" i="8"/>
  <c r="T75" i="8"/>
  <c r="AC75" i="8"/>
  <c r="P74" i="8"/>
  <c r="I71" i="8"/>
  <c r="N71" i="8"/>
  <c r="K71" i="8"/>
  <c r="G71" i="8"/>
  <c r="N70" i="8"/>
  <c r="AO70" i="8"/>
  <c r="N69" i="8"/>
  <c r="L69" i="8"/>
  <c r="K68" i="8"/>
  <c r="K69" i="8"/>
  <c r="M68" i="8"/>
  <c r="T68" i="8"/>
  <c r="J68" i="8"/>
  <c r="J69" i="8"/>
  <c r="I68" i="8"/>
  <c r="I69" i="8"/>
  <c r="G68" i="8"/>
  <c r="G69" i="8"/>
  <c r="F68" i="8"/>
  <c r="F69" i="8"/>
  <c r="M66" i="8"/>
  <c r="W66" i="8"/>
  <c r="M65" i="8"/>
  <c r="Q65" i="8"/>
  <c r="P64" i="8"/>
  <c r="G63" i="8"/>
  <c r="L63" i="8"/>
  <c r="F63" i="8"/>
  <c r="E63" i="8"/>
  <c r="M62" i="8"/>
  <c r="L62" i="8"/>
  <c r="K62" i="8"/>
  <c r="K63" i="8"/>
  <c r="J62" i="8"/>
  <c r="J63" i="8"/>
  <c r="I62" i="8"/>
  <c r="I63" i="8"/>
  <c r="H62" i="8"/>
  <c r="G62" i="8"/>
  <c r="F62" i="8"/>
  <c r="E62" i="8"/>
  <c r="M61" i="8"/>
  <c r="X61" i="8"/>
  <c r="M60" i="8"/>
  <c r="R60" i="8"/>
  <c r="N57" i="8"/>
  <c r="AL57" i="8"/>
  <c r="N56" i="8"/>
  <c r="N55" i="8"/>
  <c r="M55" i="8"/>
  <c r="U55" i="8"/>
  <c r="AD55" i="8"/>
  <c r="AN55" i="8"/>
  <c r="M53" i="8"/>
  <c r="T53" i="8"/>
  <c r="N52" i="8"/>
  <c r="AL52" i="8"/>
  <c r="N51" i="8"/>
  <c r="N50" i="8"/>
  <c r="AP50" i="8"/>
  <c r="AO50" i="8"/>
  <c r="AK50" i="8"/>
  <c r="N49" i="8"/>
  <c r="L49" i="8"/>
  <c r="K49" i="8"/>
  <c r="H49" i="8"/>
  <c r="G49" i="8"/>
  <c r="F49" i="8"/>
  <c r="E49" i="8"/>
  <c r="L48" i="8"/>
  <c r="K48" i="8"/>
  <c r="J48" i="8"/>
  <c r="I48" i="8"/>
  <c r="H48" i="8"/>
  <c r="G48" i="8"/>
  <c r="F48" i="8"/>
  <c r="E48" i="8"/>
  <c r="AP47" i="8"/>
  <c r="AO47" i="8"/>
  <c r="AN47" i="8"/>
  <c r="AM47" i="8"/>
  <c r="AL47" i="8"/>
  <c r="AK47" i="8"/>
  <c r="AJ47" i="8"/>
  <c r="AI47" i="8"/>
  <c r="M47" i="8"/>
  <c r="R47" i="8"/>
  <c r="AA47" i="8"/>
  <c r="AP46" i="8"/>
  <c r="AO46" i="8"/>
  <c r="AN46" i="8"/>
  <c r="AM46" i="8"/>
  <c r="AL46" i="8"/>
  <c r="AK46" i="8"/>
  <c r="AJ46" i="8"/>
  <c r="AI46" i="8"/>
  <c r="M46" i="8"/>
  <c r="Q46" i="8"/>
  <c r="Z46" i="8"/>
  <c r="M45" i="8"/>
  <c r="R45" i="8"/>
  <c r="N44" i="8"/>
  <c r="AK44" i="8"/>
  <c r="P43" i="8"/>
  <c r="N39" i="8"/>
  <c r="AI39" i="8"/>
  <c r="N37" i="8"/>
  <c r="N36" i="8"/>
  <c r="N35" i="8"/>
  <c r="N34" i="8"/>
  <c r="M33" i="8"/>
  <c r="T33" i="8"/>
  <c r="M32" i="8"/>
  <c r="L32" i="8"/>
  <c r="K32" i="8"/>
  <c r="J32" i="8"/>
  <c r="I32" i="8"/>
  <c r="H32" i="8"/>
  <c r="G32" i="8"/>
  <c r="F32" i="8"/>
  <c r="E32" i="8"/>
  <c r="M31" i="8"/>
  <c r="U31" i="8"/>
  <c r="L29" i="8"/>
  <c r="N29" i="8"/>
  <c r="AL29" i="8"/>
  <c r="K29" i="8"/>
  <c r="J29" i="8"/>
  <c r="I29" i="8"/>
  <c r="H29" i="8"/>
  <c r="G29" i="8"/>
  <c r="F29" i="8"/>
  <c r="E29" i="8"/>
  <c r="AI29" i="8"/>
  <c r="P27" i="8"/>
  <c r="I26" i="8"/>
  <c r="K26" i="8"/>
  <c r="J26" i="8"/>
  <c r="G26" i="8"/>
  <c r="F26" i="8"/>
  <c r="M25" i="8"/>
  <c r="S25" i="8"/>
  <c r="M24" i="8"/>
  <c r="M23" i="8"/>
  <c r="Q23" i="8"/>
  <c r="M22" i="8"/>
  <c r="M21" i="8"/>
  <c r="U21" i="8"/>
  <c r="M20" i="8"/>
  <c r="Q20" i="8"/>
  <c r="M19" i="8"/>
  <c r="X19" i="8"/>
  <c r="M18" i="8"/>
  <c r="Q18" i="8"/>
  <c r="M17" i="8"/>
  <c r="X17" i="8"/>
  <c r="M16" i="8"/>
  <c r="X12" i="8"/>
  <c r="W12" i="8"/>
  <c r="V12" i="8"/>
  <c r="U12" i="8"/>
  <c r="T12" i="8"/>
  <c r="S12" i="8"/>
  <c r="R12" i="8"/>
  <c r="Q12" i="8"/>
  <c r="X11" i="8"/>
  <c r="W11" i="8"/>
  <c r="V11" i="8"/>
  <c r="U11" i="8"/>
  <c r="T11" i="8"/>
  <c r="S11" i="8"/>
  <c r="R11" i="8"/>
  <c r="Q11" i="8"/>
  <c r="C22" i="7"/>
  <c r="E21" i="7"/>
  <c r="C19" i="7"/>
  <c r="C10" i="5"/>
  <c r="E18" i="7"/>
  <c r="C16" i="7"/>
  <c r="E15" i="7"/>
  <c r="E14" i="7"/>
  <c r="E13" i="7"/>
  <c r="E12" i="7"/>
  <c r="E11" i="7"/>
  <c r="D10" i="7"/>
  <c r="E10" i="7"/>
  <c r="E9" i="7"/>
  <c r="C7" i="7"/>
  <c r="M5" i="7"/>
  <c r="D5" i="7"/>
  <c r="E5" i="7"/>
  <c r="F8" i="6"/>
  <c r="R16" i="6"/>
  <c r="G16" i="6"/>
  <c r="H16" i="6"/>
  <c r="R15" i="6"/>
  <c r="G15" i="6"/>
  <c r="H15" i="6"/>
  <c r="Q14" i="6"/>
  <c r="R14" i="6"/>
  <c r="G14" i="6"/>
  <c r="H14" i="6"/>
  <c r="R13" i="6"/>
  <c r="G13" i="6"/>
  <c r="H13" i="6"/>
  <c r="F13" i="6"/>
  <c r="R12" i="6"/>
  <c r="G12" i="6"/>
  <c r="F12" i="6"/>
  <c r="R11" i="6"/>
  <c r="G11" i="6"/>
  <c r="H11" i="6"/>
  <c r="Q10" i="6"/>
  <c r="R10" i="6"/>
  <c r="G10" i="6"/>
  <c r="H10" i="6"/>
  <c r="F10" i="6"/>
  <c r="R9" i="6"/>
  <c r="G9" i="6"/>
  <c r="H9" i="6"/>
  <c r="R8" i="6"/>
  <c r="G8" i="6"/>
  <c r="H8" i="6"/>
  <c r="Q7" i="6"/>
  <c r="R7" i="6"/>
  <c r="G7" i="6"/>
  <c r="H7" i="6"/>
  <c r="Q6" i="6"/>
  <c r="R6" i="6"/>
  <c r="G6" i="6"/>
  <c r="H6" i="6"/>
  <c r="F6" i="6"/>
  <c r="Q5" i="6"/>
  <c r="R5" i="6"/>
  <c r="G5" i="6"/>
  <c r="H5" i="6"/>
  <c r="F5" i="6"/>
  <c r="R4" i="6"/>
  <c r="G4" i="6"/>
  <c r="H4" i="6"/>
  <c r="F4" i="6"/>
  <c r="E12" i="5"/>
  <c r="C12" i="5"/>
  <c r="E10" i="5"/>
  <c r="C8" i="5"/>
  <c r="C6" i="5"/>
  <c r="AL69" i="8"/>
  <c r="AM111" i="8"/>
  <c r="AL111" i="8"/>
  <c r="F148" i="8"/>
  <c r="F147" i="8"/>
  <c r="J307" i="8"/>
  <c r="AK170" i="8"/>
  <c r="AL239" i="8"/>
  <c r="AP170" i="8"/>
  <c r="AN252" i="8"/>
  <c r="AO111" i="8"/>
  <c r="AO223" i="8"/>
  <c r="K224" i="8"/>
  <c r="AJ230" i="8"/>
  <c r="AK35" i="8"/>
  <c r="AP55" i="8"/>
  <c r="AM55" i="8"/>
  <c r="AJ55" i="8"/>
  <c r="AI55" i="8"/>
  <c r="AP245" i="8"/>
  <c r="AJ223" i="8"/>
  <c r="AI57" i="8"/>
  <c r="AN113" i="8"/>
  <c r="AK127" i="8"/>
  <c r="M132" i="8"/>
  <c r="U159" i="8"/>
  <c r="S161" i="8"/>
  <c r="AN225" i="8"/>
  <c r="AO228" i="8"/>
  <c r="M253" i="8"/>
  <c r="T253" i="8"/>
  <c r="AC253" i="8"/>
  <c r="AJ266" i="8"/>
  <c r="AI286" i="8"/>
  <c r="W291" i="8"/>
  <c r="M298" i="8"/>
  <c r="V298" i="8"/>
  <c r="AE298" i="8"/>
  <c r="AP57" i="8"/>
  <c r="AK111" i="8"/>
  <c r="T161" i="8"/>
  <c r="AM227" i="8"/>
  <c r="AL262" i="8"/>
  <c r="AJ286" i="8"/>
  <c r="AJ98" i="8"/>
  <c r="M113" i="8"/>
  <c r="M116" i="8"/>
  <c r="W116" i="8"/>
  <c r="AF116" i="8"/>
  <c r="U160" i="8"/>
  <c r="AL253" i="8"/>
  <c r="AL298" i="8"/>
  <c r="X159" i="8"/>
  <c r="F222" i="8"/>
  <c r="AN223" i="8"/>
  <c r="AI225" i="8"/>
  <c r="AP232" i="8"/>
  <c r="AO259" i="8"/>
  <c r="R117" i="8"/>
  <c r="AP75" i="8"/>
  <c r="H86" i="8"/>
  <c r="AO100" i="8"/>
  <c r="AP100" i="8"/>
  <c r="AI100" i="8"/>
  <c r="T117" i="8"/>
  <c r="AJ128" i="8"/>
  <c r="AI128" i="8"/>
  <c r="AN128" i="8"/>
  <c r="E148" i="8"/>
  <c r="AJ56" i="8"/>
  <c r="AI56" i="8"/>
  <c r="AL100" i="8"/>
  <c r="AI106" i="8"/>
  <c r="AM106" i="8"/>
  <c r="Q117" i="8"/>
  <c r="AN274" i="8"/>
  <c r="AP274" i="8"/>
  <c r="AO274" i="8"/>
  <c r="AL274" i="8"/>
  <c r="AN50" i="8"/>
  <c r="AL50" i="8"/>
  <c r="AO52" i="8"/>
  <c r="AK52" i="8"/>
  <c r="AN56" i="8"/>
  <c r="X87" i="8"/>
  <c r="R87" i="8"/>
  <c r="AN105" i="8"/>
  <c r="AO105" i="8"/>
  <c r="M105" i="8"/>
  <c r="W105" i="8"/>
  <c r="AF105" i="8"/>
  <c r="M111" i="8"/>
  <c r="V111" i="8"/>
  <c r="AE111" i="8"/>
  <c r="G307" i="8"/>
  <c r="S117" i="8"/>
  <c r="AO75" i="8"/>
  <c r="AM127" i="8"/>
  <c r="AJ127" i="8"/>
  <c r="M127" i="8"/>
  <c r="AN127" i="8"/>
  <c r="J147" i="8"/>
  <c r="G222" i="8"/>
  <c r="AK222" i="8"/>
  <c r="AO283" i="8"/>
  <c r="AK283" i="8"/>
  <c r="AK223" i="8"/>
  <c r="G224" i="8"/>
  <c r="AL44" i="8"/>
  <c r="R53" i="8"/>
  <c r="V117" i="8"/>
  <c r="AM305" i="8"/>
  <c r="AO227" i="8"/>
  <c r="AM247" i="8"/>
  <c r="AJ247" i="8"/>
  <c r="M254" i="8"/>
  <c r="X254" i="8"/>
  <c r="AG254" i="8"/>
  <c r="AO266" i="8"/>
  <c r="AM266" i="8"/>
  <c r="AL266" i="8"/>
  <c r="M266" i="8"/>
  <c r="V266" i="8"/>
  <c r="AE266" i="8"/>
  <c r="AN298" i="8"/>
  <c r="AI298" i="8"/>
  <c r="AM298" i="8"/>
  <c r="AO81" i="8"/>
  <c r="AJ111" i="8"/>
  <c r="AP113" i="8"/>
  <c r="AN132" i="8"/>
  <c r="AM228" i="8"/>
  <c r="AI266" i="8"/>
  <c r="AK298" i="8"/>
  <c r="AM301" i="8"/>
  <c r="AO301" i="8"/>
  <c r="AN301" i="8"/>
  <c r="K307" i="8"/>
  <c r="AO136" i="8"/>
  <c r="H148" i="8"/>
  <c r="H147" i="8"/>
  <c r="AK227" i="8"/>
  <c r="AL254" i="8"/>
  <c r="AP266" i="8"/>
  <c r="AP298" i="8"/>
  <c r="AM306" i="8"/>
  <c r="AK306" i="8"/>
  <c r="AJ306" i="8"/>
  <c r="AM78" i="8"/>
  <c r="AO246" i="8"/>
  <c r="AM246" i="8"/>
  <c r="AL246" i="8"/>
  <c r="AO267" i="8"/>
  <c r="M267" i="8"/>
  <c r="AM271" i="8"/>
  <c r="AM285" i="8"/>
  <c r="U117" i="8"/>
  <c r="AK240" i="8"/>
  <c r="AK267" i="8"/>
  <c r="AI280" i="8"/>
  <c r="AP227" i="8"/>
  <c r="AO262" i="8"/>
  <c r="AK286" i="8"/>
  <c r="J222" i="8"/>
  <c r="AN222" i="8"/>
  <c r="AL227" i="8"/>
  <c r="AK136" i="8"/>
  <c r="K222" i="8"/>
  <c r="AO225" i="8"/>
  <c r="AI229" i="8"/>
  <c r="AK78" i="8"/>
  <c r="S121" i="8"/>
  <c r="AK125" i="8"/>
  <c r="AK131" i="8"/>
  <c r="AO133" i="8"/>
  <c r="AK133" i="8"/>
  <c r="AN133" i="8"/>
  <c r="AJ133" i="8"/>
  <c r="E224" i="8"/>
  <c r="AI223" i="8"/>
  <c r="AL248" i="8"/>
  <c r="AM268" i="8"/>
  <c r="AI268" i="8"/>
  <c r="M268" i="8"/>
  <c r="X268" i="8"/>
  <c r="AG268" i="8"/>
  <c r="AP268" i="8"/>
  <c r="AL268" i="8"/>
  <c r="AN273" i="8"/>
  <c r="AJ273" i="8"/>
  <c r="M273" i="8"/>
  <c r="T273" i="8"/>
  <c r="AC273" i="8"/>
  <c r="AM273" i="8"/>
  <c r="AI273" i="8"/>
  <c r="AM284" i="8"/>
  <c r="AO303" i="8"/>
  <c r="AK303" i="8"/>
  <c r="M303" i="8"/>
  <c r="R303" i="8"/>
  <c r="AA303" i="8"/>
  <c r="AN303" i="8"/>
  <c r="AJ303" i="8"/>
  <c r="AI311" i="8"/>
  <c r="I76" i="9"/>
  <c r="Q76" i="9"/>
  <c r="W76" i="9"/>
  <c r="AB76" i="9"/>
  <c r="F86" i="9"/>
  <c r="F148" i="9"/>
  <c r="AK99" i="8"/>
  <c r="AP106" i="8"/>
  <c r="AL133" i="8"/>
  <c r="AJ186" i="8"/>
  <c r="J220" i="8"/>
  <c r="AK225" i="8"/>
  <c r="AO248" i="8"/>
  <c r="AK261" i="8"/>
  <c r="AJ261" i="8"/>
  <c r="AO268" i="8"/>
  <c r="AL273" i="8"/>
  <c r="AN283" i="8"/>
  <c r="AP284" i="8"/>
  <c r="AM300" i="8"/>
  <c r="AL311" i="8"/>
  <c r="O45" i="9"/>
  <c r="AC113" i="9"/>
  <c r="D220" i="9"/>
  <c r="H220" i="9"/>
  <c r="Q272" i="9"/>
  <c r="AC300" i="9"/>
  <c r="Y300" i="9"/>
  <c r="AB300" i="9"/>
  <c r="I300" i="9"/>
  <c r="AA300" i="9"/>
  <c r="I13" i="18"/>
  <c r="I12" i="18"/>
  <c r="O20" i="19"/>
  <c r="G20" i="19"/>
  <c r="K20" i="19"/>
  <c r="M20" i="19"/>
  <c r="AM51" i="8"/>
  <c r="AI51" i="8"/>
  <c r="M52" i="8"/>
  <c r="S52" i="8"/>
  <c r="AB52" i="8"/>
  <c r="M57" i="8"/>
  <c r="U57" i="8"/>
  <c r="AD57" i="8"/>
  <c r="AJ75" i="8"/>
  <c r="AN75" i="8"/>
  <c r="AL75" i="8"/>
  <c r="AN82" i="8"/>
  <c r="L86" i="8"/>
  <c r="AI111" i="8"/>
  <c r="AN111" i="8"/>
  <c r="AP111" i="8"/>
  <c r="AI124" i="8"/>
  <c r="AO124" i="8"/>
  <c r="AM132" i="8"/>
  <c r="AI132" i="8"/>
  <c r="AP132" i="8"/>
  <c r="AL132" i="8"/>
  <c r="AO132" i="8"/>
  <c r="AM133" i="8"/>
  <c r="G148" i="8"/>
  <c r="K148" i="8"/>
  <c r="K147" i="8"/>
  <c r="X161" i="8"/>
  <c r="V161" i="8"/>
  <c r="R161" i="8"/>
  <c r="U161" i="8"/>
  <c r="Q161" i="8"/>
  <c r="U169" i="8"/>
  <c r="AD169" i="8"/>
  <c r="X169" i="8"/>
  <c r="AG169" i="8"/>
  <c r="R169" i="8"/>
  <c r="AA169" i="8"/>
  <c r="W169" i="8"/>
  <c r="AF169" i="8"/>
  <c r="Q169" i="8"/>
  <c r="Z169" i="8"/>
  <c r="AO199" i="8"/>
  <c r="E307" i="8"/>
  <c r="I307" i="8"/>
  <c r="G220" i="8"/>
  <c r="K220" i="8"/>
  <c r="AI227" i="8"/>
  <c r="M229" i="8"/>
  <c r="AO232" i="8"/>
  <c r="AK232" i="8"/>
  <c r="AO253" i="8"/>
  <c r="AJ253" i="8"/>
  <c r="AP261" i="8"/>
  <c r="AN267" i="8"/>
  <c r="AJ267" i="8"/>
  <c r="AM267" i="8"/>
  <c r="AI267" i="8"/>
  <c r="AP267" i="8"/>
  <c r="AJ268" i="8"/>
  <c r="AO273" i="8"/>
  <c r="AP303" i="8"/>
  <c r="P21" i="9"/>
  <c r="Q21" i="9"/>
  <c r="N21" i="9"/>
  <c r="AB37" i="9"/>
  <c r="I37" i="9"/>
  <c r="P37" i="9"/>
  <c r="V37" i="9"/>
  <c r="AA37" i="9"/>
  <c r="AC37" i="9"/>
  <c r="Y78" i="9"/>
  <c r="M117" i="9"/>
  <c r="AB128" i="9"/>
  <c r="I128" i="9"/>
  <c r="AA128" i="9"/>
  <c r="AC128" i="9"/>
  <c r="Z128" i="9"/>
  <c r="I224" i="9"/>
  <c r="N272" i="9"/>
  <c r="AC274" i="9"/>
  <c r="Z300" i="9"/>
  <c r="O11" i="10"/>
  <c r="O59" i="10"/>
  <c r="U156" i="10"/>
  <c r="V35" i="11"/>
  <c r="R35" i="11"/>
  <c r="X35" i="11"/>
  <c r="S35" i="11"/>
  <c r="W35" i="11"/>
  <c r="Q35" i="11"/>
  <c r="AZ35" i="11"/>
  <c r="T35" i="11"/>
  <c r="U35" i="11"/>
  <c r="AZ41" i="11"/>
  <c r="U41" i="11"/>
  <c r="AD41" i="11"/>
  <c r="X41" i="11"/>
  <c r="AG41" i="11"/>
  <c r="W41" i="11"/>
  <c r="AF41" i="11"/>
  <c r="V101" i="11"/>
  <c r="R101" i="11"/>
  <c r="AZ101" i="11"/>
  <c r="U101" i="11"/>
  <c r="Q101" i="11"/>
  <c r="T101" i="11"/>
  <c r="S101" i="11"/>
  <c r="W101" i="11"/>
  <c r="X101" i="11"/>
  <c r="V17" i="13"/>
  <c r="R17" i="13"/>
  <c r="AZ17" i="13"/>
  <c r="U17" i="13"/>
  <c r="Q17" i="13"/>
  <c r="W17" i="13"/>
  <c r="T17" i="13"/>
  <c r="X17" i="13"/>
  <c r="S17" i="13"/>
  <c r="F17" i="6"/>
  <c r="D8" i="15"/>
  <c r="S68" i="8"/>
  <c r="AI78" i="8"/>
  <c r="AI133" i="8"/>
  <c r="E222" i="8"/>
  <c r="AI222" i="8"/>
  <c r="I222" i="8"/>
  <c r="AM222" i="8"/>
  <c r="I224" i="8"/>
  <c r="AM223" i="8"/>
  <c r="AM225" i="8"/>
  <c r="AN242" i="8"/>
  <c r="AJ242" i="8"/>
  <c r="AI248" i="8"/>
  <c r="M260" i="8"/>
  <c r="X260" i="8"/>
  <c r="AG260" i="8"/>
  <c r="AP260" i="8"/>
  <c r="AJ260" i="8"/>
  <c r="AN268" i="8"/>
  <c r="AK273" i="8"/>
  <c r="AO284" i="8"/>
  <c r="AK284" i="8"/>
  <c r="AN284" i="8"/>
  <c r="AJ284" i="8"/>
  <c r="AJ300" i="8"/>
  <c r="AL303" i="8"/>
  <c r="AO311" i="8"/>
  <c r="AK311" i="8"/>
  <c r="AN311" i="8"/>
  <c r="AJ311" i="8"/>
  <c r="H147" i="9"/>
  <c r="I268" i="9"/>
  <c r="N268" i="9"/>
  <c r="T268" i="9"/>
  <c r="AA268" i="9"/>
  <c r="Y268" i="9"/>
  <c r="AC268" i="9"/>
  <c r="AI35" i="8"/>
  <c r="AJ99" i="8"/>
  <c r="M99" i="8"/>
  <c r="R99" i="8"/>
  <c r="AA99" i="8"/>
  <c r="AM99" i="8"/>
  <c r="AO106" i="8"/>
  <c r="AK106" i="8"/>
  <c r="M106" i="8"/>
  <c r="W106" i="8"/>
  <c r="AF106" i="8"/>
  <c r="AN106" i="8"/>
  <c r="AJ106" i="8"/>
  <c r="AO110" i="8"/>
  <c r="AK110" i="8"/>
  <c r="M110" i="8"/>
  <c r="AN110" i="8"/>
  <c r="AJ110" i="8"/>
  <c r="AP110" i="8"/>
  <c r="T114" i="8"/>
  <c r="J135" i="8"/>
  <c r="H307" i="8"/>
  <c r="L307" i="8"/>
  <c r="F220" i="8"/>
  <c r="AI236" i="8"/>
  <c r="AL242" i="8"/>
  <c r="AK260" i="8"/>
  <c r="AM283" i="8"/>
  <c r="AI283" i="8"/>
  <c r="M283" i="8"/>
  <c r="R283" i="8"/>
  <c r="AA283" i="8"/>
  <c r="AP283" i="8"/>
  <c r="AL283" i="8"/>
  <c r="AM303" i="8"/>
  <c r="AA76" i="9"/>
  <c r="Z98" i="9"/>
  <c r="I98" i="9"/>
  <c r="AC98" i="9"/>
  <c r="Y98" i="9"/>
  <c r="AA98" i="9"/>
  <c r="Z268" i="9"/>
  <c r="O80" i="10"/>
  <c r="N80" i="10"/>
  <c r="N86" i="10"/>
  <c r="O110" i="10"/>
  <c r="AN52" i="8"/>
  <c r="AJ52" i="8"/>
  <c r="AM52" i="8"/>
  <c r="AI52" i="8"/>
  <c r="AP52" i="8"/>
  <c r="AO57" i="8"/>
  <c r="AK57" i="8"/>
  <c r="AN57" i="8"/>
  <c r="AJ57" i="8"/>
  <c r="AM57" i="8"/>
  <c r="R61" i="8"/>
  <c r="AO99" i="8"/>
  <c r="AL106" i="8"/>
  <c r="AL110" i="8"/>
  <c r="M122" i="8"/>
  <c r="U122" i="8"/>
  <c r="AD122" i="8"/>
  <c r="AP122" i="8"/>
  <c r="AP128" i="8"/>
  <c r="AL128" i="8"/>
  <c r="M128" i="8"/>
  <c r="T128" i="8"/>
  <c r="AC128" i="8"/>
  <c r="AO128" i="8"/>
  <c r="AK128" i="8"/>
  <c r="AM128" i="8"/>
  <c r="M131" i="8"/>
  <c r="W131" i="8"/>
  <c r="AF131" i="8"/>
  <c r="AM131" i="8"/>
  <c r="M133" i="8"/>
  <c r="T133" i="8"/>
  <c r="AC133" i="8"/>
  <c r="AP133" i="8"/>
  <c r="F135" i="8"/>
  <c r="AL140" i="8"/>
  <c r="AN170" i="8"/>
  <c r="AJ170" i="8"/>
  <c r="M170" i="8"/>
  <c r="R170" i="8"/>
  <c r="AA170" i="8"/>
  <c r="AM170" i="8"/>
  <c r="AI170" i="8"/>
  <c r="AO170" i="8"/>
  <c r="H224" i="8"/>
  <c r="AL223" i="8"/>
  <c r="L224" i="8"/>
  <c r="AP223" i="8"/>
  <c r="AL225" i="8"/>
  <c r="AP225" i="8"/>
  <c r="AP229" i="8"/>
  <c r="AL229" i="8"/>
  <c r="AO229" i="8"/>
  <c r="AK229" i="8"/>
  <c r="AN229" i="8"/>
  <c r="AM241" i="8"/>
  <c r="AI241" i="8"/>
  <c r="AP242" i="8"/>
  <c r="AK268" i="8"/>
  <c r="AP273" i="8"/>
  <c r="AJ283" i="8"/>
  <c r="M284" i="8"/>
  <c r="W284" i="8"/>
  <c r="AF284" i="8"/>
  <c r="AL284" i="8"/>
  <c r="AI303" i="8"/>
  <c r="M311" i="8"/>
  <c r="T311" i="8"/>
  <c r="AC311" i="8"/>
  <c r="AP311" i="8"/>
  <c r="AC49" i="9"/>
  <c r="Y49" i="9"/>
  <c r="AB98" i="9"/>
  <c r="Z217" i="9"/>
  <c r="AC217" i="9"/>
  <c r="Y217" i="9"/>
  <c r="Z221" i="9"/>
  <c r="N11" i="10"/>
  <c r="W10" i="11"/>
  <c r="S10" i="11"/>
  <c r="V10" i="11"/>
  <c r="R10" i="11"/>
  <c r="U10" i="11"/>
  <c r="Q10" i="11"/>
  <c r="T10" i="11"/>
  <c r="AZ10" i="11"/>
  <c r="V48" i="11"/>
  <c r="R48" i="11"/>
  <c r="AZ48" i="11"/>
  <c r="U48" i="11"/>
  <c r="Q48" i="11"/>
  <c r="T48" i="11"/>
  <c r="S48" i="11"/>
  <c r="W48" i="11"/>
  <c r="X48" i="11"/>
  <c r="AO75" i="13"/>
  <c r="H44" i="16"/>
  <c r="I44" i="16"/>
  <c r="P182" i="9"/>
  <c r="O182" i="9"/>
  <c r="N182" i="9"/>
  <c r="Y256" i="9"/>
  <c r="AB268" i="9"/>
  <c r="AB301" i="9"/>
  <c r="I301" i="9"/>
  <c r="AA301" i="9"/>
  <c r="AC301" i="9"/>
  <c r="Z301" i="9"/>
  <c r="AB306" i="9"/>
  <c r="I306" i="9"/>
  <c r="P306" i="9"/>
  <c r="V306" i="9"/>
  <c r="AA306" i="9"/>
  <c r="AC306" i="9"/>
  <c r="Z306" i="9"/>
  <c r="N309" i="9"/>
  <c r="M309" i="9"/>
  <c r="T73" i="10"/>
  <c r="J73" i="10"/>
  <c r="N73" i="10"/>
  <c r="Q73" i="10"/>
  <c r="U73" i="10"/>
  <c r="T168" i="10"/>
  <c r="J168" i="10"/>
  <c r="U168" i="10"/>
  <c r="N175" i="10"/>
  <c r="V21" i="11"/>
  <c r="R21" i="11"/>
  <c r="AZ21" i="11"/>
  <c r="U21" i="11"/>
  <c r="Q21" i="11"/>
  <c r="W21" i="11"/>
  <c r="S21" i="11"/>
  <c r="T21" i="11"/>
  <c r="V39" i="11"/>
  <c r="R39" i="11"/>
  <c r="U39" i="11"/>
  <c r="S39" i="11"/>
  <c r="X39" i="11"/>
  <c r="Q39" i="11"/>
  <c r="W39" i="11"/>
  <c r="T39" i="11"/>
  <c r="V97" i="11"/>
  <c r="R97" i="11"/>
  <c r="AZ97" i="11"/>
  <c r="U97" i="11"/>
  <c r="Q97" i="11"/>
  <c r="T97" i="11"/>
  <c r="S97" i="11"/>
  <c r="X97" i="11"/>
  <c r="W97" i="11"/>
  <c r="M159" i="11"/>
  <c r="AN159" i="11"/>
  <c r="AJ159" i="11"/>
  <c r="U12" i="13"/>
  <c r="J12" i="13"/>
  <c r="V14" i="13"/>
  <c r="R14" i="13"/>
  <c r="AZ14" i="13"/>
  <c r="U14" i="13"/>
  <c r="Q14" i="13"/>
  <c r="W14" i="13"/>
  <c r="T14" i="13"/>
  <c r="X14" i="13"/>
  <c r="S14" i="13"/>
  <c r="K9" i="14"/>
  <c r="AZ14" i="16"/>
  <c r="Q14" i="16"/>
  <c r="H84" i="16"/>
  <c r="I84" i="16"/>
  <c r="J84" i="16"/>
  <c r="V84" i="16"/>
  <c r="S84" i="16"/>
  <c r="G86" i="9"/>
  <c r="K86" i="8"/>
  <c r="S17" i="29"/>
  <c r="S18" i="29"/>
  <c r="G135" i="9"/>
  <c r="G155" i="9"/>
  <c r="F222" i="9"/>
  <c r="AA222" i="9"/>
  <c r="E224" i="9"/>
  <c r="I304" i="9"/>
  <c r="M304" i="9"/>
  <c r="S304" i="9"/>
  <c r="O14" i="10"/>
  <c r="N67" i="10"/>
  <c r="W30" i="11"/>
  <c r="S30" i="11"/>
  <c r="V30" i="11"/>
  <c r="R30" i="11"/>
  <c r="U30" i="11"/>
  <c r="Q30" i="11"/>
  <c r="T30" i="11"/>
  <c r="AZ30" i="11"/>
  <c r="V37" i="11"/>
  <c r="R37" i="11"/>
  <c r="X37" i="11"/>
  <c r="S37" i="11"/>
  <c r="W37" i="11"/>
  <c r="Q37" i="11"/>
  <c r="AZ37" i="11"/>
  <c r="T37" i="11"/>
  <c r="U37" i="11"/>
  <c r="V47" i="13"/>
  <c r="R47" i="13"/>
  <c r="AZ47" i="13"/>
  <c r="U47" i="13"/>
  <c r="Q47" i="13"/>
  <c r="T47" i="13"/>
  <c r="S47" i="13"/>
  <c r="W47" i="13"/>
  <c r="X47" i="13"/>
  <c r="T15" i="16"/>
  <c r="O130" i="10"/>
  <c r="N130" i="10"/>
  <c r="W8" i="11"/>
  <c r="S8" i="11"/>
  <c r="V8" i="11"/>
  <c r="R8" i="11"/>
  <c r="X12" i="11"/>
  <c r="V23" i="11"/>
  <c r="R23" i="11"/>
  <c r="AZ23" i="11"/>
  <c r="U23" i="11"/>
  <c r="Q23" i="11"/>
  <c r="R44" i="11"/>
  <c r="AZ56" i="11"/>
  <c r="U56" i="11"/>
  <c r="Q56" i="11"/>
  <c r="X56" i="11"/>
  <c r="T56" i="11"/>
  <c r="R56" i="11"/>
  <c r="W56" i="11"/>
  <c r="V124" i="11"/>
  <c r="R124" i="11"/>
  <c r="AZ124" i="11"/>
  <c r="U124" i="11"/>
  <c r="Q124" i="11"/>
  <c r="S124" i="11"/>
  <c r="X124" i="11"/>
  <c r="V142" i="11"/>
  <c r="R142" i="11"/>
  <c r="AZ142" i="11"/>
  <c r="U142" i="11"/>
  <c r="Q142" i="11"/>
  <c r="T142" i="11"/>
  <c r="S142" i="11"/>
  <c r="R170" i="11"/>
  <c r="AA170" i="11"/>
  <c r="AZ170" i="11"/>
  <c r="U170" i="11"/>
  <c r="AD170" i="11"/>
  <c r="AI59" i="12"/>
  <c r="AJ37" i="8"/>
  <c r="AN37" i="8"/>
  <c r="AI44" i="8"/>
  <c r="M50" i="8"/>
  <c r="W50" i="8"/>
  <c r="AF50" i="8"/>
  <c r="AI50" i="8"/>
  <c r="AM50" i="8"/>
  <c r="AK55" i="8"/>
  <c r="AO55" i="8"/>
  <c r="AK56" i="8"/>
  <c r="AO56" i="8"/>
  <c r="AM75" i="8"/>
  <c r="AI81" i="8"/>
  <c r="AM81" i="8"/>
  <c r="T87" i="8"/>
  <c r="AL98" i="8"/>
  <c r="AP98" i="8"/>
  <c r="M100" i="8"/>
  <c r="X100" i="8"/>
  <c r="AG100" i="8"/>
  <c r="AJ100" i="8"/>
  <c r="AN100" i="8"/>
  <c r="AI105" i="8"/>
  <c r="AM105" i="8"/>
  <c r="AM116" i="8"/>
  <c r="AL127" i="8"/>
  <c r="AP127" i="8"/>
  <c r="M235" i="8"/>
  <c r="U235" i="8"/>
  <c r="AD235" i="8"/>
  <c r="AL235" i="8"/>
  <c r="AP235" i="8"/>
  <c r="AK239" i="8"/>
  <c r="M243" i="8"/>
  <c r="X243" i="8"/>
  <c r="AG243" i="8"/>
  <c r="AI243" i="8"/>
  <c r="AM243" i="8"/>
  <c r="M246" i="8"/>
  <c r="V246" i="8"/>
  <c r="AE246" i="8"/>
  <c r="AJ246" i="8"/>
  <c r="AN246" i="8"/>
  <c r="AK254" i="8"/>
  <c r="AK266" i="8"/>
  <c r="M274" i="8"/>
  <c r="W274" i="8"/>
  <c r="AF274" i="8"/>
  <c r="AI274" i="8"/>
  <c r="AM274" i="8"/>
  <c r="AK280" i="8"/>
  <c r="AO280" i="8"/>
  <c r="M288" i="8"/>
  <c r="V288" i="8"/>
  <c r="AE288" i="8"/>
  <c r="AJ298" i="8"/>
  <c r="AI301" i="8"/>
  <c r="AJ304" i="8"/>
  <c r="M306" i="8"/>
  <c r="X306" i="8"/>
  <c r="AG306" i="8"/>
  <c r="AL306" i="8"/>
  <c r="AP306" i="8"/>
  <c r="O23" i="9"/>
  <c r="P31" i="9"/>
  <c r="I34" i="9"/>
  <c r="AB34" i="9"/>
  <c r="E86" i="9"/>
  <c r="AB105" i="9"/>
  <c r="AA105" i="9"/>
  <c r="AC105" i="9"/>
  <c r="AC112" i="9"/>
  <c r="N118" i="9"/>
  <c r="I122" i="9"/>
  <c r="Q122" i="9"/>
  <c r="W122" i="9"/>
  <c r="I126" i="9"/>
  <c r="M188" i="9"/>
  <c r="G222" i="9"/>
  <c r="AA236" i="9"/>
  <c r="Z236" i="9"/>
  <c r="Y236" i="9"/>
  <c r="I238" i="9"/>
  <c r="O238" i="9"/>
  <c r="U238" i="9"/>
  <c r="Z242" i="9"/>
  <c r="I266" i="9"/>
  <c r="P266" i="9"/>
  <c r="V266" i="9"/>
  <c r="AC284" i="9"/>
  <c r="Y284" i="9"/>
  <c r="AB284" i="9"/>
  <c r="AA284" i="9"/>
  <c r="I298" i="9"/>
  <c r="N298" i="9"/>
  <c r="T298" i="9"/>
  <c r="T30" i="10"/>
  <c r="U48" i="10"/>
  <c r="O54" i="10"/>
  <c r="O121" i="10"/>
  <c r="N121" i="10"/>
  <c r="U135" i="10"/>
  <c r="J139" i="10"/>
  <c r="O139" i="10"/>
  <c r="R139" i="10"/>
  <c r="J141" i="10"/>
  <c r="N141" i="10"/>
  <c r="Q141" i="10"/>
  <c r="T145" i="10"/>
  <c r="U149" i="10"/>
  <c r="T153" i="10"/>
  <c r="J161" i="10"/>
  <c r="O161" i="10"/>
  <c r="R161" i="10"/>
  <c r="O184" i="10"/>
  <c r="Q8" i="11"/>
  <c r="AZ8" i="11"/>
  <c r="V14" i="11"/>
  <c r="R14" i="11"/>
  <c r="AZ14" i="11"/>
  <c r="U14" i="11"/>
  <c r="Q14" i="11"/>
  <c r="X14" i="11"/>
  <c r="S23" i="11"/>
  <c r="V25" i="11"/>
  <c r="R25" i="11"/>
  <c r="AZ25" i="11"/>
  <c r="U25" i="11"/>
  <c r="Q25" i="11"/>
  <c r="X25" i="11"/>
  <c r="Q28" i="11"/>
  <c r="V54" i="11"/>
  <c r="R54" i="11"/>
  <c r="AZ54" i="11"/>
  <c r="U54" i="11"/>
  <c r="Q54" i="11"/>
  <c r="W54" i="11"/>
  <c r="T54" i="11"/>
  <c r="V70" i="11"/>
  <c r="R70" i="11"/>
  <c r="AZ70" i="11"/>
  <c r="U70" i="11"/>
  <c r="Q70" i="11"/>
  <c r="T70" i="11"/>
  <c r="S70" i="11"/>
  <c r="AZ82" i="11"/>
  <c r="U82" i="11"/>
  <c r="Q82" i="11"/>
  <c r="X82" i="11"/>
  <c r="T82" i="11"/>
  <c r="S82" i="11"/>
  <c r="R82" i="11"/>
  <c r="W85" i="11"/>
  <c r="S85" i="11"/>
  <c r="V85" i="11"/>
  <c r="R85" i="11"/>
  <c r="T85" i="11"/>
  <c r="AZ85" i="11"/>
  <c r="Q85" i="11"/>
  <c r="W87" i="11"/>
  <c r="S87" i="11"/>
  <c r="V87" i="11"/>
  <c r="R87" i="11"/>
  <c r="U87" i="11"/>
  <c r="T87" i="11"/>
  <c r="AZ96" i="11"/>
  <c r="U96" i="11"/>
  <c r="Q96" i="11"/>
  <c r="X96" i="11"/>
  <c r="T96" i="11"/>
  <c r="W96" i="11"/>
  <c r="V96" i="11"/>
  <c r="S96" i="11"/>
  <c r="V107" i="11"/>
  <c r="R107" i="11"/>
  <c r="AZ107" i="11"/>
  <c r="U107" i="11"/>
  <c r="Q107" i="11"/>
  <c r="W107" i="11"/>
  <c r="T107" i="11"/>
  <c r="W118" i="11"/>
  <c r="S118" i="11"/>
  <c r="V118" i="11"/>
  <c r="R118" i="11"/>
  <c r="U118" i="11"/>
  <c r="T118" i="11"/>
  <c r="W142" i="11"/>
  <c r="W147" i="11"/>
  <c r="S147" i="11"/>
  <c r="V147" i="11"/>
  <c r="R147" i="11"/>
  <c r="T147" i="11"/>
  <c r="AZ147" i="11"/>
  <c r="Q147" i="11"/>
  <c r="AK154" i="11"/>
  <c r="S161" i="11"/>
  <c r="AB161" i="11"/>
  <c r="AN170" i="11"/>
  <c r="AJ170" i="11"/>
  <c r="AM170" i="11"/>
  <c r="AI170" i="11"/>
  <c r="AL170" i="11"/>
  <c r="AK170" i="11"/>
  <c r="J8" i="12"/>
  <c r="W45" i="13"/>
  <c r="S45" i="13"/>
  <c r="V45" i="13"/>
  <c r="R45" i="13"/>
  <c r="T45" i="13"/>
  <c r="AZ45" i="13"/>
  <c r="Q45" i="13"/>
  <c r="X45" i="13"/>
  <c r="U45" i="13"/>
  <c r="J55" i="13"/>
  <c r="K55" i="13"/>
  <c r="AZ61" i="13"/>
  <c r="U61" i="13"/>
  <c r="Q61" i="13"/>
  <c r="X61" i="13"/>
  <c r="T61" i="13"/>
  <c r="R61" i="13"/>
  <c r="W61" i="13"/>
  <c r="V61" i="13"/>
  <c r="S61" i="13"/>
  <c r="AK84" i="13"/>
  <c r="M84" i="13"/>
  <c r="W84" i="13"/>
  <c r="AF84" i="13"/>
  <c r="AJ84" i="13"/>
  <c r="AM84" i="13"/>
  <c r="AL84" i="13"/>
  <c r="AP84" i="13"/>
  <c r="R13" i="16"/>
  <c r="G13" i="16"/>
  <c r="S20" i="16"/>
  <c r="H20" i="16"/>
  <c r="I20" i="16"/>
  <c r="AB40" i="16"/>
  <c r="H40" i="16"/>
  <c r="U63" i="16"/>
  <c r="T102" i="16"/>
  <c r="O46" i="10"/>
  <c r="O90" i="10"/>
  <c r="U151" i="10"/>
  <c r="X8" i="11"/>
  <c r="V12" i="11"/>
  <c r="R12" i="11"/>
  <c r="AZ12" i="11"/>
  <c r="U12" i="11"/>
  <c r="Q12" i="11"/>
  <c r="X23" i="11"/>
  <c r="W28" i="11"/>
  <c r="S28" i="11"/>
  <c r="V28" i="11"/>
  <c r="R28" i="11"/>
  <c r="X28" i="11"/>
  <c r="N16" i="13"/>
  <c r="AK16" i="13"/>
  <c r="AN41" i="11"/>
  <c r="AJ41" i="11"/>
  <c r="AM41" i="11"/>
  <c r="AI41" i="11"/>
  <c r="AL41" i="11"/>
  <c r="N42" i="11"/>
  <c r="AK41" i="11"/>
  <c r="X44" i="11"/>
  <c r="T44" i="11"/>
  <c r="W44" i="11"/>
  <c r="S44" i="11"/>
  <c r="V44" i="11"/>
  <c r="U44" i="11"/>
  <c r="W75" i="11"/>
  <c r="S75" i="11"/>
  <c r="V75" i="11"/>
  <c r="R75" i="11"/>
  <c r="T75" i="11"/>
  <c r="AZ75" i="11"/>
  <c r="Q75" i="11"/>
  <c r="V93" i="11"/>
  <c r="R93" i="11"/>
  <c r="AZ93" i="11"/>
  <c r="U93" i="11"/>
  <c r="Q93" i="11"/>
  <c r="S93" i="11"/>
  <c r="X93" i="11"/>
  <c r="V109" i="11"/>
  <c r="R109" i="11"/>
  <c r="AZ109" i="11"/>
  <c r="U109" i="11"/>
  <c r="Q109" i="11"/>
  <c r="T109" i="11"/>
  <c r="S109" i="11"/>
  <c r="N127" i="11"/>
  <c r="W136" i="11"/>
  <c r="S136" i="11"/>
  <c r="V136" i="11"/>
  <c r="R136" i="11"/>
  <c r="T136" i="11"/>
  <c r="AZ136" i="11"/>
  <c r="Q136" i="11"/>
  <c r="W138" i="11"/>
  <c r="S138" i="11"/>
  <c r="V138" i="11"/>
  <c r="R138" i="11"/>
  <c r="U138" i="11"/>
  <c r="T138" i="11"/>
  <c r="W152" i="11"/>
  <c r="S152" i="11"/>
  <c r="V152" i="11"/>
  <c r="R152" i="11"/>
  <c r="T152" i="11"/>
  <c r="AZ152" i="11"/>
  <c r="Q152" i="11"/>
  <c r="AO163" i="11"/>
  <c r="X63" i="13"/>
  <c r="T63" i="13"/>
  <c r="W63" i="13"/>
  <c r="S63" i="13"/>
  <c r="R63" i="13"/>
  <c r="AZ63" i="13"/>
  <c r="Q63" i="13"/>
  <c r="V63" i="13"/>
  <c r="U63" i="13"/>
  <c r="AL75" i="13"/>
  <c r="AP75" i="13"/>
  <c r="AK83" i="13"/>
  <c r="AO86" i="13"/>
  <c r="G8" i="16"/>
  <c r="H8" i="16"/>
  <c r="R8" i="16"/>
  <c r="AI34" i="8"/>
  <c r="AJ50" i="8"/>
  <c r="AL55" i="8"/>
  <c r="AL56" i="8"/>
  <c r="AJ81" i="8"/>
  <c r="Q87" i="8"/>
  <c r="V87" i="8"/>
  <c r="AI98" i="8"/>
  <c r="AK100" i="8"/>
  <c r="AL101" i="8"/>
  <c r="AJ105" i="8"/>
  <c r="AJ109" i="8"/>
  <c r="AK113" i="8"/>
  <c r="AI127" i="8"/>
  <c r="AI235" i="8"/>
  <c r="AJ243" i="8"/>
  <c r="AK246" i="8"/>
  <c r="AJ274" i="8"/>
  <c r="AL280" i="8"/>
  <c r="X296" i="8"/>
  <c r="AI302" i="8"/>
  <c r="AI306" i="8"/>
  <c r="Y34" i="9"/>
  <c r="N46" i="9"/>
  <c r="T46" i="9"/>
  <c r="AB49" i="9"/>
  <c r="Z50" i="9"/>
  <c r="Y76" i="9"/>
  <c r="AA122" i="9"/>
  <c r="Z122" i="9"/>
  <c r="AC122" i="9"/>
  <c r="AB126" i="9"/>
  <c r="AA126" i="9"/>
  <c r="E148" i="9"/>
  <c r="M194" i="9"/>
  <c r="N195" i="9"/>
  <c r="Q195" i="9"/>
  <c r="M195" i="9"/>
  <c r="D224" i="9"/>
  <c r="Y224" i="9"/>
  <c r="Y223" i="9"/>
  <c r="Y230" i="9"/>
  <c r="Z231" i="9"/>
  <c r="I231" i="9"/>
  <c r="Q231" i="9"/>
  <c r="W231" i="9"/>
  <c r="AC231" i="9"/>
  <c r="Y231" i="9"/>
  <c r="AA238" i="9"/>
  <c r="Z238" i="9"/>
  <c r="Y238" i="9"/>
  <c r="Y249" i="9"/>
  <c r="Q251" i="9"/>
  <c r="AC266" i="9"/>
  <c r="Y266" i="9"/>
  <c r="Y275" i="9"/>
  <c r="AB275" i="9"/>
  <c r="O276" i="9"/>
  <c r="M276" i="9"/>
  <c r="Q277" i="9"/>
  <c r="AA286" i="9"/>
  <c r="I286" i="9"/>
  <c r="Q286" i="9"/>
  <c r="W286" i="9"/>
  <c r="Z286" i="9"/>
  <c r="AB286" i="9"/>
  <c r="AA298" i="9"/>
  <c r="Z298" i="9"/>
  <c r="Y298" i="9"/>
  <c r="AC303" i="9"/>
  <c r="Y303" i="9"/>
  <c r="I303" i="9"/>
  <c r="AB303" i="9"/>
  <c r="Z303" i="9"/>
  <c r="N14" i="10"/>
  <c r="J22" i="10"/>
  <c r="O22" i="10"/>
  <c r="R22" i="10"/>
  <c r="T22" i="10"/>
  <c r="U31" i="10"/>
  <c r="J31" i="10"/>
  <c r="N31" i="10"/>
  <c r="Q31" i="10"/>
  <c r="T31" i="10"/>
  <c r="U32" i="10"/>
  <c r="J32" i="10"/>
  <c r="N32" i="10"/>
  <c r="Q32" i="10"/>
  <c r="T32" i="10"/>
  <c r="O37" i="10"/>
  <c r="N37" i="10"/>
  <c r="O106" i="10"/>
  <c r="N106" i="10"/>
  <c r="T139" i="10"/>
  <c r="T151" i="10"/>
  <c r="T155" i="10"/>
  <c r="J155" i="10"/>
  <c r="N155" i="10"/>
  <c r="Q155" i="10"/>
  <c r="U155" i="10"/>
  <c r="O180" i="10"/>
  <c r="T8" i="11"/>
  <c r="T12" i="11"/>
  <c r="V16" i="11"/>
  <c r="R16" i="11"/>
  <c r="AZ16" i="11"/>
  <c r="U16" i="11"/>
  <c r="Q16" i="11"/>
  <c r="X16" i="11"/>
  <c r="V19" i="11"/>
  <c r="R19" i="11"/>
  <c r="AZ19" i="11"/>
  <c r="U19" i="11"/>
  <c r="Q19" i="11"/>
  <c r="X19" i="11"/>
  <c r="T23" i="11"/>
  <c r="AZ27" i="11"/>
  <c r="U27" i="11"/>
  <c r="Q27" i="11"/>
  <c r="X27" i="11"/>
  <c r="T27" i="11"/>
  <c r="V27" i="11"/>
  <c r="T28" i="11"/>
  <c r="V32" i="11"/>
  <c r="R32" i="11"/>
  <c r="AZ32" i="11"/>
  <c r="U32" i="11"/>
  <c r="Q32" i="11"/>
  <c r="X32" i="11"/>
  <c r="AP41" i="11"/>
  <c r="V45" i="11"/>
  <c r="R45" i="11"/>
  <c r="AZ45" i="11"/>
  <c r="U45" i="11"/>
  <c r="Q45" i="11"/>
  <c r="T45" i="11"/>
  <c r="S45" i="11"/>
  <c r="S56" i="11"/>
  <c r="V68" i="11"/>
  <c r="R68" i="11"/>
  <c r="AZ68" i="11"/>
  <c r="U68" i="11"/>
  <c r="Q68" i="11"/>
  <c r="W68" i="11"/>
  <c r="T68" i="11"/>
  <c r="X75" i="11"/>
  <c r="W78" i="11"/>
  <c r="S78" i="11"/>
  <c r="V78" i="11"/>
  <c r="R78" i="11"/>
  <c r="U78" i="11"/>
  <c r="T78" i="11"/>
  <c r="T93" i="11"/>
  <c r="W99" i="11"/>
  <c r="S99" i="11"/>
  <c r="V99" i="11"/>
  <c r="R99" i="11"/>
  <c r="T99" i="11"/>
  <c r="AZ99" i="11"/>
  <c r="Q99" i="11"/>
  <c r="X109" i="11"/>
  <c r="V115" i="11"/>
  <c r="R115" i="11"/>
  <c r="AZ115" i="11"/>
  <c r="U115" i="11"/>
  <c r="Q115" i="11"/>
  <c r="W115" i="11"/>
  <c r="T115" i="11"/>
  <c r="T124" i="11"/>
  <c r="X136" i="11"/>
  <c r="X138" i="11"/>
  <c r="X142" i="11"/>
  <c r="X152" i="11"/>
  <c r="W170" i="11"/>
  <c r="AF170" i="11"/>
  <c r="W176" i="11"/>
  <c r="S176" i="11"/>
  <c r="V176" i="11"/>
  <c r="R176" i="11"/>
  <c r="T176" i="11"/>
  <c r="AZ176" i="11"/>
  <c r="Q176" i="11"/>
  <c r="V10" i="12"/>
  <c r="AK10" i="12"/>
  <c r="AL46" i="12"/>
  <c r="V23" i="13"/>
  <c r="R23" i="13"/>
  <c r="AZ23" i="13"/>
  <c r="U23" i="13"/>
  <c r="Q23" i="13"/>
  <c r="T23" i="13"/>
  <c r="S23" i="13"/>
  <c r="X23" i="13"/>
  <c r="V25" i="13"/>
  <c r="R25" i="13"/>
  <c r="AZ25" i="13"/>
  <c r="U25" i="13"/>
  <c r="Q25" i="13"/>
  <c r="W25" i="13"/>
  <c r="T25" i="13"/>
  <c r="X25" i="13"/>
  <c r="S25" i="13"/>
  <c r="AN84" i="13"/>
  <c r="V84" i="13"/>
  <c r="AE84" i="13"/>
  <c r="K28" i="14"/>
  <c r="M28" i="14"/>
  <c r="AZ9" i="16"/>
  <c r="Q9" i="16"/>
  <c r="I36" i="9"/>
  <c r="Q36" i="9"/>
  <c r="W36" i="9"/>
  <c r="Y36" i="9"/>
  <c r="AC76" i="9"/>
  <c r="Z81" i="9"/>
  <c r="AA82" i="9"/>
  <c r="Z83" i="9"/>
  <c r="I107" i="9"/>
  <c r="N107" i="9"/>
  <c r="T107" i="9"/>
  <c r="Z107" i="9"/>
  <c r="I109" i="9"/>
  <c r="P109" i="9"/>
  <c r="V109" i="9"/>
  <c r="Y109" i="9"/>
  <c r="AC109" i="9"/>
  <c r="AB116" i="9"/>
  <c r="Y127" i="9"/>
  <c r="AC127" i="9"/>
  <c r="I132" i="9"/>
  <c r="P132" i="9"/>
  <c r="V132" i="9"/>
  <c r="Z132" i="9"/>
  <c r="AA170" i="9"/>
  <c r="AC186" i="9"/>
  <c r="I196" i="9"/>
  <c r="N196" i="9"/>
  <c r="T196" i="9"/>
  <c r="Z196" i="9"/>
  <c r="AA197" i="9"/>
  <c r="I227" i="9"/>
  <c r="I228" i="9"/>
  <c r="AB229" i="9"/>
  <c r="Z239" i="9"/>
  <c r="Z240" i="9"/>
  <c r="I241" i="9"/>
  <c r="O241" i="9"/>
  <c r="U241" i="9"/>
  <c r="AA241" i="9"/>
  <c r="I244" i="9"/>
  <c r="P244" i="9"/>
  <c r="V244" i="9"/>
  <c r="AA244" i="9"/>
  <c r="I247" i="9"/>
  <c r="Y247" i="9"/>
  <c r="AC247" i="9"/>
  <c r="I248" i="9"/>
  <c r="O248" i="9"/>
  <c r="U248" i="9"/>
  <c r="Y248" i="9"/>
  <c r="AC248" i="9"/>
  <c r="Z253" i="9"/>
  <c r="AA261" i="9"/>
  <c r="Z280" i="9"/>
  <c r="AC287" i="9"/>
  <c r="AB288" i="9"/>
  <c r="I305" i="9"/>
  <c r="N305" i="9"/>
  <c r="T305" i="9"/>
  <c r="AB305" i="9"/>
  <c r="F307" i="9"/>
  <c r="Z311" i="9"/>
  <c r="T171" i="10"/>
  <c r="T9" i="11"/>
  <c r="X9" i="11"/>
  <c r="S11" i="11"/>
  <c r="W11" i="11"/>
  <c r="S18" i="11"/>
  <c r="AB18" i="11"/>
  <c r="W18" i="11"/>
  <c r="AF18" i="11"/>
  <c r="T29" i="11"/>
  <c r="X29" i="11"/>
  <c r="S31" i="11"/>
  <c r="AB31" i="11"/>
  <c r="W31" i="11"/>
  <c r="AF31" i="11"/>
  <c r="V50" i="11"/>
  <c r="R50" i="11"/>
  <c r="AZ50" i="11"/>
  <c r="U50" i="11"/>
  <c r="Q50" i="11"/>
  <c r="X50" i="11"/>
  <c r="W59" i="11"/>
  <c r="S59" i="11"/>
  <c r="V59" i="11"/>
  <c r="R59" i="11"/>
  <c r="X59" i="11"/>
  <c r="W64" i="11"/>
  <c r="S64" i="11"/>
  <c r="V64" i="11"/>
  <c r="R64" i="11"/>
  <c r="X64" i="11"/>
  <c r="V72" i="11"/>
  <c r="R72" i="11"/>
  <c r="AZ72" i="11"/>
  <c r="U72" i="11"/>
  <c r="Q72" i="11"/>
  <c r="X72" i="11"/>
  <c r="AZ77" i="11"/>
  <c r="U77" i="11"/>
  <c r="Q77" i="11"/>
  <c r="X77" i="11"/>
  <c r="T77" i="11"/>
  <c r="V77" i="11"/>
  <c r="W83" i="11"/>
  <c r="S83" i="11"/>
  <c r="V83" i="11"/>
  <c r="R83" i="11"/>
  <c r="X83" i="11"/>
  <c r="W91" i="11"/>
  <c r="S91" i="11"/>
  <c r="V91" i="11"/>
  <c r="R91" i="11"/>
  <c r="X91" i="11"/>
  <c r="W98" i="11"/>
  <c r="S98" i="11"/>
  <c r="V98" i="11"/>
  <c r="R98" i="11"/>
  <c r="X98" i="11"/>
  <c r="V103" i="11"/>
  <c r="R103" i="11"/>
  <c r="AZ103" i="11"/>
  <c r="U103" i="11"/>
  <c r="Q103" i="11"/>
  <c r="X103" i="11"/>
  <c r="V111" i="11"/>
  <c r="R111" i="11"/>
  <c r="AZ111" i="11"/>
  <c r="U111" i="11"/>
  <c r="Q111" i="11"/>
  <c r="X111" i="11"/>
  <c r="W122" i="11"/>
  <c r="S122" i="11"/>
  <c r="V122" i="11"/>
  <c r="R122" i="11"/>
  <c r="X122" i="11"/>
  <c r="W134" i="11"/>
  <c r="S134" i="11"/>
  <c r="V134" i="11"/>
  <c r="R134" i="11"/>
  <c r="X134" i="11"/>
  <c r="V144" i="11"/>
  <c r="R144" i="11"/>
  <c r="AZ144" i="11"/>
  <c r="U144" i="11"/>
  <c r="Q144" i="11"/>
  <c r="X144" i="11"/>
  <c r="AN166" i="11"/>
  <c r="AJ166" i="11"/>
  <c r="AO174" i="11"/>
  <c r="AK174" i="11"/>
  <c r="M174" i="11"/>
  <c r="AN174" i="11"/>
  <c r="AJ174" i="11"/>
  <c r="AP174" i="11"/>
  <c r="AI19" i="12"/>
  <c r="AH19" i="12"/>
  <c r="AJ19" i="12"/>
  <c r="AG19" i="12"/>
  <c r="AG33" i="12"/>
  <c r="AJ33" i="12"/>
  <c r="AI33" i="12"/>
  <c r="AK33" i="12"/>
  <c r="AG44" i="12"/>
  <c r="AJ44" i="12"/>
  <c r="AI44" i="12"/>
  <c r="AK44" i="12"/>
  <c r="AH44" i="12"/>
  <c r="BB58" i="12"/>
  <c r="AX58" i="12"/>
  <c r="AB58" i="12"/>
  <c r="AF58" i="12"/>
  <c r="AN58" i="12"/>
  <c r="BA58" i="12"/>
  <c r="AW58" i="12"/>
  <c r="AZ58" i="12"/>
  <c r="AY58" i="12"/>
  <c r="BB69" i="12"/>
  <c r="AB69" i="12"/>
  <c r="AJ69" i="12"/>
  <c r="AR69" i="12"/>
  <c r="AY69" i="12"/>
  <c r="AB74" i="12"/>
  <c r="AG74" i="12"/>
  <c r="AO74" i="12"/>
  <c r="I8" i="13"/>
  <c r="V9" i="13"/>
  <c r="R9" i="13"/>
  <c r="AZ9" i="13"/>
  <c r="U9" i="13"/>
  <c r="Q9" i="13"/>
  <c r="W9" i="13"/>
  <c r="T9" i="13"/>
  <c r="AK39" i="13"/>
  <c r="M39" i="13"/>
  <c r="AJ39" i="13"/>
  <c r="AM39" i="13"/>
  <c r="AL39" i="13"/>
  <c r="R53" i="13"/>
  <c r="AZ53" i="13"/>
  <c r="Q53" i="13"/>
  <c r="W53" i="13"/>
  <c r="T53" i="13"/>
  <c r="S66" i="13"/>
  <c r="R66" i="13"/>
  <c r="T66" i="13"/>
  <c r="AL77" i="13"/>
  <c r="AP77" i="13"/>
  <c r="AO82" i="13"/>
  <c r="K24" i="14"/>
  <c r="M24" i="14"/>
  <c r="S27" i="16"/>
  <c r="H27" i="16"/>
  <c r="I47" i="16"/>
  <c r="J47" i="16"/>
  <c r="V47" i="16"/>
  <c r="AZ54" i="16"/>
  <c r="Q54" i="16"/>
  <c r="R69" i="16"/>
  <c r="G69" i="16"/>
  <c r="H73" i="16"/>
  <c r="I73" i="16"/>
  <c r="S73" i="16"/>
  <c r="AZ75" i="16"/>
  <c r="Q75" i="16"/>
  <c r="Q84" i="16"/>
  <c r="R84" i="16"/>
  <c r="M66" i="9"/>
  <c r="AA81" i="9"/>
  <c r="AB82" i="9"/>
  <c r="AA107" i="9"/>
  <c r="Z109" i="9"/>
  <c r="M121" i="9"/>
  <c r="Z127" i="9"/>
  <c r="AA132" i="9"/>
  <c r="N165" i="9"/>
  <c r="T165" i="9"/>
  <c r="AB170" i="9"/>
  <c r="AA196" i="9"/>
  <c r="AB197" i="9"/>
  <c r="M214" i="9"/>
  <c r="Y229" i="9"/>
  <c r="AA239" i="9"/>
  <c r="AA240" i="9"/>
  <c r="AB241" i="9"/>
  <c r="AB244" i="9"/>
  <c r="Z247" i="9"/>
  <c r="Z248" i="9"/>
  <c r="AB261" i="9"/>
  <c r="AA280" i="9"/>
  <c r="Y288" i="9"/>
  <c r="Y305" i="9"/>
  <c r="AA311" i="9"/>
  <c r="N64" i="10"/>
  <c r="N70" i="10"/>
  <c r="N92" i="10"/>
  <c r="N122" i="10"/>
  <c r="N126" i="10"/>
  <c r="N133" i="10"/>
  <c r="T144" i="10"/>
  <c r="T167" i="10"/>
  <c r="Q9" i="11"/>
  <c r="U9" i="11"/>
  <c r="T11" i="11"/>
  <c r="T13" i="11"/>
  <c r="T15" i="11"/>
  <c r="T18" i="11"/>
  <c r="AC18" i="11"/>
  <c r="AL18" i="11"/>
  <c r="T20" i="11"/>
  <c r="T22" i="11"/>
  <c r="T24" i="11"/>
  <c r="T26" i="11"/>
  <c r="Q29" i="11"/>
  <c r="U29" i="11"/>
  <c r="AL31" i="11"/>
  <c r="T33" i="11"/>
  <c r="S50" i="11"/>
  <c r="V52" i="11"/>
  <c r="R52" i="11"/>
  <c r="AZ52" i="11"/>
  <c r="U52" i="11"/>
  <c r="Q52" i="11"/>
  <c r="X52" i="11"/>
  <c r="W57" i="11"/>
  <c r="S57" i="11"/>
  <c r="V57" i="11"/>
  <c r="R57" i="11"/>
  <c r="X57" i="11"/>
  <c r="Q59" i="11"/>
  <c r="AZ59" i="11"/>
  <c r="W62" i="11"/>
  <c r="S62" i="11"/>
  <c r="V62" i="11"/>
  <c r="R62" i="11"/>
  <c r="X62" i="11"/>
  <c r="Q64" i="11"/>
  <c r="AZ64" i="11"/>
  <c r="V66" i="11"/>
  <c r="R66" i="11"/>
  <c r="AZ66" i="11"/>
  <c r="U66" i="11"/>
  <c r="Q66" i="11"/>
  <c r="X66" i="11"/>
  <c r="S72" i="11"/>
  <c r="AZ74" i="11"/>
  <c r="U74" i="11"/>
  <c r="Q74" i="11"/>
  <c r="X74" i="11"/>
  <c r="T74" i="11"/>
  <c r="V74" i="11"/>
  <c r="W77" i="11"/>
  <c r="V80" i="11"/>
  <c r="R80" i="11"/>
  <c r="AZ80" i="11"/>
  <c r="U80" i="11"/>
  <c r="Q80" i="11"/>
  <c r="X80" i="11"/>
  <c r="Q83" i="11"/>
  <c r="AZ83" i="11"/>
  <c r="W89" i="11"/>
  <c r="S89" i="11"/>
  <c r="V89" i="11"/>
  <c r="R89" i="11"/>
  <c r="X89" i="11"/>
  <c r="Q91" i="11"/>
  <c r="AZ91" i="11"/>
  <c r="AZ95" i="11"/>
  <c r="U95" i="11"/>
  <c r="Q95" i="11"/>
  <c r="X95" i="11"/>
  <c r="T95" i="11"/>
  <c r="V95" i="11"/>
  <c r="Q98" i="11"/>
  <c r="AZ98" i="11"/>
  <c r="S103" i="11"/>
  <c r="V105" i="11"/>
  <c r="R105" i="11"/>
  <c r="AZ105" i="11"/>
  <c r="U105" i="11"/>
  <c r="Q105" i="11"/>
  <c r="X105" i="11"/>
  <c r="S111" i="11"/>
  <c r="V113" i="11"/>
  <c r="R113" i="11"/>
  <c r="AZ113" i="11"/>
  <c r="U113" i="11"/>
  <c r="Q113" i="11"/>
  <c r="X113" i="11"/>
  <c r="W120" i="11"/>
  <c r="S120" i="11"/>
  <c r="V120" i="11"/>
  <c r="R120" i="11"/>
  <c r="X120" i="11"/>
  <c r="Q122" i="11"/>
  <c r="AZ122" i="11"/>
  <c r="V126" i="11"/>
  <c r="R126" i="11"/>
  <c r="AZ126" i="11"/>
  <c r="U126" i="11"/>
  <c r="Q126" i="11"/>
  <c r="X126" i="11"/>
  <c r="Q134" i="11"/>
  <c r="AZ134" i="11"/>
  <c r="S144" i="11"/>
  <c r="AI155" i="11"/>
  <c r="AI162" i="11"/>
  <c r="AJ167" i="11"/>
  <c r="AP167" i="11"/>
  <c r="AI174" i="11"/>
  <c r="AL179" i="11"/>
  <c r="AK19" i="12"/>
  <c r="AH33" i="12"/>
  <c r="AL45" i="12"/>
  <c r="AF45" i="12"/>
  <c r="AH45" i="12"/>
  <c r="AG45" i="12"/>
  <c r="AV58" i="12"/>
  <c r="AV69" i="12"/>
  <c r="AF69" i="12"/>
  <c r="AN69" i="12"/>
  <c r="AZ69" i="12"/>
  <c r="AX71" i="12"/>
  <c r="S9" i="13"/>
  <c r="AK29" i="13"/>
  <c r="AN39" i="13"/>
  <c r="AI39" i="13"/>
  <c r="V53" i="13"/>
  <c r="S53" i="13"/>
  <c r="V66" i="13"/>
  <c r="Q66" i="13"/>
  <c r="AM77" i="13"/>
  <c r="W80" i="13"/>
  <c r="S80" i="13"/>
  <c r="V80" i="13"/>
  <c r="R80" i="13"/>
  <c r="U80" i="13"/>
  <c r="T80" i="13"/>
  <c r="G10" i="14"/>
  <c r="O10" i="14"/>
  <c r="O20" i="14"/>
  <c r="O23" i="14"/>
  <c r="O24" i="14"/>
  <c r="O27" i="14"/>
  <c r="O28" i="14"/>
  <c r="I14" i="15"/>
  <c r="R19" i="16"/>
  <c r="G19" i="16"/>
  <c r="AZ21" i="16"/>
  <c r="R25" i="16"/>
  <c r="G25" i="16"/>
  <c r="H25" i="16"/>
  <c r="I25" i="16"/>
  <c r="AZ29" i="16"/>
  <c r="U30" i="16"/>
  <c r="H31" i="16"/>
  <c r="S31" i="16"/>
  <c r="AZ33" i="16"/>
  <c r="Q33" i="16"/>
  <c r="P85" i="16"/>
  <c r="M85" i="16"/>
  <c r="P86" i="16"/>
  <c r="M86" i="16"/>
  <c r="S86" i="16"/>
  <c r="G62" i="16"/>
  <c r="H62" i="16"/>
  <c r="R62" i="16"/>
  <c r="T40" i="11"/>
  <c r="X40" i="11"/>
  <c r="T58" i="11"/>
  <c r="X58" i="11"/>
  <c r="AL61" i="11"/>
  <c r="AP61" i="11"/>
  <c r="T63" i="11"/>
  <c r="X63" i="11"/>
  <c r="S65" i="11"/>
  <c r="W65" i="11"/>
  <c r="S76" i="11"/>
  <c r="W76" i="11"/>
  <c r="T84" i="11"/>
  <c r="X84" i="11"/>
  <c r="T86" i="11"/>
  <c r="X86" i="11"/>
  <c r="T88" i="11"/>
  <c r="X88" i="11"/>
  <c r="T90" i="11"/>
  <c r="X90" i="11"/>
  <c r="T92" i="11"/>
  <c r="X92" i="11"/>
  <c r="T100" i="11"/>
  <c r="X100" i="11"/>
  <c r="T117" i="11"/>
  <c r="X117" i="11"/>
  <c r="T119" i="11"/>
  <c r="X119" i="11"/>
  <c r="T121" i="11"/>
  <c r="X121" i="11"/>
  <c r="T123" i="11"/>
  <c r="X123" i="11"/>
  <c r="T135" i="11"/>
  <c r="X135" i="11"/>
  <c r="T137" i="11"/>
  <c r="X137" i="11"/>
  <c r="T139" i="11"/>
  <c r="X139" i="11"/>
  <c r="AL146" i="11"/>
  <c r="AP146" i="11"/>
  <c r="T148" i="11"/>
  <c r="X148" i="11"/>
  <c r="T151" i="11"/>
  <c r="X151" i="11"/>
  <c r="T153" i="11"/>
  <c r="X153" i="11"/>
  <c r="AL161" i="11"/>
  <c r="AP161" i="11"/>
  <c r="AL165" i="11"/>
  <c r="AP165" i="11"/>
  <c r="AL172" i="11"/>
  <c r="AP172" i="11"/>
  <c r="T175" i="11"/>
  <c r="X175" i="11"/>
  <c r="AL178" i="11"/>
  <c r="AP178" i="11"/>
  <c r="W180" i="11"/>
  <c r="S180" i="11"/>
  <c r="V180" i="11"/>
  <c r="R180" i="11"/>
  <c r="X180" i="11"/>
  <c r="BB26" i="12"/>
  <c r="AX26" i="12"/>
  <c r="AB26" i="12"/>
  <c r="AL26" i="12"/>
  <c r="AT26" i="12"/>
  <c r="BA26" i="12"/>
  <c r="AW26" i="12"/>
  <c r="AL32" i="12"/>
  <c r="AI37" i="12"/>
  <c r="AH37" i="12"/>
  <c r="AZ53" i="12"/>
  <c r="AV53" i="12"/>
  <c r="AB53" i="12"/>
  <c r="AJ53" i="12"/>
  <c r="AR53" i="12"/>
  <c r="AY53" i="12"/>
  <c r="AW53" i="12"/>
  <c r="AZ54" i="12"/>
  <c r="AV54" i="12"/>
  <c r="AB54" i="12"/>
  <c r="AY54" i="12"/>
  <c r="AW54" i="12"/>
  <c r="BA68" i="12"/>
  <c r="BB74" i="12"/>
  <c r="V21" i="13"/>
  <c r="R21" i="13"/>
  <c r="AZ21" i="13"/>
  <c r="U21" i="13"/>
  <c r="Q21" i="13"/>
  <c r="X21" i="13"/>
  <c r="S37" i="13"/>
  <c r="R37" i="13"/>
  <c r="X37" i="13"/>
  <c r="AO39" i="13"/>
  <c r="W43" i="13"/>
  <c r="S43" i="13"/>
  <c r="V43" i="13"/>
  <c r="R43" i="13"/>
  <c r="X43" i="13"/>
  <c r="S54" i="13"/>
  <c r="R54" i="13"/>
  <c r="X54" i="13"/>
  <c r="W57" i="13"/>
  <c r="S57" i="13"/>
  <c r="V57" i="13"/>
  <c r="R57" i="13"/>
  <c r="X57" i="13"/>
  <c r="W66" i="13"/>
  <c r="AL73" i="13"/>
  <c r="AP73" i="13"/>
  <c r="AK82" i="13"/>
  <c r="M82" i="13"/>
  <c r="W82" i="13"/>
  <c r="AF82" i="13"/>
  <c r="AJ82" i="13"/>
  <c r="AP82" i="13"/>
  <c r="AN83" i="13"/>
  <c r="AO84" i="13"/>
  <c r="AK86" i="13"/>
  <c r="M86" i="13"/>
  <c r="AJ86" i="13"/>
  <c r="AP86" i="13"/>
  <c r="S11" i="16"/>
  <c r="H11" i="16"/>
  <c r="R14" i="16"/>
  <c r="R16" i="16"/>
  <c r="AZ17" i="16"/>
  <c r="Q17" i="16"/>
  <c r="T18" i="16"/>
  <c r="R32" i="16"/>
  <c r="G32" i="16"/>
  <c r="H38" i="16"/>
  <c r="I38" i="16"/>
  <c r="U43" i="16"/>
  <c r="S44" i="16"/>
  <c r="AZ46" i="16"/>
  <c r="Q46" i="16"/>
  <c r="R51" i="16"/>
  <c r="AZ51" i="16"/>
  <c r="Q51" i="16"/>
  <c r="S51" i="16"/>
  <c r="S53" i="16"/>
  <c r="AZ66" i="16"/>
  <c r="Q66" i="16"/>
  <c r="T67" i="16"/>
  <c r="T71" i="16"/>
  <c r="I71" i="16"/>
  <c r="R74" i="16"/>
  <c r="G74" i="16"/>
  <c r="Q83" i="16"/>
  <c r="R83" i="16"/>
  <c r="R95" i="16"/>
  <c r="G95" i="16"/>
  <c r="S14" i="17"/>
  <c r="S12" i="17"/>
  <c r="S42" i="17"/>
  <c r="N43" i="17"/>
  <c r="N45" i="17"/>
  <c r="G14" i="17"/>
  <c r="T34" i="11"/>
  <c r="T36" i="11"/>
  <c r="T38" i="11"/>
  <c r="Q40" i="11"/>
  <c r="U40" i="11"/>
  <c r="AL47" i="11"/>
  <c r="T49" i="11"/>
  <c r="T51" i="11"/>
  <c r="T53" i="11"/>
  <c r="T55" i="11"/>
  <c r="Q58" i="11"/>
  <c r="U58" i="11"/>
  <c r="AI61" i="11"/>
  <c r="Q63" i="11"/>
  <c r="U63" i="11"/>
  <c r="T65" i="11"/>
  <c r="T67" i="11"/>
  <c r="T69" i="11"/>
  <c r="T71" i="11"/>
  <c r="T73" i="11"/>
  <c r="T76" i="11"/>
  <c r="AL79" i="11"/>
  <c r="T81" i="11"/>
  <c r="Q84" i="11"/>
  <c r="U84" i="11"/>
  <c r="Q86" i="11"/>
  <c r="U86" i="11"/>
  <c r="Q88" i="11"/>
  <c r="U88" i="11"/>
  <c r="Q90" i="11"/>
  <c r="U90" i="11"/>
  <c r="Q92" i="11"/>
  <c r="U92" i="11"/>
  <c r="T94" i="11"/>
  <c r="Q100" i="11"/>
  <c r="U100" i="11"/>
  <c r="T102" i="11"/>
  <c r="T104" i="11"/>
  <c r="T106" i="11"/>
  <c r="T108" i="11"/>
  <c r="T110" i="11"/>
  <c r="T112" i="11"/>
  <c r="T114" i="11"/>
  <c r="Q117" i="11"/>
  <c r="U117" i="11"/>
  <c r="Q119" i="11"/>
  <c r="U119" i="11"/>
  <c r="Q121" i="11"/>
  <c r="U121" i="11"/>
  <c r="Q123" i="11"/>
  <c r="U123" i="11"/>
  <c r="T125" i="11"/>
  <c r="Q135" i="11"/>
  <c r="U135" i="11"/>
  <c r="Q137" i="11"/>
  <c r="U137" i="11"/>
  <c r="Q139" i="11"/>
  <c r="U139" i="11"/>
  <c r="T141" i="11"/>
  <c r="T143" i="11"/>
  <c r="T145" i="11"/>
  <c r="Q148" i="11"/>
  <c r="U148" i="11"/>
  <c r="Q151" i="11"/>
  <c r="U151" i="11"/>
  <c r="Q153" i="11"/>
  <c r="U153" i="11"/>
  <c r="AL160" i="11"/>
  <c r="AI161" i="11"/>
  <c r="AM161" i="11"/>
  <c r="AL164" i="11"/>
  <c r="AI165" i="11"/>
  <c r="AL168" i="11"/>
  <c r="T171" i="11"/>
  <c r="AI172" i="11"/>
  <c r="Q175" i="11"/>
  <c r="U175" i="11"/>
  <c r="AI178" i="11"/>
  <c r="Q180" i="11"/>
  <c r="AZ180" i="11"/>
  <c r="AI24" i="12"/>
  <c r="AH24" i="12"/>
  <c r="AV26" i="12"/>
  <c r="AK32" i="12"/>
  <c r="AG37" i="12"/>
  <c r="AG42" i="12"/>
  <c r="AF42" i="12"/>
  <c r="AW47" i="12"/>
  <c r="AX53" i="12"/>
  <c r="AX54" i="12"/>
  <c r="BA55" i="12"/>
  <c r="AW55" i="12"/>
  <c r="AZ55" i="12"/>
  <c r="AV55" i="12"/>
  <c r="BA64" i="12"/>
  <c r="AW64" i="12"/>
  <c r="AB64" i="12"/>
  <c r="AF64" i="12"/>
  <c r="AN64" i="12"/>
  <c r="AZ64" i="12"/>
  <c r="AV64" i="12"/>
  <c r="AX64" i="12"/>
  <c r="BB68" i="12"/>
  <c r="V11" i="13"/>
  <c r="R11" i="13"/>
  <c r="AZ11" i="13"/>
  <c r="U11" i="13"/>
  <c r="Q11" i="13"/>
  <c r="X11" i="13"/>
  <c r="S12" i="13"/>
  <c r="R12" i="13"/>
  <c r="V19" i="13"/>
  <c r="R19" i="13"/>
  <c r="AZ19" i="13"/>
  <c r="U19" i="13"/>
  <c r="Q19" i="13"/>
  <c r="X19" i="13"/>
  <c r="S21" i="13"/>
  <c r="AK28" i="13"/>
  <c r="V37" i="13"/>
  <c r="Q37" i="13"/>
  <c r="AZ37" i="13"/>
  <c r="W41" i="13"/>
  <c r="S41" i="13"/>
  <c r="V41" i="13"/>
  <c r="R41" i="13"/>
  <c r="X41" i="13"/>
  <c r="Q43" i="13"/>
  <c r="AZ43" i="13"/>
  <c r="V54" i="13"/>
  <c r="Q54" i="13"/>
  <c r="AZ54" i="13"/>
  <c r="Q57" i="13"/>
  <c r="AZ57" i="13"/>
  <c r="W62" i="13"/>
  <c r="S62" i="13"/>
  <c r="V62" i="13"/>
  <c r="R62" i="13"/>
  <c r="X62" i="13"/>
  <c r="V64" i="13"/>
  <c r="R64" i="13"/>
  <c r="AZ64" i="13"/>
  <c r="U64" i="13"/>
  <c r="Q64" i="13"/>
  <c r="X64" i="13"/>
  <c r="V68" i="13"/>
  <c r="R68" i="13"/>
  <c r="AZ68" i="13"/>
  <c r="U68" i="13"/>
  <c r="Q68" i="13"/>
  <c r="X68" i="13"/>
  <c r="AN82" i="13"/>
  <c r="AI82" i="13"/>
  <c r="AN86" i="13"/>
  <c r="AI86" i="13"/>
  <c r="G16" i="16"/>
  <c r="I18" i="16"/>
  <c r="AZ24" i="16"/>
  <c r="R29" i="16"/>
  <c r="G29" i="16"/>
  <c r="I40" i="16"/>
  <c r="R45" i="16"/>
  <c r="G45" i="16"/>
  <c r="R59" i="16"/>
  <c r="G59" i="16"/>
  <c r="T64" i="16"/>
  <c r="H85" i="16"/>
  <c r="I85" i="16"/>
  <c r="J85" i="16"/>
  <c r="V85" i="16"/>
  <c r="S85" i="16"/>
  <c r="T181" i="11"/>
  <c r="X181" i="11"/>
  <c r="AJ15" i="12"/>
  <c r="AL18" i="12"/>
  <c r="AK21" i="12"/>
  <c r="AY27" i="12"/>
  <c r="AW30" i="12"/>
  <c r="BA30" i="12"/>
  <c r="AX31" i="12"/>
  <c r="BB31" i="12"/>
  <c r="AK36" i="12"/>
  <c r="AL39" i="12"/>
  <c r="AK40" i="12"/>
  <c r="AX43" i="12"/>
  <c r="BB43" i="12"/>
  <c r="AW48" i="12"/>
  <c r="BA48" i="12"/>
  <c r="AB57" i="12"/>
  <c r="AH57" i="12"/>
  <c r="AP57" i="12"/>
  <c r="AV57" i="12"/>
  <c r="AZ57" i="12"/>
  <c r="AX62" i="12"/>
  <c r="BB62" i="12"/>
  <c r="AK69" i="12"/>
  <c r="AS69" i="12"/>
  <c r="S10" i="13"/>
  <c r="W10" i="13"/>
  <c r="S18" i="13"/>
  <c r="W18" i="13"/>
  <c r="S20" i="13"/>
  <c r="W20" i="13"/>
  <c r="S22" i="13"/>
  <c r="W22" i="13"/>
  <c r="S24" i="13"/>
  <c r="W24" i="13"/>
  <c r="S26" i="13"/>
  <c r="W26" i="13"/>
  <c r="S30" i="13"/>
  <c r="W30" i="13"/>
  <c r="T40" i="13"/>
  <c r="X40" i="13"/>
  <c r="T42" i="13"/>
  <c r="X42" i="13"/>
  <c r="T44" i="13"/>
  <c r="X44" i="13"/>
  <c r="T46" i="13"/>
  <c r="X46" i="13"/>
  <c r="W48" i="13"/>
  <c r="T56" i="13"/>
  <c r="X56" i="13"/>
  <c r="T58" i="13"/>
  <c r="X58" i="13"/>
  <c r="S60" i="13"/>
  <c r="W60" i="13"/>
  <c r="AL76" i="13"/>
  <c r="AP76" i="13"/>
  <c r="T87" i="13"/>
  <c r="X87" i="13"/>
  <c r="K18" i="14"/>
  <c r="G9" i="16"/>
  <c r="H9" i="16"/>
  <c r="R9" i="16"/>
  <c r="G12" i="16"/>
  <c r="H12" i="16"/>
  <c r="R17" i="16"/>
  <c r="G17" i="16"/>
  <c r="AZ20" i="16"/>
  <c r="R20" i="16"/>
  <c r="R21" i="16"/>
  <c r="G21" i="16"/>
  <c r="H21" i="16"/>
  <c r="I21" i="16"/>
  <c r="R24" i="16"/>
  <c r="T34" i="16"/>
  <c r="I34" i="16"/>
  <c r="K47" i="16"/>
  <c r="W47" i="16"/>
  <c r="T47" i="16"/>
  <c r="G57" i="16"/>
  <c r="H57" i="16"/>
  <c r="R57" i="16"/>
  <c r="G60" i="16"/>
  <c r="H60" i="16"/>
  <c r="I60" i="16"/>
  <c r="R60" i="16"/>
  <c r="R66" i="16"/>
  <c r="G66" i="16"/>
  <c r="H66" i="16"/>
  <c r="R71" i="16"/>
  <c r="Q71" i="16"/>
  <c r="T76" i="16"/>
  <c r="I76" i="16"/>
  <c r="H77" i="16"/>
  <c r="I77" i="16"/>
  <c r="H87" i="16"/>
  <c r="S87" i="16"/>
  <c r="S90" i="16"/>
  <c r="H90" i="16"/>
  <c r="I90" i="16"/>
  <c r="G91" i="16"/>
  <c r="H91" i="16"/>
  <c r="R91" i="16"/>
  <c r="AZ96" i="16"/>
  <c r="Q96" i="16"/>
  <c r="N8" i="17"/>
  <c r="N12" i="17"/>
  <c r="X12" i="17"/>
  <c r="G12" i="17"/>
  <c r="Q181" i="11"/>
  <c r="AG15" i="12"/>
  <c r="AX30" i="12"/>
  <c r="AY31" i="12"/>
  <c r="AL36" i="12"/>
  <c r="AL40" i="12"/>
  <c r="AY43" i="12"/>
  <c r="AX48" i="12"/>
  <c r="AW57" i="12"/>
  <c r="AY62" i="12"/>
  <c r="T10" i="13"/>
  <c r="T18" i="13"/>
  <c r="T20" i="13"/>
  <c r="T22" i="13"/>
  <c r="T24" i="13"/>
  <c r="T26" i="13"/>
  <c r="T30" i="13"/>
  <c r="Q40" i="13"/>
  <c r="U40" i="13"/>
  <c r="Q42" i="13"/>
  <c r="U42" i="13"/>
  <c r="Q44" i="13"/>
  <c r="U44" i="13"/>
  <c r="Q46" i="13"/>
  <c r="U46" i="13"/>
  <c r="T48" i="13"/>
  <c r="Q52" i="13"/>
  <c r="Q56" i="13"/>
  <c r="U56" i="13"/>
  <c r="Q58" i="13"/>
  <c r="U58" i="13"/>
  <c r="T60" i="13"/>
  <c r="T69" i="13"/>
  <c r="AI76" i="13"/>
  <c r="Q87" i="13"/>
  <c r="U87" i="13"/>
  <c r="K14" i="14"/>
  <c r="K23" i="14"/>
  <c r="M23" i="14"/>
  <c r="K27" i="14"/>
  <c r="M27" i="14"/>
  <c r="I9" i="16"/>
  <c r="AZ10" i="16"/>
  <c r="Q10" i="16"/>
  <c r="I15" i="16"/>
  <c r="J15" i="16"/>
  <c r="V15" i="16"/>
  <c r="AZ18" i="16"/>
  <c r="Q18" i="16"/>
  <c r="Q20" i="16"/>
  <c r="G24" i="16"/>
  <c r="T30" i="16"/>
  <c r="R34" i="16"/>
  <c r="AZ34" i="16"/>
  <c r="Q34" i="16"/>
  <c r="G36" i="16"/>
  <c r="H36" i="16"/>
  <c r="I36" i="16"/>
  <c r="R36" i="16"/>
  <c r="T43" i="16"/>
  <c r="R47" i="16"/>
  <c r="AZ47" i="16"/>
  <c r="Q47" i="16"/>
  <c r="G49" i="16"/>
  <c r="H49" i="16"/>
  <c r="R49" i="16"/>
  <c r="R54" i="16"/>
  <c r="G54" i="16"/>
  <c r="H54" i="16"/>
  <c r="I57" i="16"/>
  <c r="S64" i="16"/>
  <c r="S71" i="16"/>
  <c r="R76" i="16"/>
  <c r="AZ76" i="16"/>
  <c r="Q76" i="16"/>
  <c r="R78" i="16"/>
  <c r="G78" i="16"/>
  <c r="S83" i="16"/>
  <c r="G88" i="16"/>
  <c r="R88" i="16"/>
  <c r="Z99" i="16"/>
  <c r="M99" i="16"/>
  <c r="Z101" i="16"/>
  <c r="M101" i="16"/>
  <c r="O8" i="17"/>
  <c r="H8" i="17"/>
  <c r="P8" i="17"/>
  <c r="K33" i="14"/>
  <c r="M33" i="14"/>
  <c r="R23" i="16"/>
  <c r="J26" i="16"/>
  <c r="R26" i="16"/>
  <c r="AZ26" i="16"/>
  <c r="Q26" i="16"/>
  <c r="G33" i="16"/>
  <c r="H33" i="16"/>
  <c r="R33" i="16"/>
  <c r="T42" i="16"/>
  <c r="R46" i="16"/>
  <c r="G46" i="16"/>
  <c r="I55" i="16"/>
  <c r="G56" i="16"/>
  <c r="H56" i="16"/>
  <c r="I56" i="16"/>
  <c r="J58" i="16"/>
  <c r="AZ58" i="16"/>
  <c r="Q58" i="16"/>
  <c r="J63" i="16"/>
  <c r="V63" i="16"/>
  <c r="R63" i="16"/>
  <c r="AZ63" i="16"/>
  <c r="Q63" i="16"/>
  <c r="I67" i="16"/>
  <c r="J67" i="16"/>
  <c r="K67" i="16"/>
  <c r="W67" i="16"/>
  <c r="G68" i="16"/>
  <c r="H68" i="16"/>
  <c r="J70" i="16"/>
  <c r="V70" i="16"/>
  <c r="R70" i="16"/>
  <c r="Q70" i="16"/>
  <c r="G75" i="16"/>
  <c r="H75" i="16"/>
  <c r="R75" i="16"/>
  <c r="T83" i="16"/>
  <c r="T89" i="16"/>
  <c r="R96" i="16"/>
  <c r="G96" i="16"/>
  <c r="AB98" i="16"/>
  <c r="H98" i="16"/>
  <c r="I98" i="16"/>
  <c r="AA101" i="16"/>
  <c r="G101" i="16"/>
  <c r="H101" i="16"/>
  <c r="R103" i="16"/>
  <c r="O7" i="17"/>
  <c r="H7" i="17"/>
  <c r="P7" i="17"/>
  <c r="O9" i="17"/>
  <c r="H9" i="17"/>
  <c r="P9" i="17"/>
  <c r="O10" i="17"/>
  <c r="H10" i="17"/>
  <c r="P10" i="17"/>
  <c r="O11" i="17"/>
  <c r="H11" i="17"/>
  <c r="P11" i="17"/>
  <c r="P17" i="17"/>
  <c r="P21" i="17"/>
  <c r="P25" i="17"/>
  <c r="P29" i="17"/>
  <c r="O24" i="19"/>
  <c r="O10" i="19"/>
  <c r="O22" i="19"/>
  <c r="O28" i="19"/>
  <c r="O29" i="19"/>
  <c r="O30" i="19"/>
  <c r="O47" i="19"/>
  <c r="G24" i="19"/>
  <c r="K24" i="19"/>
  <c r="M24" i="19"/>
  <c r="G47" i="19"/>
  <c r="K47" i="19"/>
  <c r="M47" i="19"/>
  <c r="S33" i="24"/>
  <c r="S35" i="24"/>
  <c r="S28" i="24"/>
  <c r="S30" i="24"/>
  <c r="S38" i="24"/>
  <c r="K13" i="14"/>
  <c r="G10" i="16"/>
  <c r="Q11" i="16"/>
  <c r="G14" i="16"/>
  <c r="Q15" i="16"/>
  <c r="H22" i="16"/>
  <c r="AZ22" i="16"/>
  <c r="Q22" i="16"/>
  <c r="G23" i="16"/>
  <c r="S26" i="16"/>
  <c r="I27" i="16"/>
  <c r="H28" i="16"/>
  <c r="I28" i="16"/>
  <c r="J30" i="16"/>
  <c r="V30" i="16"/>
  <c r="R30" i="16"/>
  <c r="AZ30" i="16"/>
  <c r="Q30" i="16"/>
  <c r="H35" i="16"/>
  <c r="I35" i="16"/>
  <c r="AA99" i="16"/>
  <c r="G37" i="16"/>
  <c r="G39" i="16"/>
  <c r="R41" i="16"/>
  <c r="G41" i="16"/>
  <c r="Q41" i="16"/>
  <c r="I42" i="16"/>
  <c r="J43" i="16"/>
  <c r="V43" i="16"/>
  <c r="R43" i="16"/>
  <c r="AZ43" i="16"/>
  <c r="Q43" i="16"/>
  <c r="H48" i="16"/>
  <c r="I48" i="16"/>
  <c r="G50" i="16"/>
  <c r="H50" i="16"/>
  <c r="R50" i="16"/>
  <c r="Q50" i="16"/>
  <c r="I51" i="16"/>
  <c r="T51" i="16"/>
  <c r="H53" i="16"/>
  <c r="J55" i="16"/>
  <c r="V55" i="16"/>
  <c r="T58" i="16"/>
  <c r="G61" i="16"/>
  <c r="K63" i="16"/>
  <c r="W63" i="16"/>
  <c r="S63" i="16"/>
  <c r="I64" i="16"/>
  <c r="H65" i="16"/>
  <c r="I65" i="16"/>
  <c r="V67" i="16"/>
  <c r="K70" i="16"/>
  <c r="W70" i="16"/>
  <c r="S70" i="16"/>
  <c r="G79" i="16"/>
  <c r="H79" i="16"/>
  <c r="R79" i="16"/>
  <c r="G80" i="16"/>
  <c r="H80" i="16"/>
  <c r="R80" i="16"/>
  <c r="R81" i="16"/>
  <c r="G81" i="16"/>
  <c r="R82" i="16"/>
  <c r="G82" i="16"/>
  <c r="Q82" i="16"/>
  <c r="I83" i="16"/>
  <c r="G99" i="16"/>
  <c r="H99" i="16"/>
  <c r="G103" i="16"/>
  <c r="R104" i="16"/>
  <c r="G104" i="16"/>
  <c r="N17" i="17"/>
  <c r="M17" i="17"/>
  <c r="O17" i="17"/>
  <c r="N21" i="17"/>
  <c r="M21" i="17"/>
  <c r="O21" i="17"/>
  <c r="N25" i="17"/>
  <c r="M25" i="17"/>
  <c r="O25" i="17"/>
  <c r="N29" i="17"/>
  <c r="M29" i="17"/>
  <c r="O29" i="17"/>
  <c r="G22" i="19"/>
  <c r="K22" i="19"/>
  <c r="M22" i="19"/>
  <c r="S52" i="16"/>
  <c r="W52" i="16"/>
  <c r="T72" i="16"/>
  <c r="H86" i="16"/>
  <c r="AZ87" i="16"/>
  <c r="Q87" i="16"/>
  <c r="I89" i="16"/>
  <c r="R89" i="16"/>
  <c r="R92" i="16"/>
  <c r="G92" i="16"/>
  <c r="R93" i="16"/>
  <c r="G93" i="16"/>
  <c r="T94" i="16"/>
  <c r="I94" i="16"/>
  <c r="AB100" i="16"/>
  <c r="I100" i="16"/>
  <c r="N13" i="17"/>
  <c r="G13" i="17"/>
  <c r="P15" i="17"/>
  <c r="P19" i="17"/>
  <c r="P23" i="17"/>
  <c r="P27" i="17"/>
  <c r="G28" i="19"/>
  <c r="K28" i="19"/>
  <c r="M28" i="19"/>
  <c r="T52" i="16"/>
  <c r="J83" i="16"/>
  <c r="V83" i="16"/>
  <c r="R90" i="16"/>
  <c r="AZ97" i="16"/>
  <c r="Q97" i="16"/>
  <c r="AC100" i="16"/>
  <c r="I102" i="16"/>
  <c r="N15" i="17"/>
  <c r="M15" i="17"/>
  <c r="O15" i="17"/>
  <c r="N19" i="17"/>
  <c r="M19" i="17"/>
  <c r="O19" i="17"/>
  <c r="N23" i="17"/>
  <c r="M23" i="17"/>
  <c r="O23" i="17"/>
  <c r="N27" i="17"/>
  <c r="M27" i="17"/>
  <c r="O27" i="17"/>
  <c r="S33" i="29"/>
  <c r="S35" i="29"/>
  <c r="S30" i="33"/>
  <c r="S35" i="33"/>
  <c r="S36" i="33"/>
  <c r="F73" i="9"/>
  <c r="G105" i="16"/>
  <c r="H105" i="16"/>
  <c r="G106" i="16"/>
  <c r="H106" i="16"/>
  <c r="G109" i="16"/>
  <c r="H109" i="16"/>
  <c r="G110" i="16"/>
  <c r="H110" i="16"/>
  <c r="V111" i="16"/>
  <c r="R111" i="16"/>
  <c r="U111" i="16"/>
  <c r="N10" i="17"/>
  <c r="S35" i="21"/>
  <c r="S36" i="21"/>
  <c r="S28" i="22"/>
  <c r="S33" i="22"/>
  <c r="S35" i="22"/>
  <c r="S18" i="22"/>
  <c r="S48" i="22"/>
  <c r="E102" i="8"/>
  <c r="S33" i="25"/>
  <c r="S35" i="25"/>
  <c r="S28" i="25"/>
  <c r="S17" i="25"/>
  <c r="G97" i="16"/>
  <c r="Q102" i="16"/>
  <c r="G107" i="16"/>
  <c r="G108" i="16"/>
  <c r="Q111" i="16"/>
  <c r="W111" i="16"/>
  <c r="N16" i="17"/>
  <c r="M16" i="17"/>
  <c r="N18" i="17"/>
  <c r="M18" i="17"/>
  <c r="N20" i="17"/>
  <c r="M20" i="17"/>
  <c r="N22" i="17"/>
  <c r="M22" i="17"/>
  <c r="N24" i="17"/>
  <c r="M24" i="17"/>
  <c r="N26" i="17"/>
  <c r="M26" i="17"/>
  <c r="N28" i="17"/>
  <c r="M28" i="17"/>
  <c r="N30" i="17"/>
  <c r="M30" i="17"/>
  <c r="S25" i="29"/>
  <c r="N54" i="29"/>
  <c r="O54" i="29"/>
  <c r="S44" i="21"/>
  <c r="S45" i="21"/>
  <c r="S17" i="21"/>
  <c r="S18" i="21"/>
  <c r="O54" i="22"/>
  <c r="S30" i="25"/>
  <c r="S28" i="27"/>
  <c r="S30" i="27"/>
  <c r="E36" i="30"/>
  <c r="H63" i="8"/>
  <c r="S28" i="31"/>
  <c r="S48" i="31"/>
  <c r="S48" i="33"/>
  <c r="F102" i="9"/>
  <c r="S18" i="33"/>
  <c r="F42" i="9"/>
  <c r="E36" i="21"/>
  <c r="D17" i="24"/>
  <c r="S17" i="24"/>
  <c r="S14" i="24"/>
  <c r="S18" i="25"/>
  <c r="S17" i="26"/>
  <c r="S18" i="26"/>
  <c r="I42" i="8"/>
  <c r="S25" i="26"/>
  <c r="U36" i="26"/>
  <c r="S22" i="27"/>
  <c r="S25" i="27"/>
  <c r="S48" i="27"/>
  <c r="J102" i="8"/>
  <c r="S30" i="28"/>
  <c r="S18" i="30"/>
  <c r="S22" i="30"/>
  <c r="S25" i="30"/>
  <c r="S30" i="30"/>
  <c r="S33" i="30"/>
  <c r="S35" i="30"/>
  <c r="N54" i="30"/>
  <c r="S17" i="31"/>
  <c r="S22" i="31"/>
  <c r="S25" i="31"/>
  <c r="S30" i="31"/>
  <c r="S35" i="31"/>
  <c r="V36" i="22"/>
  <c r="T48" i="22"/>
  <c r="E92" i="8"/>
  <c r="T36" i="23"/>
  <c r="F71" i="8"/>
  <c r="S28" i="23"/>
  <c r="S30" i="23"/>
  <c r="S33" i="23"/>
  <c r="S35" i="23"/>
  <c r="S22" i="24"/>
  <c r="S25" i="24"/>
  <c r="V36" i="24"/>
  <c r="AK75" i="8"/>
  <c r="O54" i="25"/>
  <c r="S30" i="26"/>
  <c r="S18" i="27"/>
  <c r="J42" i="8"/>
  <c r="T36" i="27"/>
  <c r="J71" i="8"/>
  <c r="T48" i="27"/>
  <c r="J92" i="8"/>
  <c r="S25" i="28"/>
  <c r="S33" i="28"/>
  <c r="S35" i="28"/>
  <c r="S36" i="28"/>
  <c r="K73" i="8"/>
  <c r="S44" i="28"/>
  <c r="S48" i="28"/>
  <c r="K102" i="8"/>
  <c r="T36" i="29"/>
  <c r="S28" i="29"/>
  <c r="S30" i="29"/>
  <c r="S18" i="31"/>
  <c r="S17" i="32"/>
  <c r="S18" i="32"/>
  <c r="E42" i="9"/>
  <c r="S35" i="32"/>
  <c r="S36" i="32"/>
  <c r="E73" i="9"/>
  <c r="K38" i="19"/>
  <c r="S22" i="22"/>
  <c r="S25" i="22"/>
  <c r="S30" i="22"/>
  <c r="S17" i="23"/>
  <c r="S18" i="23"/>
  <c r="F42" i="8"/>
  <c r="S25" i="23"/>
  <c r="S18" i="24"/>
  <c r="G42" i="8"/>
  <c r="S22" i="25"/>
  <c r="S25" i="25"/>
  <c r="E36" i="25"/>
  <c r="U36" i="27"/>
  <c r="O54" i="27"/>
  <c r="J155" i="8"/>
  <c r="S38" i="28"/>
  <c r="S17" i="28"/>
  <c r="S18" i="28"/>
  <c r="K42" i="8"/>
  <c r="R48" i="28"/>
  <c r="K117" i="8"/>
  <c r="W117" i="8"/>
  <c r="R48" i="29"/>
  <c r="L117" i="8"/>
  <c r="X117" i="8"/>
  <c r="S38" i="30"/>
  <c r="O54" i="30"/>
  <c r="T36" i="31"/>
  <c r="V36" i="32"/>
  <c r="Z75" i="9"/>
  <c r="E36" i="33"/>
  <c r="N295" i="9"/>
  <c r="Q295" i="9"/>
  <c r="AG77" i="12"/>
  <c r="AF77" i="12"/>
  <c r="K18" i="19"/>
  <c r="K11" i="19"/>
  <c r="K30" i="19"/>
  <c r="M30" i="19"/>
  <c r="AH22" i="12"/>
  <c r="AI35" i="12"/>
  <c r="AK73" i="12"/>
  <c r="AK78" i="12"/>
  <c r="AJ78" i="12"/>
  <c r="AI78" i="12"/>
  <c r="AH78" i="12"/>
  <c r="AL78" i="12"/>
  <c r="AG78" i="12"/>
  <c r="AF78" i="12"/>
  <c r="AK16" i="12"/>
  <c r="AI66" i="12"/>
  <c r="AK66" i="12"/>
  <c r="AG11" i="12"/>
  <c r="AL31" i="12"/>
  <c r="AT31" i="12"/>
  <c r="AG31" i="12"/>
  <c r="AO31" i="12"/>
  <c r="AJ49" i="12"/>
  <c r="AI49" i="12"/>
  <c r="AH49" i="12"/>
  <c r="AG49" i="12"/>
  <c r="AL49" i="12"/>
  <c r="AK49" i="12"/>
  <c r="AI11" i="12"/>
  <c r="AJ18" i="12"/>
  <c r="AH18" i="12"/>
  <c r="AG18" i="12"/>
  <c r="AF18" i="12"/>
  <c r="AL21" i="12"/>
  <c r="AJ21" i="12"/>
  <c r="AI21" i="12"/>
  <c r="AH21" i="12"/>
  <c r="AF49" i="12"/>
  <c r="AK76" i="12"/>
  <c r="AJ76" i="12"/>
  <c r="AI76" i="12"/>
  <c r="AH76" i="12"/>
  <c r="AL76" i="12"/>
  <c r="AG76" i="12"/>
  <c r="AF76" i="12"/>
  <c r="AF24" i="12"/>
  <c r="AL24" i="12"/>
  <c r="AK24" i="12"/>
  <c r="AJ24" i="12"/>
  <c r="AJ17" i="12"/>
  <c r="AG24" i="12"/>
  <c r="AL19" i="12"/>
  <c r="AJ46" i="12"/>
  <c r="AI46" i="12"/>
  <c r="AH46" i="12"/>
  <c r="AG46" i="12"/>
  <c r="AI32" i="12"/>
  <c r="AH32" i="12"/>
  <c r="AG32" i="12"/>
  <c r="AF32" i="12"/>
  <c r="AF46" i="12"/>
  <c r="AK72" i="12"/>
  <c r="AL79" i="12"/>
  <c r="AK79" i="12"/>
  <c r="AJ79" i="12"/>
  <c r="AI79" i="12"/>
  <c r="AF19" i="12"/>
  <c r="AJ32" i="12"/>
  <c r="AI43" i="12"/>
  <c r="AQ43" i="12"/>
  <c r="AG43" i="12"/>
  <c r="AO43" i="12"/>
  <c r="AK46" i="12"/>
  <c r="AK75" i="12"/>
  <c r="AJ75" i="12"/>
  <c r="AI75" i="12"/>
  <c r="AH75" i="12"/>
  <c r="AK77" i="12"/>
  <c r="AJ77" i="12"/>
  <c r="AI77" i="12"/>
  <c r="AH77" i="12"/>
  <c r="AF79" i="12"/>
  <c r="AJ39" i="12"/>
  <c r="AI39" i="12"/>
  <c r="AH39" i="12"/>
  <c r="AG39" i="12"/>
  <c r="AL42" i="12"/>
  <c r="AK42" i="12"/>
  <c r="AJ42" i="12"/>
  <c r="AI42" i="12"/>
  <c r="AH79" i="12"/>
  <c r="AL33" i="12"/>
  <c r="AK37" i="12"/>
  <c r="AL44" i="12"/>
  <c r="AI45" i="12"/>
  <c r="AK59" i="12"/>
  <c r="AF36" i="12"/>
  <c r="AL37" i="12"/>
  <c r="AF40" i="12"/>
  <c r="AL41" i="12"/>
  <c r="AJ45" i="12"/>
  <c r="AF33" i="12"/>
  <c r="AG36" i="12"/>
  <c r="AG40" i="12"/>
  <c r="AF44" i="12"/>
  <c r="AK45" i="12"/>
  <c r="AF37" i="12"/>
  <c r="AF59" i="12"/>
  <c r="O186" i="10"/>
  <c r="N186" i="10"/>
  <c r="O109" i="10"/>
  <c r="O73" i="10"/>
  <c r="R73" i="10"/>
  <c r="O84" i="10"/>
  <c r="N84" i="10"/>
  <c r="N109" i="10"/>
  <c r="N36" i="10"/>
  <c r="N68" i="10"/>
  <c r="N8" i="10"/>
  <c r="O27" i="10"/>
  <c r="N27" i="10"/>
  <c r="O35" i="10"/>
  <c r="O67" i="10"/>
  <c r="N13" i="10"/>
  <c r="O26" i="10"/>
  <c r="N91" i="10"/>
  <c r="O113" i="10"/>
  <c r="O19" i="10"/>
  <c r="O41" i="10"/>
  <c r="N41" i="10"/>
  <c r="N77" i="10"/>
  <c r="O91" i="10"/>
  <c r="N19" i="10"/>
  <c r="O174" i="10"/>
  <c r="N174" i="10"/>
  <c r="O23" i="10"/>
  <c r="N34" i="10"/>
  <c r="O64" i="10"/>
  <c r="N99" i="10"/>
  <c r="N87" i="10"/>
  <c r="O123" i="10"/>
  <c r="N123" i="10"/>
  <c r="N46" i="10"/>
  <c r="N108" i="10"/>
  <c r="O164" i="10"/>
  <c r="N110" i="10"/>
  <c r="O101" i="10"/>
  <c r="O150" i="10"/>
  <c r="R150" i="10"/>
  <c r="N151" i="10"/>
  <c r="Q151" i="10"/>
  <c r="N129" i="10"/>
  <c r="O157" i="10"/>
  <c r="N157" i="10"/>
  <c r="N183" i="10"/>
  <c r="N168" i="10"/>
  <c r="Q168" i="10"/>
  <c r="O175" i="10"/>
  <c r="O167" i="10"/>
  <c r="R167" i="10"/>
  <c r="AB222" i="9"/>
  <c r="Q87" i="9"/>
  <c r="N87" i="9"/>
  <c r="O87" i="9"/>
  <c r="M87" i="9"/>
  <c r="F147" i="9"/>
  <c r="M160" i="9"/>
  <c r="P160" i="9"/>
  <c r="N160" i="9"/>
  <c r="Q160" i="9"/>
  <c r="O160" i="9"/>
  <c r="N22" i="9"/>
  <c r="M22" i="9"/>
  <c r="M65" i="9"/>
  <c r="P87" i="9"/>
  <c r="N96" i="9"/>
  <c r="M119" i="9"/>
  <c r="P22" i="9"/>
  <c r="O95" i="9"/>
  <c r="Q22" i="9"/>
  <c r="P118" i="9"/>
  <c r="O118" i="9"/>
  <c r="O157" i="9"/>
  <c r="M157" i="9"/>
  <c r="N157" i="9"/>
  <c r="O61" i="9"/>
  <c r="Y304" i="9"/>
  <c r="O21" i="9"/>
  <c r="N36" i="9"/>
  <c r="T36" i="9"/>
  <c r="Q118" i="9"/>
  <c r="O161" i="9"/>
  <c r="P193" i="9"/>
  <c r="M193" i="9"/>
  <c r="O193" i="9"/>
  <c r="N197" i="9"/>
  <c r="T197" i="9"/>
  <c r="Q197" i="9"/>
  <c r="W197" i="9"/>
  <c r="M197" i="9"/>
  <c r="S197" i="9"/>
  <c r="Q278" i="9"/>
  <c r="P278" i="9"/>
  <c r="N278" i="9"/>
  <c r="M278" i="9"/>
  <c r="O278" i="9"/>
  <c r="O53" i="9"/>
  <c r="O62" i="9"/>
  <c r="O121" i="9"/>
  <c r="P197" i="9"/>
  <c r="V197" i="9"/>
  <c r="P121" i="9"/>
  <c r="AA224" i="9"/>
  <c r="O173" i="9"/>
  <c r="M182" i="9"/>
  <c r="Q182" i="9"/>
  <c r="O211" i="9"/>
  <c r="Q211" i="9"/>
  <c r="N211" i="9"/>
  <c r="M211" i="9"/>
  <c r="M215" i="9"/>
  <c r="O215" i="9"/>
  <c r="N215" i="9"/>
  <c r="AC304" i="9"/>
  <c r="M272" i="9"/>
  <c r="P272" i="9"/>
  <c r="O272" i="9"/>
  <c r="Q276" i="9"/>
  <c r="N276" i="9"/>
  <c r="P309" i="9"/>
  <c r="O309" i="9"/>
  <c r="Q309" i="9"/>
  <c r="N277" i="9"/>
  <c r="M300" i="9"/>
  <c r="S300" i="9"/>
  <c r="Q300" i="9"/>
  <c r="W300" i="9"/>
  <c r="N300" i="9"/>
  <c r="T300" i="9"/>
  <c r="P276" i="9"/>
  <c r="O277" i="9"/>
  <c r="O294" i="9"/>
  <c r="O300" i="9"/>
  <c r="U300" i="9"/>
  <c r="P300" i="9"/>
  <c r="V300" i="9"/>
  <c r="Q297" i="9"/>
  <c r="P314" i="9"/>
  <c r="M312" i="9"/>
  <c r="O301" i="9"/>
  <c r="U301" i="9"/>
  <c r="M295" i="9"/>
  <c r="P301" i="9"/>
  <c r="V301" i="9"/>
  <c r="M289" i="9"/>
  <c r="X22" i="8"/>
  <c r="S61" i="8"/>
  <c r="W61" i="8"/>
  <c r="U116" i="8"/>
  <c r="AD116" i="8"/>
  <c r="V257" i="8"/>
  <c r="V22" i="8"/>
  <c r="R22" i="8"/>
  <c r="W22" i="8"/>
  <c r="Q22" i="8"/>
  <c r="V113" i="8"/>
  <c r="AE113" i="8"/>
  <c r="Q113" i="8"/>
  <c r="Z113" i="8"/>
  <c r="S16" i="8"/>
  <c r="S96" i="8"/>
  <c r="T22" i="8"/>
  <c r="T116" i="8"/>
  <c r="AC116" i="8"/>
  <c r="Q116" i="8"/>
  <c r="Z116" i="8"/>
  <c r="U87" i="8"/>
  <c r="Q110" i="8"/>
  <c r="Z110" i="8"/>
  <c r="W121" i="8"/>
  <c r="T159" i="8"/>
  <c r="W159" i="8"/>
  <c r="S159" i="8"/>
  <c r="V265" i="8"/>
  <c r="R159" i="8"/>
  <c r="V159" i="8"/>
  <c r="W132" i="8"/>
  <c r="AF132" i="8"/>
  <c r="Q188" i="8"/>
  <c r="Q223" i="8"/>
  <c r="Z223" i="8"/>
  <c r="R223" i="8"/>
  <c r="AA223" i="8"/>
  <c r="W223" i="8"/>
  <c r="AF223" i="8"/>
  <c r="X251" i="8"/>
  <c r="W272" i="8"/>
  <c r="V272" i="8"/>
  <c r="U272" i="8"/>
  <c r="T272" i="8"/>
  <c r="Q272" i="8"/>
  <c r="X272" i="8"/>
  <c r="S169" i="8"/>
  <c r="AB169" i="8"/>
  <c r="T188" i="8"/>
  <c r="S223" i="8"/>
  <c r="AB223" i="8"/>
  <c r="S272" i="8"/>
  <c r="U223" i="8"/>
  <c r="AD223" i="8"/>
  <c r="U279" i="8"/>
  <c r="S291" i="8"/>
  <c r="X291" i="8"/>
  <c r="U291" i="8"/>
  <c r="T291" i="8"/>
  <c r="R291" i="8"/>
  <c r="Q291" i="8"/>
  <c r="V291" i="8"/>
  <c r="T296" i="8"/>
  <c r="M205" i="11"/>
  <c r="R57" i="8"/>
  <c r="AA57" i="8"/>
  <c r="R284" i="8"/>
  <c r="AA284" i="8"/>
  <c r="W113" i="8"/>
  <c r="AF113" i="8"/>
  <c r="R113" i="8"/>
  <c r="AA113" i="8"/>
  <c r="T113" i="8"/>
  <c r="AC113" i="8"/>
  <c r="S113" i="8"/>
  <c r="AB113" i="8"/>
  <c r="W52" i="8"/>
  <c r="AF52" i="8"/>
  <c r="W268" i="8"/>
  <c r="AF268" i="8"/>
  <c r="S128" i="8"/>
  <c r="AB128" i="8"/>
  <c r="U90" i="16"/>
  <c r="AD98" i="16"/>
  <c r="U60" i="16"/>
  <c r="U25" i="16"/>
  <c r="U48" i="16"/>
  <c r="U35" i="16"/>
  <c r="U73" i="16"/>
  <c r="Z224" i="9"/>
  <c r="E76" i="8"/>
  <c r="T110" i="16"/>
  <c r="U27" i="16"/>
  <c r="I75" i="16"/>
  <c r="J75" i="16"/>
  <c r="K75" i="16"/>
  <c r="W75" i="16"/>
  <c r="T75" i="16"/>
  <c r="T68" i="16"/>
  <c r="S78" i="16"/>
  <c r="H78" i="16"/>
  <c r="I78" i="16"/>
  <c r="J78" i="16"/>
  <c r="V78" i="16"/>
  <c r="T49" i="16"/>
  <c r="I49" i="16"/>
  <c r="J49" i="16"/>
  <c r="K49" i="16"/>
  <c r="W49" i="16"/>
  <c r="U9" i="16"/>
  <c r="U77" i="16"/>
  <c r="T12" i="16"/>
  <c r="AL57" i="12"/>
  <c r="AT57" i="12"/>
  <c r="AG57" i="12"/>
  <c r="AO57" i="12"/>
  <c r="AF57" i="12"/>
  <c r="AN57" i="12"/>
  <c r="AJ57" i="12"/>
  <c r="AR57" i="12"/>
  <c r="AD40" i="16"/>
  <c r="U71" i="16"/>
  <c r="J71" i="16"/>
  <c r="V71" i="16"/>
  <c r="K71" i="16"/>
  <c r="W71" i="16"/>
  <c r="AK57" i="12"/>
  <c r="AS57" i="12"/>
  <c r="S36" i="22"/>
  <c r="E42" i="8"/>
  <c r="U102" i="16"/>
  <c r="J102" i="16"/>
  <c r="V102" i="16"/>
  <c r="H93" i="16"/>
  <c r="S93" i="16"/>
  <c r="T86" i="16"/>
  <c r="I86" i="16"/>
  <c r="J86" i="16"/>
  <c r="S82" i="16"/>
  <c r="H82" i="16"/>
  <c r="I82" i="16"/>
  <c r="U65" i="16"/>
  <c r="S61" i="16"/>
  <c r="H61" i="16"/>
  <c r="I61" i="16"/>
  <c r="T53" i="16"/>
  <c r="I53" i="16"/>
  <c r="J53" i="16"/>
  <c r="K53" i="16"/>
  <c r="W53" i="16"/>
  <c r="V53" i="16"/>
  <c r="AB39" i="16"/>
  <c r="J77" i="16"/>
  <c r="V77" i="16"/>
  <c r="I68" i="16"/>
  <c r="T33" i="16"/>
  <c r="S24" i="16"/>
  <c r="H24" i="16"/>
  <c r="S12" i="16"/>
  <c r="U21" i="16"/>
  <c r="J21" i="16"/>
  <c r="K21" i="16"/>
  <c r="L21" i="16"/>
  <c r="X21" i="16"/>
  <c r="I12" i="16"/>
  <c r="S45" i="16"/>
  <c r="H45" i="16"/>
  <c r="S16" i="16"/>
  <c r="H16" i="16"/>
  <c r="I16" i="16"/>
  <c r="J16" i="16"/>
  <c r="V16" i="16"/>
  <c r="S32" i="16"/>
  <c r="H32" i="16"/>
  <c r="I32" i="16"/>
  <c r="J32" i="16"/>
  <c r="V32" i="16"/>
  <c r="T11" i="16"/>
  <c r="I11" i="16"/>
  <c r="J11" i="16"/>
  <c r="K11" i="16"/>
  <c r="W11" i="16"/>
  <c r="S86" i="13"/>
  <c r="AB86" i="13"/>
  <c r="R86" i="13"/>
  <c r="AA86" i="13"/>
  <c r="AZ86" i="13"/>
  <c r="Q86" i="13"/>
  <c r="Z86" i="13"/>
  <c r="X86" i="13"/>
  <c r="AG86" i="13"/>
  <c r="U86" i="13"/>
  <c r="AD86" i="13"/>
  <c r="T86" i="13"/>
  <c r="AC86" i="13"/>
  <c r="V86" i="13"/>
  <c r="AE86" i="13"/>
  <c r="S19" i="16"/>
  <c r="H19" i="16"/>
  <c r="J73" i="16"/>
  <c r="V73" i="16"/>
  <c r="J27" i="16"/>
  <c r="V27" i="16"/>
  <c r="U20" i="16"/>
  <c r="V12" i="13"/>
  <c r="K12" i="13"/>
  <c r="L12" i="13"/>
  <c r="X12" i="13"/>
  <c r="W12" i="13"/>
  <c r="F63" i="9"/>
  <c r="F68" i="9"/>
  <c r="G68" i="9"/>
  <c r="G63" i="9"/>
  <c r="S36" i="24"/>
  <c r="G73" i="8"/>
  <c r="I76" i="8"/>
  <c r="I49" i="8"/>
  <c r="T105" i="16"/>
  <c r="S104" i="16"/>
  <c r="H104" i="16"/>
  <c r="S81" i="16"/>
  <c r="H81" i="16"/>
  <c r="I81" i="16"/>
  <c r="J81" i="16"/>
  <c r="V81" i="16"/>
  <c r="T80" i="16"/>
  <c r="T77" i="16"/>
  <c r="U51" i="16"/>
  <c r="J51" i="16"/>
  <c r="V51" i="16"/>
  <c r="T50" i="16"/>
  <c r="S41" i="16"/>
  <c r="H41" i="16"/>
  <c r="U28" i="16"/>
  <c r="I101" i="16"/>
  <c r="J101" i="16"/>
  <c r="AB101" i="16"/>
  <c r="S96" i="16"/>
  <c r="H96" i="16"/>
  <c r="T56" i="16"/>
  <c r="S46" i="16"/>
  <c r="H46" i="16"/>
  <c r="L70" i="16"/>
  <c r="X70" i="16"/>
  <c r="T36" i="16"/>
  <c r="J36" i="16"/>
  <c r="K36" i="16"/>
  <c r="W36" i="16"/>
  <c r="T91" i="16"/>
  <c r="I91" i="16"/>
  <c r="J91" i="16"/>
  <c r="K91" i="16"/>
  <c r="W91" i="16"/>
  <c r="T87" i="16"/>
  <c r="I87" i="16"/>
  <c r="J87" i="16"/>
  <c r="K87" i="16"/>
  <c r="W87" i="16"/>
  <c r="V87" i="16"/>
  <c r="U85" i="16"/>
  <c r="K85" i="16"/>
  <c r="L85" i="16"/>
  <c r="X85" i="16"/>
  <c r="I45" i="16"/>
  <c r="V11" i="16"/>
  <c r="I19" i="16"/>
  <c r="AH58" i="12"/>
  <c r="AP58" i="12"/>
  <c r="N247" i="9"/>
  <c r="T247" i="9"/>
  <c r="P247" i="9"/>
  <c r="V247" i="9"/>
  <c r="O247" i="9"/>
  <c r="U247" i="9"/>
  <c r="Q85" i="16"/>
  <c r="Q86" i="16"/>
  <c r="Q99" i="16"/>
  <c r="AI99" i="16"/>
  <c r="Q303" i="9"/>
  <c r="W303" i="9"/>
  <c r="P303" i="9"/>
  <c r="V303" i="9"/>
  <c r="M303" i="9"/>
  <c r="S303" i="9"/>
  <c r="AL16" i="13"/>
  <c r="K102" i="16"/>
  <c r="W102" i="16"/>
  <c r="O306" i="9"/>
  <c r="U306" i="9"/>
  <c r="N306" i="9"/>
  <c r="T306" i="9"/>
  <c r="R229" i="8"/>
  <c r="AA229" i="8"/>
  <c r="T48" i="16"/>
  <c r="J48" i="16"/>
  <c r="K48" i="16"/>
  <c r="W48" i="16"/>
  <c r="K101" i="16"/>
  <c r="AC101" i="16"/>
  <c r="U56" i="16"/>
  <c r="T54" i="16"/>
  <c r="L36" i="16"/>
  <c r="X36" i="16"/>
  <c r="U36" i="16"/>
  <c r="T90" i="16"/>
  <c r="J90" i="16"/>
  <c r="K90" i="16"/>
  <c r="W90" i="16"/>
  <c r="V90" i="16"/>
  <c r="T9" i="16"/>
  <c r="U18" i="16"/>
  <c r="S95" i="16"/>
  <c r="H95" i="16"/>
  <c r="J25" i="16"/>
  <c r="K25" i="16"/>
  <c r="W25" i="16"/>
  <c r="T25" i="16"/>
  <c r="T73" i="16"/>
  <c r="S13" i="16"/>
  <c r="H13" i="16"/>
  <c r="I13" i="16"/>
  <c r="J13" i="16"/>
  <c r="V13" i="16"/>
  <c r="U44" i="16"/>
  <c r="S108" i="16"/>
  <c r="H108" i="16"/>
  <c r="I108" i="16"/>
  <c r="J108" i="16"/>
  <c r="V108" i="16"/>
  <c r="T109" i="16"/>
  <c r="T35" i="16"/>
  <c r="J35" i="16"/>
  <c r="V35" i="16"/>
  <c r="V26" i="16"/>
  <c r="K26" i="16"/>
  <c r="W26" i="16"/>
  <c r="AZ101" i="16"/>
  <c r="U57" i="16"/>
  <c r="U76" i="16"/>
  <c r="J76" i="16"/>
  <c r="V76" i="16"/>
  <c r="S29" i="16"/>
  <c r="H29" i="16"/>
  <c r="I29" i="16"/>
  <c r="T44" i="16"/>
  <c r="T62" i="16"/>
  <c r="J8" i="13"/>
  <c r="K8" i="13"/>
  <c r="T8" i="16"/>
  <c r="J40" i="16"/>
  <c r="V306" i="8"/>
  <c r="AE306" i="8"/>
  <c r="V106" i="8"/>
  <c r="AE106" i="8"/>
  <c r="S106" i="8"/>
  <c r="AB106" i="8"/>
  <c r="Q106" i="8"/>
  <c r="Z106" i="8"/>
  <c r="P126" i="9"/>
  <c r="V126" i="9"/>
  <c r="J76" i="8"/>
  <c r="J49" i="8"/>
  <c r="S36" i="23"/>
  <c r="F73" i="8"/>
  <c r="S36" i="27"/>
  <c r="J73" i="8"/>
  <c r="H102" i="9"/>
  <c r="D102" i="9"/>
  <c r="S107" i="16"/>
  <c r="H107" i="16"/>
  <c r="S97" i="16"/>
  <c r="H97" i="16"/>
  <c r="T106" i="16"/>
  <c r="O13" i="17"/>
  <c r="H13" i="17"/>
  <c r="P13" i="17"/>
  <c r="S103" i="16"/>
  <c r="H103" i="16"/>
  <c r="I103" i="16"/>
  <c r="T79" i="16"/>
  <c r="S68" i="16"/>
  <c r="J68" i="16"/>
  <c r="V68" i="16"/>
  <c r="U64" i="16"/>
  <c r="J64" i="16"/>
  <c r="V64" i="16"/>
  <c r="H39" i="16"/>
  <c r="H37" i="16"/>
  <c r="I37" i="16"/>
  <c r="J37" i="16"/>
  <c r="S23" i="16"/>
  <c r="H23" i="16"/>
  <c r="T20" i="16"/>
  <c r="J20" i="16"/>
  <c r="K20" i="16"/>
  <c r="W20" i="16"/>
  <c r="S10" i="16"/>
  <c r="H10" i="16"/>
  <c r="I10" i="16"/>
  <c r="AC98" i="16"/>
  <c r="J98" i="16"/>
  <c r="K98" i="16"/>
  <c r="V48" i="16"/>
  <c r="S88" i="16"/>
  <c r="H88" i="16"/>
  <c r="I88" i="16"/>
  <c r="J88" i="16"/>
  <c r="V88" i="16"/>
  <c r="K55" i="16"/>
  <c r="W55" i="16"/>
  <c r="W21" i="16"/>
  <c r="T21" i="16"/>
  <c r="J18" i="16"/>
  <c r="V18" i="16"/>
  <c r="T66" i="16"/>
  <c r="T60" i="16"/>
  <c r="J60" i="16"/>
  <c r="K60" i="16"/>
  <c r="W60" i="16"/>
  <c r="T57" i="16"/>
  <c r="J38" i="16"/>
  <c r="K38" i="16"/>
  <c r="S21" i="16"/>
  <c r="V21" i="16"/>
  <c r="S17" i="16"/>
  <c r="H17" i="16"/>
  <c r="I17" i="16"/>
  <c r="J17" i="16"/>
  <c r="V17" i="16"/>
  <c r="S59" i="16"/>
  <c r="H59" i="16"/>
  <c r="S74" i="16"/>
  <c r="H74" i="16"/>
  <c r="I74" i="16"/>
  <c r="J74" i="16"/>
  <c r="V74" i="16"/>
  <c r="J44" i="16"/>
  <c r="V44" i="16"/>
  <c r="AZ86" i="16"/>
  <c r="R86" i="16"/>
  <c r="K10" i="14"/>
  <c r="M10" i="14"/>
  <c r="S69" i="16"/>
  <c r="H69" i="16"/>
  <c r="I69" i="16"/>
  <c r="O36" i="9"/>
  <c r="U36" i="9"/>
  <c r="P36" i="9"/>
  <c r="V36" i="9"/>
  <c r="O32" i="10"/>
  <c r="R32" i="10"/>
  <c r="W86" i="13"/>
  <c r="AF86" i="13"/>
  <c r="AC40" i="16"/>
  <c r="K40" i="16"/>
  <c r="V20" i="16"/>
  <c r="Q128" i="8"/>
  <c r="Z128" i="8"/>
  <c r="H71" i="9"/>
  <c r="D71" i="9"/>
  <c r="H42" i="9"/>
  <c r="D42" i="9"/>
  <c r="AO102" i="8"/>
  <c r="AN71" i="8"/>
  <c r="AJ71" i="8"/>
  <c r="S36" i="30"/>
  <c r="H42" i="8"/>
  <c r="S109" i="16"/>
  <c r="I109" i="16"/>
  <c r="J109" i="16"/>
  <c r="V109" i="16"/>
  <c r="S105" i="16"/>
  <c r="I105" i="16"/>
  <c r="J105" i="16"/>
  <c r="V105" i="16"/>
  <c r="AD100" i="16"/>
  <c r="J94" i="16"/>
  <c r="V94" i="16"/>
  <c r="U94" i="16"/>
  <c r="H92" i="16"/>
  <c r="S92" i="16"/>
  <c r="AC99" i="16"/>
  <c r="U83" i="16"/>
  <c r="S80" i="16"/>
  <c r="I80" i="16"/>
  <c r="T65" i="16"/>
  <c r="J65" i="16"/>
  <c r="V65" i="16"/>
  <c r="S56" i="16"/>
  <c r="J56" i="16"/>
  <c r="V56" i="16"/>
  <c r="U42" i="16"/>
  <c r="T28" i="16"/>
  <c r="T22" i="16"/>
  <c r="I22" i="16"/>
  <c r="K83" i="16"/>
  <c r="W83" i="16"/>
  <c r="V58" i="16"/>
  <c r="S33" i="16"/>
  <c r="I33" i="16"/>
  <c r="J33" i="16"/>
  <c r="V33" i="16"/>
  <c r="S54" i="16"/>
  <c r="J28" i="16"/>
  <c r="V28" i="16"/>
  <c r="U15" i="16"/>
  <c r="T12" i="17"/>
  <c r="O12" i="17"/>
  <c r="Y12" i="17"/>
  <c r="H12" i="17"/>
  <c r="S66" i="16"/>
  <c r="AG53" i="12"/>
  <c r="AO53" i="12"/>
  <c r="AG69" i="12"/>
  <c r="AO69" i="12"/>
  <c r="T85" i="16"/>
  <c r="W85" i="16"/>
  <c r="T31" i="16"/>
  <c r="T27" i="16"/>
  <c r="K27" i="16"/>
  <c r="W27" i="16"/>
  <c r="S39" i="13"/>
  <c r="AB39" i="13"/>
  <c r="R39" i="13"/>
  <c r="AA39" i="13"/>
  <c r="T39" i="13"/>
  <c r="AC39" i="13"/>
  <c r="Q39" i="13"/>
  <c r="Z39" i="13"/>
  <c r="AZ39" i="13"/>
  <c r="AI69" i="12"/>
  <c r="AQ69" i="12"/>
  <c r="W174" i="11"/>
  <c r="AF174" i="11"/>
  <c r="S174" i="11"/>
  <c r="AB174" i="11"/>
  <c r="V174" i="11"/>
  <c r="AE174" i="11"/>
  <c r="R174" i="11"/>
  <c r="AA174" i="11"/>
  <c r="AZ174" i="11"/>
  <c r="Q174" i="11"/>
  <c r="Z174" i="11"/>
  <c r="X174" i="11"/>
  <c r="AG174" i="11"/>
  <c r="U174" i="11"/>
  <c r="AD174" i="11"/>
  <c r="T174" i="11"/>
  <c r="AC174" i="11"/>
  <c r="M72" i="13"/>
  <c r="R72" i="13"/>
  <c r="AA72" i="13"/>
  <c r="S8" i="16"/>
  <c r="AJ127" i="11"/>
  <c r="AM127" i="11"/>
  <c r="N31" i="13"/>
  <c r="N59" i="13"/>
  <c r="N43" i="11"/>
  <c r="AK43" i="11"/>
  <c r="AO42" i="11"/>
  <c r="M42" i="11"/>
  <c r="AN42" i="11"/>
  <c r="AJ42" i="11"/>
  <c r="AP42" i="11"/>
  <c r="AM42" i="11"/>
  <c r="AL42" i="11"/>
  <c r="L63" i="16"/>
  <c r="X63" i="16"/>
  <c r="S84" i="13"/>
  <c r="AB84" i="13"/>
  <c r="R84" i="13"/>
  <c r="AA84" i="13"/>
  <c r="U84" i="13"/>
  <c r="AD84" i="13"/>
  <c r="T84" i="13"/>
  <c r="AC84" i="13"/>
  <c r="AZ84" i="13"/>
  <c r="X84" i="13"/>
  <c r="AG84" i="13"/>
  <c r="Q84" i="13"/>
  <c r="Z84" i="13"/>
  <c r="U84" i="16"/>
  <c r="O168" i="10"/>
  <c r="R168" i="10"/>
  <c r="V303" i="8"/>
  <c r="AE303" i="8"/>
  <c r="S36" i="25"/>
  <c r="S36" i="31"/>
  <c r="S36" i="26"/>
  <c r="I73" i="8"/>
  <c r="S46" i="21"/>
  <c r="S36" i="29"/>
  <c r="S110" i="16"/>
  <c r="I110" i="16"/>
  <c r="J110" i="16"/>
  <c r="V110" i="16"/>
  <c r="S106" i="16"/>
  <c r="I106" i="16"/>
  <c r="J106" i="16"/>
  <c r="V106" i="16"/>
  <c r="AI102" i="8"/>
  <c r="J100" i="16"/>
  <c r="U89" i="16"/>
  <c r="J42" i="16"/>
  <c r="S99" i="16"/>
  <c r="AK99" i="16"/>
  <c r="I99" i="16"/>
  <c r="AB99" i="16"/>
  <c r="J89" i="16"/>
  <c r="S79" i="16"/>
  <c r="I79" i="16"/>
  <c r="K58" i="16"/>
  <c r="W58" i="16"/>
  <c r="S50" i="16"/>
  <c r="I50" i="16"/>
  <c r="J50" i="16"/>
  <c r="V50" i="16"/>
  <c r="H14" i="16"/>
  <c r="I14" i="16"/>
  <c r="S14" i="16"/>
  <c r="S75" i="16"/>
  <c r="V75" i="16"/>
  <c r="U67" i="16"/>
  <c r="L67" i="16"/>
  <c r="X67" i="16"/>
  <c r="U55" i="16"/>
  <c r="L55" i="16"/>
  <c r="X55" i="16"/>
  <c r="AZ99" i="16"/>
  <c r="I54" i="16"/>
  <c r="S49" i="16"/>
  <c r="V49" i="16"/>
  <c r="K43" i="16"/>
  <c r="W43" i="16"/>
  <c r="S36" i="16"/>
  <c r="V36" i="16"/>
  <c r="K30" i="16"/>
  <c r="S91" i="16"/>
  <c r="V91" i="16"/>
  <c r="I66" i="16"/>
  <c r="S60" i="16"/>
  <c r="V60" i="16"/>
  <c r="S57" i="16"/>
  <c r="J57" i="16"/>
  <c r="V57" i="16"/>
  <c r="U47" i="16"/>
  <c r="L47" i="16"/>
  <c r="X47" i="16"/>
  <c r="U34" i="16"/>
  <c r="S9" i="16"/>
  <c r="J9" i="16"/>
  <c r="V9" i="16"/>
  <c r="J34" i="16"/>
  <c r="H14" i="17"/>
  <c r="T14" i="17"/>
  <c r="T42" i="17"/>
  <c r="AI53" i="12"/>
  <c r="AQ53" i="12"/>
  <c r="AF53" i="12"/>
  <c r="AN53" i="12"/>
  <c r="S62" i="16"/>
  <c r="I62" i="16"/>
  <c r="J62" i="16"/>
  <c r="V62" i="16"/>
  <c r="R85" i="16"/>
  <c r="AZ85" i="16"/>
  <c r="V25" i="16"/>
  <c r="S25" i="16"/>
  <c r="I31" i="16"/>
  <c r="I8" i="16"/>
  <c r="L55" i="13"/>
  <c r="S246" i="8"/>
  <c r="AB246" i="8"/>
  <c r="V50" i="8"/>
  <c r="AE50" i="8"/>
  <c r="K15" i="16"/>
  <c r="W15" i="16"/>
  <c r="K84" i="16"/>
  <c r="W84" i="16"/>
  <c r="T84" i="16"/>
  <c r="W159" i="11"/>
  <c r="AF159" i="11"/>
  <c r="S159" i="11"/>
  <c r="AB159" i="11"/>
  <c r="V159" i="11"/>
  <c r="AE159" i="11"/>
  <c r="R159" i="11"/>
  <c r="AA159" i="11"/>
  <c r="T159" i="11"/>
  <c r="AC159" i="11"/>
  <c r="AZ159" i="11"/>
  <c r="Q159" i="11"/>
  <c r="Z159" i="11"/>
  <c r="X159" i="11"/>
  <c r="AG159" i="11"/>
  <c r="U159" i="11"/>
  <c r="AD159" i="11"/>
  <c r="Q301" i="9"/>
  <c r="W301" i="9"/>
  <c r="N301" i="9"/>
  <c r="T301" i="9"/>
  <c r="M301" i="9"/>
  <c r="S301" i="9"/>
  <c r="X133" i="8"/>
  <c r="AG133" i="8"/>
  <c r="U29" i="16"/>
  <c r="U82" i="16"/>
  <c r="J82" i="16"/>
  <c r="V82" i="16"/>
  <c r="J54" i="16"/>
  <c r="K54" i="16"/>
  <c r="W54" i="16"/>
  <c r="I41" i="16"/>
  <c r="J41" i="16"/>
  <c r="V41" i="16"/>
  <c r="V86" i="16"/>
  <c r="K86" i="16"/>
  <c r="W86" i="16"/>
  <c r="I23" i="16"/>
  <c r="J23" i="16"/>
  <c r="V23" i="16"/>
  <c r="U61" i="16"/>
  <c r="U8" i="16"/>
  <c r="U14" i="16"/>
  <c r="U79" i="16"/>
  <c r="AF40" i="16"/>
  <c r="U69" i="16"/>
  <c r="T59" i="16"/>
  <c r="I59" i="16"/>
  <c r="K78" i="16"/>
  <c r="L78" i="16"/>
  <c r="X78" i="16"/>
  <c r="U78" i="16"/>
  <c r="AF98" i="16"/>
  <c r="AE37" i="16"/>
  <c r="U103" i="16"/>
  <c r="K109" i="16"/>
  <c r="W109" i="16"/>
  <c r="U45" i="16"/>
  <c r="T96" i="16"/>
  <c r="I96" i="16"/>
  <c r="K28" i="16"/>
  <c r="L28" i="16"/>
  <c r="X28" i="16"/>
  <c r="U12" i="16"/>
  <c r="K77" i="16"/>
  <c r="L77" i="16"/>
  <c r="X77" i="16"/>
  <c r="K110" i="16"/>
  <c r="W110" i="16"/>
  <c r="L60" i="16"/>
  <c r="X60" i="16"/>
  <c r="U14" i="17"/>
  <c r="P14" i="17"/>
  <c r="Z14" i="17"/>
  <c r="L84" i="16"/>
  <c r="X84" i="16"/>
  <c r="AO43" i="11"/>
  <c r="AN43" i="11"/>
  <c r="U22" i="16"/>
  <c r="J22" i="16"/>
  <c r="K94" i="16"/>
  <c r="L94" i="16"/>
  <c r="X94" i="16"/>
  <c r="L109" i="16"/>
  <c r="X109" i="16"/>
  <c r="U109" i="16"/>
  <c r="J69" i="16"/>
  <c r="K69" i="16"/>
  <c r="W69" i="16"/>
  <c r="T69" i="16"/>
  <c r="J10" i="16"/>
  <c r="K10" i="16"/>
  <c r="W10" i="16"/>
  <c r="T10" i="16"/>
  <c r="K64" i="16"/>
  <c r="W64" i="16"/>
  <c r="J103" i="16"/>
  <c r="V103" i="16"/>
  <c r="I97" i="16"/>
  <c r="J8" i="16"/>
  <c r="K8" i="16"/>
  <c r="W8" i="16"/>
  <c r="K44" i="16"/>
  <c r="W44" i="16"/>
  <c r="T46" i="16"/>
  <c r="K56" i="16"/>
  <c r="W56" i="16"/>
  <c r="J96" i="16"/>
  <c r="V96" i="16"/>
  <c r="T19" i="16"/>
  <c r="T45" i="16"/>
  <c r="T24" i="16"/>
  <c r="T93" i="16"/>
  <c r="L90" i="16"/>
  <c r="X90" i="16"/>
  <c r="U62" i="16"/>
  <c r="J79" i="16"/>
  <c r="V79" i="16"/>
  <c r="V42" i="16"/>
  <c r="K42" i="16"/>
  <c r="W42" i="16"/>
  <c r="H73" i="9"/>
  <c r="D73" i="9"/>
  <c r="J66" i="16"/>
  <c r="V66" i="16"/>
  <c r="W28" i="16"/>
  <c r="K65" i="16"/>
  <c r="AC71" i="9"/>
  <c r="T74" i="16"/>
  <c r="K74" i="16"/>
  <c r="W74" i="16"/>
  <c r="K17" i="16"/>
  <c r="W17" i="16"/>
  <c r="T17" i="16"/>
  <c r="K57" i="16"/>
  <c r="W57" i="16"/>
  <c r="AE98" i="16"/>
  <c r="T103" i="16"/>
  <c r="K103" i="16"/>
  <c r="W103" i="16"/>
  <c r="V10" i="16"/>
  <c r="AC39" i="16"/>
  <c r="K62" i="16"/>
  <c r="W62" i="16"/>
  <c r="K76" i="16"/>
  <c r="W76" i="16"/>
  <c r="L49" i="16"/>
  <c r="X49" i="16"/>
  <c r="U49" i="16"/>
  <c r="K13" i="16"/>
  <c r="W13" i="16"/>
  <c r="T13" i="16"/>
  <c r="L38" i="16"/>
  <c r="U32" i="16"/>
  <c r="U87" i="16"/>
  <c r="L87" i="16"/>
  <c r="X87" i="16"/>
  <c r="L101" i="16"/>
  <c r="AD101" i="16"/>
  <c r="U101" i="16"/>
  <c r="AM101" i="16"/>
  <c r="K51" i="16"/>
  <c r="W51" i="16"/>
  <c r="W77" i="16"/>
  <c r="K81" i="16"/>
  <c r="W81" i="16"/>
  <c r="T81" i="16"/>
  <c r="T104" i="16"/>
  <c r="I104" i="16"/>
  <c r="F69" i="9"/>
  <c r="U11" i="16"/>
  <c r="L11" i="16"/>
  <c r="X11" i="16"/>
  <c r="J12" i="16"/>
  <c r="V12" i="16"/>
  <c r="K68" i="16"/>
  <c r="L68" i="16"/>
  <c r="X68" i="16"/>
  <c r="U68" i="16"/>
  <c r="I93" i="16"/>
  <c r="L102" i="16"/>
  <c r="X102" i="16"/>
  <c r="K9" i="16"/>
  <c r="L9" i="16"/>
  <c r="X9" i="16"/>
  <c r="L75" i="16"/>
  <c r="X75" i="16"/>
  <c r="U75" i="16"/>
  <c r="AI76" i="8"/>
  <c r="L48" i="16"/>
  <c r="X48" i="16"/>
  <c r="U54" i="16"/>
  <c r="K50" i="16"/>
  <c r="L50" i="16"/>
  <c r="X50" i="16"/>
  <c r="U50" i="16"/>
  <c r="AD99" i="16"/>
  <c r="U99" i="16"/>
  <c r="AM99" i="16"/>
  <c r="U12" i="17"/>
  <c r="U42" i="17"/>
  <c r="P43" i="17"/>
  <c r="P45" i="17"/>
  <c r="P12" i="17"/>
  <c r="Z12" i="17"/>
  <c r="L83" i="16"/>
  <c r="X83" i="16"/>
  <c r="J99" i="16"/>
  <c r="K99" i="16"/>
  <c r="T92" i="16"/>
  <c r="L17" i="16"/>
  <c r="X17" i="16"/>
  <c r="U17" i="16"/>
  <c r="U10" i="16"/>
  <c r="T23" i="16"/>
  <c r="K23" i="16"/>
  <c r="W23" i="16"/>
  <c r="T97" i="16"/>
  <c r="T107" i="16"/>
  <c r="AE40" i="16"/>
  <c r="T29" i="16"/>
  <c r="U108" i="16"/>
  <c r="L8" i="13"/>
  <c r="T95" i="16"/>
  <c r="K18" i="16"/>
  <c r="W18" i="16"/>
  <c r="AF101" i="16"/>
  <c r="W101" i="16"/>
  <c r="AO101" i="16"/>
  <c r="U66" i="16"/>
  <c r="J14" i="16"/>
  <c r="V14" i="16"/>
  <c r="L110" i="16"/>
  <c r="X110" i="16"/>
  <c r="U110" i="16"/>
  <c r="V8" i="16"/>
  <c r="O43" i="17"/>
  <c r="O45" i="17"/>
  <c r="U80" i="16"/>
  <c r="I92" i="16"/>
  <c r="J92" i="16"/>
  <c r="V92" i="16"/>
  <c r="J59" i="16"/>
  <c r="V59" i="16"/>
  <c r="U88" i="16"/>
  <c r="K88" i="16"/>
  <c r="L88" i="16"/>
  <c r="X88" i="16"/>
  <c r="K37" i="16"/>
  <c r="L37" i="16"/>
  <c r="I107" i="16"/>
  <c r="J107" i="16"/>
  <c r="V107" i="16"/>
  <c r="J29" i="16"/>
  <c r="V29" i="16"/>
  <c r="K73" i="16"/>
  <c r="W73" i="16"/>
  <c r="U19" i="16"/>
  <c r="T41" i="16"/>
  <c r="L51" i="16"/>
  <c r="X51" i="16"/>
  <c r="U81" i="16"/>
  <c r="U16" i="16"/>
  <c r="T61" i="16"/>
  <c r="J61" i="16"/>
  <c r="K61" i="16"/>
  <c r="W61" i="16"/>
  <c r="W68" i="16"/>
  <c r="L25" i="16"/>
  <c r="X25" i="16"/>
  <c r="U31" i="16"/>
  <c r="J31" i="16"/>
  <c r="K31" i="16"/>
  <c r="L31" i="16"/>
  <c r="X31" i="16"/>
  <c r="V31" i="16"/>
  <c r="L43" i="16"/>
  <c r="X43" i="16"/>
  <c r="V34" i="16"/>
  <c r="K34" i="16"/>
  <c r="W30" i="16"/>
  <c r="L30" i="16"/>
  <c r="X30" i="16"/>
  <c r="K14" i="16"/>
  <c r="W14" i="16"/>
  <c r="T14" i="16"/>
  <c r="U33" i="16"/>
  <c r="V89" i="16"/>
  <c r="K89" i="16"/>
  <c r="AE100" i="16"/>
  <c r="U106" i="16"/>
  <c r="S42" i="11"/>
  <c r="AB42" i="11"/>
  <c r="V42" i="11"/>
  <c r="AE42" i="11"/>
  <c r="R42" i="11"/>
  <c r="AA42" i="11"/>
  <c r="X42" i="11"/>
  <c r="AG42" i="11"/>
  <c r="U42" i="11"/>
  <c r="AD42" i="11"/>
  <c r="T42" i="11"/>
  <c r="AC42" i="11"/>
  <c r="W31" i="16"/>
  <c r="L15" i="16"/>
  <c r="X15" i="16"/>
  <c r="V54" i="16"/>
  <c r="L58" i="16"/>
  <c r="X58" i="16"/>
  <c r="L42" i="16"/>
  <c r="X42" i="16"/>
  <c r="J80" i="16"/>
  <c r="V80" i="16"/>
  <c r="W94" i="16"/>
  <c r="K100" i="16"/>
  <c r="K105" i="16"/>
  <c r="L105" i="16"/>
  <c r="X105" i="16"/>
  <c r="U105" i="16"/>
  <c r="V69" i="16"/>
  <c r="L74" i="16"/>
  <c r="X74" i="16"/>
  <c r="U74" i="16"/>
  <c r="I95" i="16"/>
  <c r="T88" i="16"/>
  <c r="W88" i="16"/>
  <c r="L64" i="16"/>
  <c r="X64" i="16"/>
  <c r="K106" i="16"/>
  <c r="W106" i="16"/>
  <c r="L26" i="16"/>
  <c r="X26" i="16"/>
  <c r="K35" i="16"/>
  <c r="W35" i="16"/>
  <c r="T108" i="16"/>
  <c r="K108" i="16"/>
  <c r="W108" i="16"/>
  <c r="L44" i="16"/>
  <c r="X44" i="16"/>
  <c r="U13" i="16"/>
  <c r="W9" i="16"/>
  <c r="I24" i="16"/>
  <c r="L91" i="16"/>
  <c r="X91" i="16"/>
  <c r="U91" i="16"/>
  <c r="I46" i="16"/>
  <c r="AE101" i="16"/>
  <c r="V101" i="16"/>
  <c r="AN101" i="16"/>
  <c r="W50" i="16"/>
  <c r="K80" i="16"/>
  <c r="W80" i="16"/>
  <c r="W105" i="16"/>
  <c r="AM49" i="8"/>
  <c r="G69" i="9"/>
  <c r="L20" i="16"/>
  <c r="X20" i="16"/>
  <c r="J19" i="16"/>
  <c r="V19" i="16"/>
  <c r="T32" i="16"/>
  <c r="K32" i="16"/>
  <c r="W32" i="16"/>
  <c r="T16" i="16"/>
  <c r="T78" i="16"/>
  <c r="T82" i="16"/>
  <c r="K16" i="16"/>
  <c r="W16" i="16"/>
  <c r="J45" i="16"/>
  <c r="V45" i="16"/>
  <c r="K33" i="16"/>
  <c r="W33" i="16"/>
  <c r="I39" i="16"/>
  <c r="L53" i="16"/>
  <c r="X53" i="16"/>
  <c r="U53" i="16"/>
  <c r="V61" i="16"/>
  <c r="K82" i="16"/>
  <c r="W82" i="16"/>
  <c r="L86" i="16"/>
  <c r="X86" i="16"/>
  <c r="U86" i="16"/>
  <c r="J93" i="16"/>
  <c r="V93" i="16"/>
  <c r="L71" i="16"/>
  <c r="X71" i="16"/>
  <c r="L40" i="16"/>
  <c r="K12" i="16"/>
  <c r="W12" i="16"/>
  <c r="W78" i="16"/>
  <c r="L27" i="16"/>
  <c r="X27" i="16"/>
  <c r="AI75" i="8"/>
  <c r="L98" i="16"/>
  <c r="U24" i="16"/>
  <c r="L35" i="16"/>
  <c r="X35" i="16"/>
  <c r="AG37" i="16"/>
  <c r="AF99" i="16"/>
  <c r="W99" i="16"/>
  <c r="AO99" i="16"/>
  <c r="U104" i="16"/>
  <c r="J104" i="16"/>
  <c r="V104" i="16"/>
  <c r="K45" i="16"/>
  <c r="W45" i="16"/>
  <c r="U97" i="16"/>
  <c r="J46" i="16"/>
  <c r="K46" i="16"/>
  <c r="L46" i="16"/>
  <c r="X46" i="16"/>
  <c r="U46" i="16"/>
  <c r="L13" i="16"/>
  <c r="X13" i="16"/>
  <c r="U95" i="16"/>
  <c r="AF100" i="16"/>
  <c r="L100" i="16"/>
  <c r="X101" i="16"/>
  <c r="AP101" i="16"/>
  <c r="AG101" i="16"/>
  <c r="K93" i="16"/>
  <c r="W93" i="16"/>
  <c r="L18" i="16"/>
  <c r="X18" i="16"/>
  <c r="L14" i="16"/>
  <c r="X14" i="16"/>
  <c r="AG40" i="16"/>
  <c r="K41" i="16"/>
  <c r="L41" i="16"/>
  <c r="X41" i="16"/>
  <c r="U41" i="16"/>
  <c r="L23" i="16"/>
  <c r="X23" i="16"/>
  <c r="U23" i="16"/>
  <c r="U59" i="16"/>
  <c r="U92" i="16"/>
  <c r="U93" i="16"/>
  <c r="U96" i="16"/>
  <c r="U107" i="16"/>
  <c r="AE99" i="16"/>
  <c r="V99" i="16"/>
  <c r="AN99" i="16"/>
  <c r="L33" i="16"/>
  <c r="X33" i="16"/>
  <c r="W41" i="16"/>
  <c r="L56" i="16"/>
  <c r="X56" i="16"/>
  <c r="L80" i="16"/>
  <c r="X80" i="16"/>
  <c r="L108" i="16"/>
  <c r="X108" i="16"/>
  <c r="K29" i="16"/>
  <c r="W29" i="16"/>
  <c r="L99" i="16"/>
  <c r="L54" i="16"/>
  <c r="X54" i="16"/>
  <c r="L93" i="16"/>
  <c r="X93" i="16"/>
  <c r="V46" i="16"/>
  <c r="L32" i="16"/>
  <c r="X32" i="16"/>
  <c r="K79" i="16"/>
  <c r="K19" i="16"/>
  <c r="W19" i="16"/>
  <c r="L76" i="16"/>
  <c r="X76" i="16"/>
  <c r="V22" i="16"/>
  <c r="K22" i="16"/>
  <c r="L12" i="16"/>
  <c r="X12" i="16"/>
  <c r="L45" i="16"/>
  <c r="X45" i="16"/>
  <c r="L69" i="16"/>
  <c r="X69" i="16"/>
  <c r="L8" i="16"/>
  <c r="X8" i="16"/>
  <c r="J97" i="16"/>
  <c r="W34" i="16"/>
  <c r="L34" i="16"/>
  <c r="X34" i="16"/>
  <c r="L61" i="16"/>
  <c r="X61" i="16"/>
  <c r="K66" i="16"/>
  <c r="W66" i="16"/>
  <c r="AD39" i="16"/>
  <c r="J39" i="16"/>
  <c r="L57" i="16"/>
  <c r="X57" i="16"/>
  <c r="K107" i="16"/>
  <c r="W107" i="16"/>
  <c r="K39" i="16"/>
  <c r="W65" i="16"/>
  <c r="L65" i="16"/>
  <c r="X65" i="16"/>
  <c r="L82" i="16"/>
  <c r="X82" i="16"/>
  <c r="AG98" i="16"/>
  <c r="J24" i="16"/>
  <c r="V24" i="16"/>
  <c r="L106" i="16"/>
  <c r="X106" i="16"/>
  <c r="W89" i="16"/>
  <c r="L89" i="16"/>
  <c r="X89" i="16"/>
  <c r="L16" i="16"/>
  <c r="X16" i="16"/>
  <c r="L81" i="16"/>
  <c r="X81" i="16"/>
  <c r="L19" i="16"/>
  <c r="X19" i="16"/>
  <c r="J95" i="16"/>
  <c r="V95" i="16"/>
  <c r="L66" i="16"/>
  <c r="X66" i="16"/>
  <c r="L10" i="16"/>
  <c r="X10" i="16"/>
  <c r="K92" i="16"/>
  <c r="W92" i="16"/>
  <c r="L73" i="16"/>
  <c r="X73" i="16"/>
  <c r="L62" i="16"/>
  <c r="X62" i="16"/>
  <c r="W46" i="16"/>
  <c r="K96" i="16"/>
  <c r="W96" i="16"/>
  <c r="L103" i="16"/>
  <c r="X103" i="16"/>
  <c r="K59" i="16"/>
  <c r="W59" i="16"/>
  <c r="AF39" i="16"/>
  <c r="L96" i="16"/>
  <c r="X96" i="16"/>
  <c r="K95" i="16"/>
  <c r="L29" i="16"/>
  <c r="X29" i="16"/>
  <c r="L107" i="16"/>
  <c r="X107" i="16"/>
  <c r="AE39" i="16"/>
  <c r="K24" i="16"/>
  <c r="W24" i="16"/>
  <c r="W79" i="16"/>
  <c r="L79" i="16"/>
  <c r="X79" i="16"/>
  <c r="X99" i="16"/>
  <c r="AP99" i="16"/>
  <c r="AG99" i="16"/>
  <c r="K104" i="16"/>
  <c r="W104" i="16"/>
  <c r="L24" i="16"/>
  <c r="X24" i="16"/>
  <c r="V97" i="16"/>
  <c r="K97" i="16"/>
  <c r="W97" i="16"/>
  <c r="L59" i="16"/>
  <c r="X59" i="16"/>
  <c r="AG100" i="16"/>
  <c r="L92" i="16"/>
  <c r="X92" i="16"/>
  <c r="L104" i="16"/>
  <c r="X104" i="16"/>
  <c r="L39" i="16"/>
  <c r="W22" i="16"/>
  <c r="L22" i="16"/>
  <c r="X22" i="16"/>
  <c r="L97" i="16"/>
  <c r="X97" i="16"/>
  <c r="W95" i="16"/>
  <c r="L95" i="16"/>
  <c r="X95" i="16"/>
  <c r="AG39" i="16"/>
  <c r="V283" i="8"/>
  <c r="AE283" i="8"/>
  <c r="X283" i="8"/>
  <c r="AG283" i="8"/>
  <c r="V31" i="8"/>
  <c r="V193" i="8"/>
  <c r="S284" i="8"/>
  <c r="AB284" i="8"/>
  <c r="W193" i="8"/>
  <c r="Q193" i="8"/>
  <c r="R215" i="8"/>
  <c r="U284" i="8"/>
  <c r="AD284" i="8"/>
  <c r="R295" i="8"/>
  <c r="U18" i="8"/>
  <c r="X215" i="8"/>
  <c r="Q284" i="8"/>
  <c r="Z284" i="8"/>
  <c r="V284" i="8"/>
  <c r="AE284" i="8"/>
  <c r="V18" i="8"/>
  <c r="X284" i="8"/>
  <c r="AG284" i="8"/>
  <c r="W243" i="8"/>
  <c r="AF243" i="8"/>
  <c r="Q295" i="8"/>
  <c r="S295" i="8"/>
  <c r="V243" i="8"/>
  <c r="AE243" i="8"/>
  <c r="T284" i="8"/>
  <c r="AC284" i="8"/>
  <c r="M244" i="9"/>
  <c r="S244" i="9"/>
  <c r="O244" i="9"/>
  <c r="U244" i="9"/>
  <c r="Q244" i="9"/>
  <c r="W244" i="9"/>
  <c r="N244" i="9"/>
  <c r="T244" i="9"/>
  <c r="Q248" i="9"/>
  <c r="W248" i="9"/>
  <c r="O291" i="9"/>
  <c r="P122" i="9"/>
  <c r="V122" i="9"/>
  <c r="O287" i="9"/>
  <c r="U287" i="9"/>
  <c r="M96" i="9"/>
  <c r="P96" i="9"/>
  <c r="Q96" i="9"/>
  <c r="E8" i="5"/>
  <c r="M76" i="9"/>
  <c r="S76" i="9"/>
  <c r="N76" i="9"/>
  <c r="T76" i="9"/>
  <c r="N24" i="9"/>
  <c r="O295" i="9"/>
  <c r="N304" i="9"/>
  <c r="T304" i="9"/>
  <c r="Q104" i="9"/>
  <c r="P277" i="9"/>
  <c r="N279" i="9"/>
  <c r="N162" i="9"/>
  <c r="O311" i="9"/>
  <c r="U311" i="9"/>
  <c r="N311" i="9"/>
  <c r="T311" i="9"/>
  <c r="M297" i="9"/>
  <c r="P214" i="9"/>
  <c r="Q156" i="9"/>
  <c r="P79" i="9"/>
  <c r="M122" i="9"/>
  <c r="S122" i="9"/>
  <c r="N79" i="9"/>
  <c r="Q68" i="9"/>
  <c r="O46" i="9"/>
  <c r="U46" i="9"/>
  <c r="P117" i="9"/>
  <c r="O76" i="9"/>
  <c r="U76" i="9"/>
  <c r="N312" i="9"/>
  <c r="M305" i="9"/>
  <c r="S305" i="9"/>
  <c r="N314" i="9"/>
  <c r="N297" i="9"/>
  <c r="N150" i="9"/>
  <c r="O122" i="9"/>
  <c r="U122" i="9"/>
  <c r="Q79" i="9"/>
  <c r="P156" i="9"/>
  <c r="P224" i="9"/>
  <c r="V224" i="9"/>
  <c r="O117" i="9"/>
  <c r="Q308" i="9"/>
  <c r="P297" i="9"/>
  <c r="O292" i="9"/>
  <c r="N122" i="9"/>
  <c r="T122" i="9"/>
  <c r="O24" i="9"/>
  <c r="M24" i="9"/>
  <c r="P68" i="9"/>
  <c r="O279" i="9"/>
  <c r="M286" i="9"/>
  <c r="S286" i="9"/>
  <c r="N257" i="9"/>
  <c r="Q24" i="9"/>
  <c r="M162" i="9"/>
  <c r="O308" i="9"/>
  <c r="O194" i="9"/>
  <c r="M306" i="9"/>
  <c r="S306" i="9"/>
  <c r="P308" i="9"/>
  <c r="Q279" i="9"/>
  <c r="M104" i="9"/>
  <c r="M156" i="9"/>
  <c r="M79" i="9"/>
  <c r="Q299" i="9"/>
  <c r="N194" i="9"/>
  <c r="P76" i="9"/>
  <c r="V76" i="9"/>
  <c r="Q306" i="9"/>
  <c r="W306" i="9"/>
  <c r="P104" i="9"/>
  <c r="M311" i="9"/>
  <c r="S311" i="9"/>
  <c r="N120" i="9"/>
  <c r="V133" i="8"/>
  <c r="AE133" i="8"/>
  <c r="R235" i="8"/>
  <c r="AA235" i="8"/>
  <c r="W111" i="8"/>
  <c r="AF111" i="8"/>
  <c r="Q111" i="8"/>
  <c r="Z111" i="8"/>
  <c r="T309" i="8"/>
  <c r="W45" i="8"/>
  <c r="R133" i="8"/>
  <c r="AA133" i="8"/>
  <c r="R111" i="8"/>
  <c r="AA111" i="8"/>
  <c r="W133" i="8"/>
  <c r="AF133" i="8"/>
  <c r="U111" i="8"/>
  <c r="AD111" i="8"/>
  <c r="U33" i="8"/>
  <c r="U133" i="8"/>
  <c r="AD133" i="8"/>
  <c r="S133" i="8"/>
  <c r="AB133" i="8"/>
  <c r="R309" i="8"/>
  <c r="Q133" i="8"/>
  <c r="Z133" i="8"/>
  <c r="U100" i="8"/>
  <c r="AD100" i="8"/>
  <c r="T45" i="8"/>
  <c r="S45" i="8"/>
  <c r="U150" i="8"/>
  <c r="U303" i="8"/>
  <c r="AD303" i="8"/>
  <c r="Q243" i="8"/>
  <c r="Z243" i="8"/>
  <c r="V57" i="8"/>
  <c r="AE57" i="8"/>
  <c r="R116" i="8"/>
  <c r="AA116" i="8"/>
  <c r="U45" i="8"/>
  <c r="T31" i="8"/>
  <c r="U195" i="8"/>
  <c r="S18" i="8"/>
  <c r="V215" i="8"/>
  <c r="X150" i="8"/>
  <c r="S309" i="8"/>
  <c r="X303" i="8"/>
  <c r="AG303" i="8"/>
  <c r="T243" i="8"/>
  <c r="AC243" i="8"/>
  <c r="S57" i="8"/>
  <c r="AB57" i="8"/>
  <c r="V294" i="8"/>
  <c r="U309" i="8"/>
  <c r="S150" i="8"/>
  <c r="V116" i="8"/>
  <c r="AE116" i="8"/>
  <c r="W33" i="8"/>
  <c r="X18" i="8"/>
  <c r="Q294" i="8"/>
  <c r="W215" i="8"/>
  <c r="Q57" i="8"/>
  <c r="Z57" i="8"/>
  <c r="U243" i="8"/>
  <c r="AD243" i="8"/>
  <c r="Q303" i="8"/>
  <c r="Z303" i="8"/>
  <c r="X57" i="8"/>
  <c r="AG57" i="8"/>
  <c r="W294" i="8"/>
  <c r="V309" i="8"/>
  <c r="T150" i="8"/>
  <c r="Q45" i="8"/>
  <c r="R33" i="8"/>
  <c r="U295" i="8"/>
  <c r="R150" i="8"/>
  <c r="R193" i="8"/>
  <c r="Q118" i="8"/>
  <c r="W31" i="8"/>
  <c r="T18" i="8"/>
  <c r="T294" i="8"/>
  <c r="S215" i="8"/>
  <c r="W57" i="8"/>
  <c r="AF57" i="8"/>
  <c r="S243" i="8"/>
  <c r="AB243" i="8"/>
  <c r="X294" i="8"/>
  <c r="Q309" i="8"/>
  <c r="W150" i="8"/>
  <c r="X33" i="8"/>
  <c r="X45" i="8"/>
  <c r="V45" i="8"/>
  <c r="V295" i="8"/>
  <c r="T193" i="8"/>
  <c r="W156" i="8"/>
  <c r="W118" i="8"/>
  <c r="W18" i="8"/>
  <c r="Q31" i="8"/>
  <c r="T215" i="8"/>
  <c r="T57" i="8"/>
  <c r="AC57" i="8"/>
  <c r="W303" i="8"/>
  <c r="AF303" i="8"/>
  <c r="T303" i="8"/>
  <c r="AC303" i="8"/>
  <c r="S294" i="8"/>
  <c r="W309" i="8"/>
  <c r="V150" i="8"/>
  <c r="S75" i="8"/>
  <c r="AB75" i="8"/>
  <c r="S33" i="8"/>
  <c r="Q33" i="8"/>
  <c r="W295" i="8"/>
  <c r="U193" i="8"/>
  <c r="R18" i="8"/>
  <c r="X31" i="8"/>
  <c r="Q215" i="8"/>
  <c r="Q75" i="8"/>
  <c r="Z75" i="8"/>
  <c r="R243" i="8"/>
  <c r="AA243" i="8"/>
  <c r="R294" i="8"/>
  <c r="S303" i="8"/>
  <c r="AB303" i="8"/>
  <c r="S193" i="8"/>
  <c r="S31" i="8"/>
  <c r="X295" i="8"/>
  <c r="R31" i="8"/>
  <c r="V33" i="8"/>
  <c r="Q279" i="8"/>
  <c r="T279" i="8"/>
  <c r="V194" i="8"/>
  <c r="R188" i="8"/>
  <c r="X188" i="8"/>
  <c r="V279" i="8"/>
  <c r="W279" i="8"/>
  <c r="S157" i="8"/>
  <c r="X279" i="8"/>
  <c r="T20" i="8"/>
  <c r="R279" i="8"/>
  <c r="U188" i="8"/>
  <c r="X162" i="8"/>
  <c r="Q287" i="9"/>
  <c r="W287" i="9"/>
  <c r="O257" i="9"/>
  <c r="O65" i="9"/>
  <c r="Y237" i="9"/>
  <c r="Y287" i="9"/>
  <c r="AA219" i="9"/>
  <c r="P62" i="9"/>
  <c r="AC249" i="9"/>
  <c r="Q188" i="9"/>
  <c r="Z304" i="9"/>
  <c r="O120" i="9"/>
  <c r="P291" i="9"/>
  <c r="Y113" i="9"/>
  <c r="Q135" i="9"/>
  <c r="AB140" i="9"/>
  <c r="N299" i="9"/>
  <c r="Q291" i="9"/>
  <c r="P287" i="9"/>
  <c r="V287" i="9"/>
  <c r="P304" i="9"/>
  <c r="V304" i="9"/>
  <c r="Q257" i="9"/>
  <c r="N65" i="9"/>
  <c r="AA283" i="9"/>
  <c r="AB55" i="9"/>
  <c r="I249" i="9"/>
  <c r="O249" i="9"/>
  <c r="U249" i="9"/>
  <c r="N188" i="9"/>
  <c r="O299" i="9"/>
  <c r="M291" i="9"/>
  <c r="AB113" i="9"/>
  <c r="Z29" i="9"/>
  <c r="Q32" i="9"/>
  <c r="P46" i="9"/>
  <c r="V46" i="9"/>
  <c r="I239" i="9"/>
  <c r="N239" i="9"/>
  <c r="T239" i="9"/>
  <c r="Z48" i="9"/>
  <c r="O68" i="9"/>
  <c r="Q65" i="9"/>
  <c r="AB219" i="9"/>
  <c r="Z129" i="9"/>
  <c r="I55" i="9"/>
  <c r="O55" i="9"/>
  <c r="U55" i="9"/>
  <c r="Z249" i="9"/>
  <c r="P129" i="9"/>
  <c r="V129" i="9"/>
  <c r="Z113" i="9"/>
  <c r="Z76" i="9"/>
  <c r="AB138" i="9"/>
  <c r="Y227" i="9"/>
  <c r="Y239" i="9"/>
  <c r="N68" i="9"/>
  <c r="AA129" i="9"/>
  <c r="AB237" i="9"/>
  <c r="AC223" i="9"/>
  <c r="AB99" i="9"/>
  <c r="AB216" i="9"/>
  <c r="M129" i="9"/>
  <c r="S129" i="9"/>
  <c r="M150" i="9"/>
  <c r="AC219" i="9"/>
  <c r="I113" i="9"/>
  <c r="AC102" i="9"/>
  <c r="M115" i="9"/>
  <c r="N248" i="9"/>
  <c r="T248" i="9"/>
  <c r="M165" i="9"/>
  <c r="S165" i="9"/>
  <c r="M120" i="9"/>
  <c r="O265" i="9"/>
  <c r="Z243" i="9"/>
  <c r="Y55" i="9"/>
  <c r="I237" i="9"/>
  <c r="Z99" i="9"/>
  <c r="I216" i="9"/>
  <c r="M216" i="9"/>
  <c r="S216" i="9"/>
  <c r="Q129" i="9"/>
  <c r="W129" i="9"/>
  <c r="O150" i="9"/>
  <c r="M62" i="9"/>
  <c r="Q294" i="9"/>
  <c r="M248" i="9"/>
  <c r="S248" i="9"/>
  <c r="P120" i="9"/>
  <c r="Z287" i="9"/>
  <c r="AC243" i="9"/>
  <c r="I99" i="9"/>
  <c r="P99" i="9"/>
  <c r="V99" i="9"/>
  <c r="Y216" i="9"/>
  <c r="Q150" i="9"/>
  <c r="Y219" i="9"/>
  <c r="AC55" i="9"/>
  <c r="AB71" i="9"/>
  <c r="AB224" i="9"/>
  <c r="AC237" i="9"/>
  <c r="AB249" i="9"/>
  <c r="AA287" i="9"/>
  <c r="AC311" i="9"/>
  <c r="P248" i="9"/>
  <c r="V248" i="9"/>
  <c r="M287" i="9"/>
  <c r="S287" i="9"/>
  <c r="P257" i="9"/>
  <c r="M169" i="9"/>
  <c r="S169" i="9"/>
  <c r="AB283" i="9"/>
  <c r="Y243" i="9"/>
  <c r="Q165" i="9"/>
  <c r="W165" i="9"/>
  <c r="AA99" i="9"/>
  <c r="AC216" i="9"/>
  <c r="Y221" i="9"/>
  <c r="I141" i="9"/>
  <c r="M141" i="9"/>
  <c r="S141" i="9"/>
  <c r="AA55" i="9"/>
  <c r="O188" i="9"/>
  <c r="Z237" i="9"/>
  <c r="AB287" i="9"/>
  <c r="Q78" i="8"/>
  <c r="Z78" i="8"/>
  <c r="T78" i="8"/>
  <c r="AC78" i="8"/>
  <c r="U78" i="8"/>
  <c r="AD78" i="8"/>
  <c r="AM142" i="8"/>
  <c r="AL221" i="8"/>
  <c r="AP243" i="8"/>
  <c r="AJ301" i="8"/>
  <c r="U32" i="8"/>
  <c r="U115" i="8"/>
  <c r="Q159" i="8"/>
  <c r="S225" i="8"/>
  <c r="AB225" i="8"/>
  <c r="AK301" i="8"/>
  <c r="Q160" i="8"/>
  <c r="AN49" i="8"/>
  <c r="Q114" i="8"/>
  <c r="M227" i="8"/>
  <c r="U227" i="8"/>
  <c r="AD227" i="8"/>
  <c r="S62" i="8"/>
  <c r="AM71" i="8"/>
  <c r="AJ269" i="8"/>
  <c r="AI140" i="8"/>
  <c r="M301" i="8"/>
  <c r="AO306" i="8"/>
  <c r="AI142" i="8"/>
  <c r="AN141" i="8"/>
  <c r="Y180" i="9"/>
  <c r="AB180" i="9"/>
  <c r="W14" i="17"/>
  <c r="M32" i="17"/>
  <c r="I155" i="9"/>
  <c r="P155" i="9"/>
  <c r="V155" i="9"/>
  <c r="AB155" i="9"/>
  <c r="AK71" i="13"/>
  <c r="AP71" i="13"/>
  <c r="AN71" i="13"/>
  <c r="J204" i="9"/>
  <c r="N204" i="8"/>
  <c r="N184" i="8"/>
  <c r="N185" i="8"/>
  <c r="AL185" i="8"/>
  <c r="N73" i="8"/>
  <c r="N42" i="8"/>
  <c r="J184" i="9"/>
  <c r="Z184" i="9"/>
  <c r="J73" i="9"/>
  <c r="I73" i="9"/>
  <c r="J42" i="9"/>
  <c r="M256" i="9"/>
  <c r="S256" i="9"/>
  <c r="P256" i="9"/>
  <c r="V256" i="9"/>
  <c r="AK72" i="13"/>
  <c r="AL42" i="8"/>
  <c r="AL58" i="12"/>
  <c r="AT58" i="12"/>
  <c r="X82" i="13"/>
  <c r="AG82" i="13"/>
  <c r="BA47" i="12"/>
  <c r="AM157" i="11"/>
  <c r="S164" i="11"/>
  <c r="AB164" i="11"/>
  <c r="AP179" i="11"/>
  <c r="AC230" i="9"/>
  <c r="AA242" i="9"/>
  <c r="AC256" i="9"/>
  <c r="AL282" i="8"/>
  <c r="AN300" i="8"/>
  <c r="AK76" i="8"/>
  <c r="AK82" i="8"/>
  <c r="J191" i="9"/>
  <c r="AC191" i="9"/>
  <c r="R18" i="11"/>
  <c r="AA18" i="11"/>
  <c r="O268" i="9"/>
  <c r="U268" i="9"/>
  <c r="AZ82" i="13"/>
  <c r="AA37" i="16"/>
  <c r="O23" i="19"/>
  <c r="AX47" i="12"/>
  <c r="AI157" i="11"/>
  <c r="AO85" i="13"/>
  <c r="AI179" i="11"/>
  <c r="AP155" i="11"/>
  <c r="AJ288" i="8"/>
  <c r="AI305" i="8"/>
  <c r="AP282" i="8"/>
  <c r="AJ108" i="8"/>
  <c r="M300" i="8"/>
  <c r="AL82" i="8"/>
  <c r="N155" i="8"/>
  <c r="M155" i="8"/>
  <c r="T155" i="8"/>
  <c r="AC155" i="8"/>
  <c r="N123" i="20"/>
  <c r="Q268" i="9"/>
  <c r="W268" i="9"/>
  <c r="N286" i="9"/>
  <c r="T286" i="9"/>
  <c r="AB37" i="16"/>
  <c r="M268" i="9"/>
  <c r="S268" i="9"/>
  <c r="AW65" i="12"/>
  <c r="AV56" i="12"/>
  <c r="BB47" i="12"/>
  <c r="AM179" i="11"/>
  <c r="AN155" i="11"/>
  <c r="U140" i="10"/>
  <c r="AA264" i="9"/>
  <c r="AP76" i="8"/>
  <c r="AN108" i="8"/>
  <c r="AK300" i="8"/>
  <c r="AM224" i="8"/>
  <c r="AO82" i="8"/>
  <c r="AK305" i="8"/>
  <c r="AP82" i="8"/>
  <c r="AO76" i="8"/>
  <c r="V18" i="11"/>
  <c r="AE18" i="11"/>
  <c r="AC37" i="16"/>
  <c r="AP42" i="8"/>
  <c r="P268" i="9"/>
  <c r="V268" i="9"/>
  <c r="P286" i="9"/>
  <c r="V286" i="9"/>
  <c r="N14" i="17"/>
  <c r="N32" i="17"/>
  <c r="X14" i="17"/>
  <c r="X42" i="17"/>
  <c r="N42" i="17"/>
  <c r="N35" i="17"/>
  <c r="AB56" i="12"/>
  <c r="AH56" i="12"/>
  <c r="AP56" i="12"/>
  <c r="AP157" i="11"/>
  <c r="AK155" i="11"/>
  <c r="AB181" i="9"/>
  <c r="J185" i="10"/>
  <c r="O185" i="10"/>
  <c r="R185" i="10"/>
  <c r="AB264" i="9"/>
  <c r="Z256" i="9"/>
  <c r="M108" i="8"/>
  <c r="T108" i="8"/>
  <c r="AC108" i="8"/>
  <c r="AO300" i="8"/>
  <c r="AI82" i="8"/>
  <c r="AP108" i="8"/>
  <c r="AL305" i="8"/>
  <c r="AB298" i="9"/>
  <c r="T185" i="10"/>
  <c r="M172" i="11"/>
  <c r="AC70" i="12"/>
  <c r="AN76" i="8"/>
  <c r="W72" i="13"/>
  <c r="AF72" i="13"/>
  <c r="O216" i="9"/>
  <c r="U216" i="9"/>
  <c r="AN72" i="13"/>
  <c r="O286" i="9"/>
  <c r="U286" i="9"/>
  <c r="O160" i="10"/>
  <c r="R160" i="10"/>
  <c r="T164" i="11"/>
  <c r="AC164" i="11"/>
  <c r="AL157" i="11"/>
  <c r="AO179" i="11"/>
  <c r="AO155" i="11"/>
  <c r="Z230" i="9"/>
  <c r="Y181" i="9"/>
  <c r="Y264" i="9"/>
  <c r="AA256" i="9"/>
  <c r="AI300" i="8"/>
  <c r="AK108" i="8"/>
  <c r="AM82" i="8"/>
  <c r="M305" i="8"/>
  <c r="W305" i="8"/>
  <c r="AF305" i="8"/>
  <c r="AN288" i="8"/>
  <c r="N40" i="8"/>
  <c r="AN40" i="8"/>
  <c r="N191" i="8"/>
  <c r="K172" i="10"/>
  <c r="AJ172" i="11"/>
  <c r="AM76" i="8"/>
  <c r="AI72" i="13"/>
  <c r="O14" i="17"/>
  <c r="Y14" i="17"/>
  <c r="Y42" i="17"/>
  <c r="O42" i="17"/>
  <c r="AJ179" i="11"/>
  <c r="AB230" i="9"/>
  <c r="AC181" i="9"/>
  <c r="AC264" i="9"/>
  <c r="AM288" i="8"/>
  <c r="AB256" i="9"/>
  <c r="AO108" i="8"/>
  <c r="M82" i="8"/>
  <c r="W82" i="8"/>
  <c r="AF82" i="8"/>
  <c r="AN305" i="8"/>
  <c r="M76" i="8"/>
  <c r="AI108" i="8"/>
  <c r="M37" i="16"/>
  <c r="P32" i="17"/>
  <c r="AF37" i="16"/>
  <c r="AF38" i="16"/>
  <c r="AF112" i="16"/>
  <c r="W122" i="16"/>
  <c r="W124" i="16"/>
  <c r="AD37" i="16"/>
  <c r="AI42" i="8"/>
  <c r="Q189" i="9"/>
  <c r="G26" i="14"/>
  <c r="K26" i="14"/>
  <c r="M26" i="14"/>
  <c r="AV47" i="12"/>
  <c r="N44" i="17"/>
  <c r="W164" i="11"/>
  <c r="AF164" i="11"/>
  <c r="AK179" i="11"/>
  <c r="I230" i="9"/>
  <c r="P230" i="9"/>
  <c r="V230" i="9"/>
  <c r="AJ44" i="8"/>
  <c r="AL108" i="8"/>
  <c r="AL300" i="8"/>
  <c r="AJ305" i="8"/>
  <c r="N220" i="20"/>
  <c r="AM259" i="8"/>
  <c r="AP259" i="8"/>
  <c r="AM139" i="8"/>
  <c r="AI260" i="8"/>
  <c r="AL230" i="8"/>
  <c r="AO260" i="8"/>
  <c r="AM260" i="8"/>
  <c r="AM252" i="8"/>
  <c r="M187" i="8"/>
  <c r="S187" i="8"/>
  <c r="AB187" i="8"/>
  <c r="AI230" i="8"/>
  <c r="AO252" i="8"/>
  <c r="AJ140" i="8"/>
  <c r="AA143" i="9"/>
  <c r="AK155" i="8"/>
  <c r="S254" i="8"/>
  <c r="AB254" i="8"/>
  <c r="AP187" i="8"/>
  <c r="J233" i="9"/>
  <c r="AL260" i="8"/>
  <c r="R217" i="8"/>
  <c r="AA217" i="8"/>
  <c r="X217" i="8"/>
  <c r="AG217" i="8"/>
  <c r="T217" i="8"/>
  <c r="AC217" i="8"/>
  <c r="S217" i="8"/>
  <c r="AB217" i="8"/>
  <c r="O125" i="9"/>
  <c r="U125" i="9"/>
  <c r="Q125" i="9"/>
  <c r="W125" i="9"/>
  <c r="P125" i="9"/>
  <c r="V125" i="9"/>
  <c r="N125" i="9"/>
  <c r="T125" i="9"/>
  <c r="M125" i="9"/>
  <c r="S125" i="9"/>
  <c r="AL127" i="11"/>
  <c r="N128" i="11"/>
  <c r="AP127" i="11"/>
  <c r="AO127" i="11"/>
  <c r="AI127" i="11"/>
  <c r="AK127" i="11"/>
  <c r="M127" i="11"/>
  <c r="V127" i="11"/>
  <c r="AE127" i="11"/>
  <c r="AN127" i="11"/>
  <c r="M143" i="8"/>
  <c r="X143" i="8"/>
  <c r="AG143" i="8"/>
  <c r="AK143" i="8"/>
  <c r="Y252" i="9"/>
  <c r="AA252" i="9"/>
  <c r="I252" i="9"/>
  <c r="O252" i="9"/>
  <c r="U252" i="9"/>
  <c r="Z252" i="9"/>
  <c r="M112" i="8"/>
  <c r="T112" i="8"/>
  <c r="AC112" i="8"/>
  <c r="AO125" i="8"/>
  <c r="AI112" i="8"/>
  <c r="M35" i="8"/>
  <c r="R35" i="8"/>
  <c r="AA35" i="8"/>
  <c r="AO35" i="8"/>
  <c r="AL35" i="8"/>
  <c r="AN35" i="8"/>
  <c r="AP35" i="8"/>
  <c r="AJ35" i="8"/>
  <c r="AM35" i="8"/>
  <c r="AL136" i="8"/>
  <c r="AI136" i="8"/>
  <c r="M136" i="8"/>
  <c r="AP136" i="8"/>
  <c r="AM136" i="8"/>
  <c r="AJ136" i="8"/>
  <c r="AN136" i="8"/>
  <c r="AJ137" i="8"/>
  <c r="AM137" i="8"/>
  <c r="AP199" i="8"/>
  <c r="AK199" i="8"/>
  <c r="M199" i="8"/>
  <c r="AN199" i="8"/>
  <c r="AJ199" i="8"/>
  <c r="AL199" i="8"/>
  <c r="AM166" i="11"/>
  <c r="AI166" i="11"/>
  <c r="AP166" i="11"/>
  <c r="AK166" i="11"/>
  <c r="AY51" i="12"/>
  <c r="AV51" i="12"/>
  <c r="O29" i="14"/>
  <c r="G29" i="14"/>
  <c r="K29" i="14"/>
  <c r="M29" i="14"/>
  <c r="O26" i="19"/>
  <c r="G26" i="19"/>
  <c r="K26" i="19"/>
  <c r="M26" i="19"/>
  <c r="N34" i="9"/>
  <c r="T34" i="9"/>
  <c r="M34" i="9"/>
  <c r="S34" i="9"/>
  <c r="O34" i="9"/>
  <c r="U34" i="9"/>
  <c r="AP101" i="8"/>
  <c r="AM101" i="8"/>
  <c r="AJ101" i="8"/>
  <c r="AN101" i="8"/>
  <c r="M101" i="8"/>
  <c r="Q101" i="8"/>
  <c r="Z101" i="8"/>
  <c r="AI101" i="8"/>
  <c r="AK101" i="8"/>
  <c r="AJ219" i="8"/>
  <c r="AK219" i="8"/>
  <c r="AI219" i="8"/>
  <c r="AM219" i="8"/>
  <c r="AO219" i="8"/>
  <c r="AP219" i="8"/>
  <c r="AL219" i="8"/>
  <c r="AN219" i="8"/>
  <c r="AP238" i="8"/>
  <c r="AN238" i="8"/>
  <c r="AL238" i="8"/>
  <c r="AM238" i="8"/>
  <c r="M60" i="11"/>
  <c r="U60" i="11"/>
  <c r="AD60" i="11"/>
  <c r="AI60" i="11"/>
  <c r="AP60" i="11"/>
  <c r="AL60" i="11"/>
  <c r="AP156" i="11"/>
  <c r="AL156" i="11"/>
  <c r="N190" i="8"/>
  <c r="AJ190" i="8"/>
  <c r="I102" i="9"/>
  <c r="Q102" i="9"/>
  <c r="W102" i="9"/>
  <c r="AA102" i="9"/>
  <c r="Y102" i="9"/>
  <c r="AN158" i="11"/>
  <c r="AJ158" i="11"/>
  <c r="AM158" i="11"/>
  <c r="AI158" i="11"/>
  <c r="AO158" i="11"/>
  <c r="AP158" i="11"/>
  <c r="M158" i="11"/>
  <c r="AB13" i="12"/>
  <c r="BB13" i="12"/>
  <c r="AX13" i="12"/>
  <c r="AV61" i="12"/>
  <c r="AB61" i="12"/>
  <c r="BB61" i="12"/>
  <c r="AX61" i="12"/>
  <c r="BA61" i="12"/>
  <c r="AW61" i="12"/>
  <c r="AD38" i="16"/>
  <c r="AD112" i="16"/>
  <c r="U122" i="16"/>
  <c r="U124" i="16"/>
  <c r="AB38" i="16"/>
  <c r="AB112" i="16"/>
  <c r="S122" i="16"/>
  <c r="S124" i="16"/>
  <c r="AC38" i="16"/>
  <c r="O25" i="19"/>
  <c r="G25" i="19"/>
  <c r="K25" i="19"/>
  <c r="M25" i="19"/>
  <c r="AG38" i="16"/>
  <c r="AG112" i="16"/>
  <c r="X122" i="16"/>
  <c r="X124" i="16"/>
  <c r="AZ61" i="12"/>
  <c r="M107" i="9"/>
  <c r="S107" i="9"/>
  <c r="Q107" i="9"/>
  <c r="W107" i="9"/>
  <c r="P107" i="9"/>
  <c r="V107" i="9"/>
  <c r="O107" i="9"/>
  <c r="U107" i="9"/>
  <c r="P55" i="9"/>
  <c r="V55" i="9"/>
  <c r="M55" i="9"/>
  <c r="S55" i="9"/>
  <c r="Q55" i="9"/>
  <c r="W55" i="9"/>
  <c r="AL158" i="11"/>
  <c r="J190" i="9"/>
  <c r="AC190" i="9"/>
  <c r="AA199" i="9"/>
  <c r="I199" i="9"/>
  <c r="O199" i="9"/>
  <c r="U199" i="9"/>
  <c r="AB199" i="9"/>
  <c r="Y199" i="9"/>
  <c r="AZ31" i="11"/>
  <c r="T31" i="11"/>
  <c r="AC31" i="11"/>
  <c r="X31" i="11"/>
  <c r="AG31" i="11"/>
  <c r="U31" i="11"/>
  <c r="AD31" i="11"/>
  <c r="W172" i="11"/>
  <c r="AF172" i="11"/>
  <c r="V172" i="11"/>
  <c r="AE172" i="11"/>
  <c r="AZ172" i="11"/>
  <c r="U172" i="11"/>
  <c r="AD172" i="11"/>
  <c r="Q172" i="11"/>
  <c r="Z172" i="11"/>
  <c r="U178" i="11"/>
  <c r="AD178" i="11"/>
  <c r="R178" i="11"/>
  <c r="AA178" i="11"/>
  <c r="V178" i="11"/>
  <c r="AE178" i="11"/>
  <c r="BA52" i="12"/>
  <c r="AW52" i="12"/>
  <c r="AM83" i="13"/>
  <c r="M83" i="13"/>
  <c r="AJ83" i="13"/>
  <c r="AL83" i="13"/>
  <c r="AI83" i="13"/>
  <c r="AP83" i="13"/>
  <c r="AO83" i="13"/>
  <c r="O22" i="14"/>
  <c r="G22" i="14"/>
  <c r="K22" i="14"/>
  <c r="M22" i="14"/>
  <c r="O30" i="14"/>
  <c r="G30" i="14"/>
  <c r="K30" i="14"/>
  <c r="M30" i="14"/>
  <c r="Q229" i="8"/>
  <c r="Z229" i="8"/>
  <c r="T229" i="8"/>
  <c r="AC229" i="8"/>
  <c r="S229" i="8"/>
  <c r="AB229" i="8"/>
  <c r="X229" i="8"/>
  <c r="AG229" i="8"/>
  <c r="W229" i="8"/>
  <c r="AF229" i="8"/>
  <c r="V229" i="8"/>
  <c r="AE229" i="8"/>
  <c r="AL217" i="8"/>
  <c r="AO217" i="8"/>
  <c r="AI217" i="8"/>
  <c r="AJ217" i="8"/>
  <c r="AN217" i="8"/>
  <c r="AP217" i="8"/>
  <c r="AK217" i="8"/>
  <c r="Z267" i="9"/>
  <c r="Y267" i="9"/>
  <c r="J49" i="10"/>
  <c r="U49" i="10"/>
  <c r="T143" i="10"/>
  <c r="U143" i="10"/>
  <c r="AK46" i="11"/>
  <c r="AN46" i="11"/>
  <c r="AJ46" i="11"/>
  <c r="AI238" i="8"/>
  <c r="I220" i="9"/>
  <c r="M220" i="9"/>
  <c r="S220" i="9"/>
  <c r="AB220" i="9"/>
  <c r="AC220" i="9"/>
  <c r="I246" i="9"/>
  <c r="O246" i="9"/>
  <c r="U246" i="9"/>
  <c r="Y246" i="9"/>
  <c r="AC246" i="9"/>
  <c r="AC273" i="9"/>
  <c r="Y273" i="9"/>
  <c r="AB273" i="9"/>
  <c r="I273" i="9"/>
  <c r="O273" i="9"/>
  <c r="U273" i="9"/>
  <c r="O230" i="9"/>
  <c r="U230" i="9"/>
  <c r="AJ238" i="8"/>
  <c r="AP37" i="8"/>
  <c r="AM37" i="8"/>
  <c r="AL37" i="8"/>
  <c r="AK37" i="8"/>
  <c r="AI37" i="8"/>
  <c r="AO37" i="8"/>
  <c r="M37" i="8"/>
  <c r="T37" i="8"/>
  <c r="AC37" i="8"/>
  <c r="AP130" i="8"/>
  <c r="AO130" i="8"/>
  <c r="AJ130" i="8"/>
  <c r="AI130" i="8"/>
  <c r="M130" i="8"/>
  <c r="V130" i="8"/>
  <c r="AE130" i="8"/>
  <c r="AN130" i="8"/>
  <c r="I83" i="9"/>
  <c r="AB83" i="9"/>
  <c r="Y83" i="9"/>
  <c r="AA83" i="9"/>
  <c r="AB158" i="9"/>
  <c r="Y158" i="9"/>
  <c r="AC158" i="9"/>
  <c r="Z158" i="9"/>
  <c r="AA191" i="9"/>
  <c r="R31" i="11"/>
  <c r="AA31" i="11"/>
  <c r="AL65" i="12"/>
  <c r="AT65" i="12"/>
  <c r="AH65" i="12"/>
  <c r="AP65" i="12"/>
  <c r="AG65" i="12"/>
  <c r="AO65" i="12"/>
  <c r="AK58" i="12"/>
  <c r="AS58" i="12"/>
  <c r="AI58" i="12"/>
  <c r="AQ58" i="12"/>
  <c r="AJ58" i="12"/>
  <c r="AR58" i="12"/>
  <c r="AG58" i="12"/>
  <c r="AO58" i="12"/>
  <c r="J143" i="10"/>
  <c r="N143" i="10"/>
  <c r="Q143" i="10"/>
  <c r="M238" i="8"/>
  <c r="N48" i="8"/>
  <c r="M48" i="8"/>
  <c r="X48" i="8"/>
  <c r="AG48" i="8"/>
  <c r="AI131" i="8"/>
  <c r="AJ131" i="8"/>
  <c r="AN131" i="8"/>
  <c r="AP131" i="8"/>
  <c r="AL131" i="8"/>
  <c r="AO131" i="8"/>
  <c r="AO247" i="8"/>
  <c r="AN247" i="8"/>
  <c r="AK247" i="8"/>
  <c r="M247" i="8"/>
  <c r="T247" i="8"/>
  <c r="AC247" i="8"/>
  <c r="AL247" i="8"/>
  <c r="AP247" i="8"/>
  <c r="AI247" i="8"/>
  <c r="AK263" i="8"/>
  <c r="AI263" i="8"/>
  <c r="AN275" i="8"/>
  <c r="AP275" i="8"/>
  <c r="AJ275" i="8"/>
  <c r="M275" i="8"/>
  <c r="S275" i="8"/>
  <c r="AB275" i="8"/>
  <c r="AK275" i="8"/>
  <c r="AO275" i="8"/>
  <c r="AM275" i="8"/>
  <c r="AI275" i="8"/>
  <c r="AL275" i="8"/>
  <c r="AM280" i="8"/>
  <c r="AP280" i="8"/>
  <c r="AJ280" i="8"/>
  <c r="M280" i="8"/>
  <c r="M286" i="8"/>
  <c r="S286" i="8"/>
  <c r="AB286" i="8"/>
  <c r="AM286" i="8"/>
  <c r="AL286" i="8"/>
  <c r="AN286" i="8"/>
  <c r="AB50" i="9"/>
  <c r="I50" i="9"/>
  <c r="M50" i="9"/>
  <c r="S50" i="9"/>
  <c r="AC50" i="9"/>
  <c r="Y50" i="9"/>
  <c r="AB57" i="9"/>
  <c r="Y57" i="9"/>
  <c r="O136" i="9"/>
  <c r="U136" i="9"/>
  <c r="P136" i="9"/>
  <c r="V136" i="9"/>
  <c r="O148" i="10"/>
  <c r="R148" i="10"/>
  <c r="N148" i="10"/>
  <c r="Q148" i="10"/>
  <c r="J152" i="10"/>
  <c r="N152" i="10"/>
  <c r="Q152" i="10"/>
  <c r="T152" i="10"/>
  <c r="AO65" i="13"/>
  <c r="AN65" i="13"/>
  <c r="M65" i="13"/>
  <c r="AJ65" i="13"/>
  <c r="AI65" i="13"/>
  <c r="AP65" i="13"/>
  <c r="AK65" i="13"/>
  <c r="AM65" i="13"/>
  <c r="P98" i="9"/>
  <c r="V98" i="9"/>
  <c r="Q98" i="9"/>
  <c r="W98" i="9"/>
  <c r="I108" i="9"/>
  <c r="M108" i="9"/>
  <c r="S108" i="9"/>
  <c r="Z108" i="9"/>
  <c r="AA108" i="9"/>
  <c r="Q34" i="9"/>
  <c r="W34" i="9"/>
  <c r="AK54" i="12"/>
  <c r="AS54" i="12"/>
  <c r="AG54" i="12"/>
  <c r="AO54" i="12"/>
  <c r="Z246" i="9"/>
  <c r="P227" i="9"/>
  <c r="V227" i="9"/>
  <c r="M227" i="9"/>
  <c r="S227" i="9"/>
  <c r="Q227" i="9"/>
  <c r="W227" i="9"/>
  <c r="O227" i="9"/>
  <c r="U227" i="9"/>
  <c r="N227" i="9"/>
  <c r="T227" i="9"/>
  <c r="AW13" i="12"/>
  <c r="R110" i="8"/>
  <c r="AA110" i="8"/>
  <c r="X110" i="8"/>
  <c r="AG110" i="8"/>
  <c r="AL124" i="8"/>
  <c r="AK124" i="8"/>
  <c r="AN124" i="8"/>
  <c r="AP124" i="8"/>
  <c r="AJ124" i="8"/>
  <c r="M124" i="8"/>
  <c r="AM124" i="8"/>
  <c r="AP248" i="8"/>
  <c r="M248" i="8"/>
  <c r="S248" i="8"/>
  <c r="AB248" i="8"/>
  <c r="AN248" i="8"/>
  <c r="AK248" i="8"/>
  <c r="AJ248" i="8"/>
  <c r="AM248" i="8"/>
  <c r="AP256" i="8"/>
  <c r="AM256" i="8"/>
  <c r="AI256" i="8"/>
  <c r="AK256" i="8"/>
  <c r="AJ256" i="8"/>
  <c r="AL264" i="8"/>
  <c r="M264" i="8"/>
  <c r="U264" i="8"/>
  <c r="AD264" i="8"/>
  <c r="AI264" i="8"/>
  <c r="AP287" i="8"/>
  <c r="AN287" i="8"/>
  <c r="AJ287" i="8"/>
  <c r="AB130" i="9"/>
  <c r="AC130" i="9"/>
  <c r="AA130" i="9"/>
  <c r="Y130" i="9"/>
  <c r="I130" i="9"/>
  <c r="Z130" i="9"/>
  <c r="U148" i="10"/>
  <c r="T148" i="10"/>
  <c r="AB28" i="12"/>
  <c r="AY28" i="12"/>
  <c r="AX28" i="12"/>
  <c r="BA28" i="12"/>
  <c r="AW28" i="12"/>
  <c r="AZ28" i="12"/>
  <c r="AV28" i="12"/>
  <c r="AF31" i="12"/>
  <c r="AN31" i="12"/>
  <c r="AK31" i="12"/>
  <c r="AS31" i="12"/>
  <c r="AJ31" i="12"/>
  <c r="AR31" i="12"/>
  <c r="AI31" i="12"/>
  <c r="AQ31" i="12"/>
  <c r="AH31" i="12"/>
  <c r="AP31" i="12"/>
  <c r="AO71" i="13"/>
  <c r="M71" i="13"/>
  <c r="AI71" i="13"/>
  <c r="AL71" i="13"/>
  <c r="P34" i="9"/>
  <c r="V34" i="9"/>
  <c r="U229" i="8"/>
  <c r="AD229" i="8"/>
  <c r="O43" i="19"/>
  <c r="AK158" i="11"/>
  <c r="AI143" i="8"/>
  <c r="AJ143" i="8"/>
  <c r="AL112" i="8"/>
  <c r="AN112" i="8"/>
  <c r="AJ112" i="8"/>
  <c r="AP112" i="8"/>
  <c r="AO112" i="8"/>
  <c r="M125" i="8"/>
  <c r="W125" i="8"/>
  <c r="AF125" i="8"/>
  <c r="AI125" i="8"/>
  <c r="AL125" i="8"/>
  <c r="AP125" i="8"/>
  <c r="AN125" i="8"/>
  <c r="AJ125" i="8"/>
  <c r="AM217" i="8"/>
  <c r="M219" i="8"/>
  <c r="M220" i="8"/>
  <c r="Q220" i="8"/>
  <c r="Z220" i="8"/>
  <c r="AP220" i="8"/>
  <c r="AB131" i="9"/>
  <c r="Z131" i="9"/>
  <c r="Y131" i="9"/>
  <c r="AC131" i="9"/>
  <c r="T48" i="10"/>
  <c r="J48" i="10"/>
  <c r="N48" i="10"/>
  <c r="Q48" i="10"/>
  <c r="AB29" i="12"/>
  <c r="AL29" i="12"/>
  <c r="AT29" i="12"/>
  <c r="AW29" i="12"/>
  <c r="BA29" i="12"/>
  <c r="AX29" i="12"/>
  <c r="BA65" i="12"/>
  <c r="AX65" i="12"/>
  <c r="AK132" i="8"/>
  <c r="Y132" i="9"/>
  <c r="AK164" i="11"/>
  <c r="AW31" i="12"/>
  <c r="AN224" i="8"/>
  <c r="AC132" i="9"/>
  <c r="AM164" i="11"/>
  <c r="AK178" i="11"/>
  <c r="AZ31" i="12"/>
  <c r="AL224" i="8"/>
  <c r="J146" i="10"/>
  <c r="O146" i="10"/>
  <c r="R146" i="10"/>
  <c r="X164" i="11"/>
  <c r="AG164" i="11"/>
  <c r="AN164" i="11"/>
  <c r="AY26" i="12"/>
  <c r="AI110" i="8"/>
  <c r="AI246" i="8"/>
  <c r="T146" i="10"/>
  <c r="Q164" i="11"/>
  <c r="Z164" i="11"/>
  <c r="AJ76" i="13"/>
  <c r="N127" i="20"/>
  <c r="U164" i="11"/>
  <c r="AD164" i="11"/>
  <c r="AO16" i="13"/>
  <c r="AB44" i="9"/>
  <c r="M69" i="8"/>
  <c r="X69" i="8"/>
  <c r="AG69" i="8"/>
  <c r="AI69" i="8"/>
  <c r="AP107" i="8"/>
  <c r="AI107" i="8"/>
  <c r="AM107" i="8"/>
  <c r="AN107" i="8"/>
  <c r="AO107" i="8"/>
  <c r="AJ107" i="8"/>
  <c r="AK107" i="8"/>
  <c r="M180" i="8"/>
  <c r="Q180" i="8"/>
  <c r="Z180" i="8"/>
  <c r="AN180" i="8"/>
  <c r="AP180" i="8"/>
  <c r="AN197" i="8"/>
  <c r="AM197" i="8"/>
  <c r="AL197" i="8"/>
  <c r="M197" i="8"/>
  <c r="AI197" i="8"/>
  <c r="AP216" i="8"/>
  <c r="M216" i="8"/>
  <c r="W216" i="8"/>
  <c r="AF216" i="8"/>
  <c r="AI216" i="8"/>
  <c r="AM216" i="8"/>
  <c r="AL216" i="8"/>
  <c r="Z112" i="9"/>
  <c r="AB112" i="9"/>
  <c r="AA112" i="9"/>
  <c r="Y112" i="9"/>
  <c r="AC187" i="9"/>
  <c r="Z187" i="9"/>
  <c r="Y187" i="9"/>
  <c r="O153" i="10"/>
  <c r="R153" i="10"/>
  <c r="N153" i="10"/>
  <c r="Q153" i="10"/>
  <c r="AI163" i="11"/>
  <c r="M163" i="11"/>
  <c r="AN163" i="11"/>
  <c r="AJ163" i="11"/>
  <c r="AM163" i="11"/>
  <c r="AL163" i="11"/>
  <c r="AK163" i="11"/>
  <c r="AP163" i="11"/>
  <c r="U132" i="8"/>
  <c r="AD132" i="8"/>
  <c r="X132" i="8"/>
  <c r="AG132" i="8"/>
  <c r="M49" i="9"/>
  <c r="S49" i="9"/>
  <c r="P49" i="9"/>
  <c r="V49" i="9"/>
  <c r="O49" i="9"/>
  <c r="U49" i="9"/>
  <c r="Q49" i="9"/>
  <c r="W49" i="9"/>
  <c r="AC133" i="9"/>
  <c r="I133" i="9"/>
  <c r="Z133" i="9"/>
  <c r="AA133" i="9"/>
  <c r="AJ31" i="13"/>
  <c r="AL43" i="11"/>
  <c r="Q224" i="9"/>
  <c r="W224" i="9"/>
  <c r="AJ16" i="13"/>
  <c r="AP16" i="13"/>
  <c r="Q132" i="8"/>
  <c r="Z132" i="8"/>
  <c r="M238" i="9"/>
  <c r="S238" i="9"/>
  <c r="Z36" i="9"/>
  <c r="AC36" i="9"/>
  <c r="Y100" i="9"/>
  <c r="AB100" i="9"/>
  <c r="AA139" i="9"/>
  <c r="Y139" i="9"/>
  <c r="AB139" i="9"/>
  <c r="AC282" i="9"/>
  <c r="I282" i="9"/>
  <c r="Q282" i="9"/>
  <c r="W282" i="9"/>
  <c r="AA282" i="9"/>
  <c r="U161" i="11"/>
  <c r="AD161" i="11"/>
  <c r="Q161" i="11"/>
  <c r="Z161" i="11"/>
  <c r="X161" i="11"/>
  <c r="AG161" i="11"/>
  <c r="T161" i="11"/>
  <c r="AC161" i="11"/>
  <c r="AZ161" i="11"/>
  <c r="R161" i="11"/>
  <c r="AA161" i="11"/>
  <c r="AX63" i="12"/>
  <c r="AY63" i="12"/>
  <c r="AV63" i="12"/>
  <c r="AB63" i="12"/>
  <c r="AK85" i="13"/>
  <c r="AJ85" i="13"/>
  <c r="AP85" i="13"/>
  <c r="M85" i="13"/>
  <c r="O25" i="14"/>
  <c r="G25" i="14"/>
  <c r="K25" i="14"/>
  <c r="M25" i="14"/>
  <c r="O34" i="14"/>
  <c r="G34" i="14"/>
  <c r="K34" i="14"/>
  <c r="M34" i="14"/>
  <c r="G27" i="19"/>
  <c r="K27" i="19"/>
  <c r="M27" i="19"/>
  <c r="O27" i="19"/>
  <c r="G45" i="19"/>
  <c r="K45" i="19"/>
  <c r="M45" i="19"/>
  <c r="O45" i="19"/>
  <c r="AC14" i="12"/>
  <c r="AB14" i="12"/>
  <c r="K28" i="10"/>
  <c r="AM36" i="8"/>
  <c r="AK36" i="8"/>
  <c r="AJ36" i="8"/>
  <c r="AI77" i="8"/>
  <c r="AL77" i="8"/>
  <c r="AK77" i="8"/>
  <c r="AJ158" i="8"/>
  <c r="AK158" i="8"/>
  <c r="AJ181" i="8"/>
  <c r="AO181" i="8"/>
  <c r="AI181" i="8"/>
  <c r="AM181" i="8"/>
  <c r="AP181" i="8"/>
  <c r="AK181" i="8"/>
  <c r="M181" i="8"/>
  <c r="R181" i="8"/>
  <c r="AA181" i="8"/>
  <c r="Y35" i="9"/>
  <c r="AC35" i="9"/>
  <c r="AA35" i="9"/>
  <c r="I35" i="9"/>
  <c r="Z35" i="9"/>
  <c r="AB35" i="9"/>
  <c r="Y110" i="9"/>
  <c r="I110" i="9"/>
  <c r="AA110" i="9"/>
  <c r="AC302" i="9"/>
  <c r="Y302" i="9"/>
  <c r="M31" i="13"/>
  <c r="T31" i="13"/>
  <c r="AC31" i="13"/>
  <c r="AP43" i="11"/>
  <c r="N224" i="9"/>
  <c r="T224" i="9"/>
  <c r="AM16" i="13"/>
  <c r="P238" i="9"/>
  <c r="V238" i="9"/>
  <c r="X71" i="13"/>
  <c r="AG71" i="13"/>
  <c r="T71" i="13"/>
  <c r="AC71" i="13"/>
  <c r="AB110" i="9"/>
  <c r="AL181" i="8"/>
  <c r="AO116" i="8"/>
  <c r="AP116" i="8"/>
  <c r="AI116" i="8"/>
  <c r="AL116" i="8"/>
  <c r="AJ116" i="8"/>
  <c r="AM302" i="8"/>
  <c r="M302" i="8"/>
  <c r="S302" i="8"/>
  <c r="AB302" i="8"/>
  <c r="AJ302" i="8"/>
  <c r="AL302" i="8"/>
  <c r="AO302" i="8"/>
  <c r="AP302" i="8"/>
  <c r="AN302" i="8"/>
  <c r="AK302" i="8"/>
  <c r="T156" i="10"/>
  <c r="J156" i="10"/>
  <c r="O156" i="10"/>
  <c r="R156" i="10"/>
  <c r="T161" i="10"/>
  <c r="U161" i="10"/>
  <c r="AP154" i="11"/>
  <c r="AN154" i="11"/>
  <c r="AJ154" i="11"/>
  <c r="AM154" i="11"/>
  <c r="AI154" i="11"/>
  <c r="AL154" i="11"/>
  <c r="N70" i="13"/>
  <c r="AO70" i="13"/>
  <c r="AX56" i="12"/>
  <c r="BA56" i="12"/>
  <c r="AY56" i="12"/>
  <c r="AZ56" i="12"/>
  <c r="AW56" i="12"/>
  <c r="AY60" i="12"/>
  <c r="AB60" i="12"/>
  <c r="AJ60" i="12"/>
  <c r="AR60" i="12"/>
  <c r="AX60" i="12"/>
  <c r="AN29" i="13"/>
  <c r="AJ29" i="13"/>
  <c r="AM29" i="13"/>
  <c r="AI29" i="13"/>
  <c r="AL29" i="13"/>
  <c r="AP29" i="13"/>
  <c r="AK73" i="13"/>
  <c r="AO73" i="13"/>
  <c r="M73" i="13"/>
  <c r="AI73" i="13"/>
  <c r="AN73" i="13"/>
  <c r="AP74" i="13"/>
  <c r="AO74" i="13"/>
  <c r="X76" i="13"/>
  <c r="AG76" i="13"/>
  <c r="T76" i="13"/>
  <c r="AC76" i="13"/>
  <c r="V76" i="13"/>
  <c r="AE76" i="13"/>
  <c r="W76" i="13"/>
  <c r="AF76" i="13"/>
  <c r="AZ37" i="16"/>
  <c r="Q37" i="16"/>
  <c r="AI37" i="16"/>
  <c r="R37" i="16"/>
  <c r="AJ37" i="16"/>
  <c r="M39" i="16"/>
  <c r="AA39" i="16"/>
  <c r="O46" i="19"/>
  <c r="G46" i="19"/>
  <c r="K46" i="19"/>
  <c r="M46" i="19"/>
  <c r="J178" i="9"/>
  <c r="N178" i="8"/>
  <c r="AO178" i="8"/>
  <c r="AN31" i="13"/>
  <c r="N238" i="9"/>
  <c r="T238" i="9"/>
  <c r="AN16" i="13"/>
  <c r="Q238" i="9"/>
  <c r="W238" i="9"/>
  <c r="AN181" i="8"/>
  <c r="AL107" i="8"/>
  <c r="AB70" i="9"/>
  <c r="Y70" i="9"/>
  <c r="I124" i="9"/>
  <c r="AC124" i="9"/>
  <c r="Y124" i="9"/>
  <c r="Z124" i="9"/>
  <c r="I232" i="9"/>
  <c r="Y232" i="9"/>
  <c r="AB232" i="9"/>
  <c r="AA250" i="9"/>
  <c r="AC250" i="9"/>
  <c r="Y250" i="9"/>
  <c r="I250" i="9"/>
  <c r="AB250" i="9"/>
  <c r="Z250" i="9"/>
  <c r="AA258" i="9"/>
  <c r="I258" i="9"/>
  <c r="AC258" i="9"/>
  <c r="AB258" i="9"/>
  <c r="Y258" i="9"/>
  <c r="Z258" i="9"/>
  <c r="AA266" i="9"/>
  <c r="AB266" i="9"/>
  <c r="I271" i="9"/>
  <c r="Q271" i="9"/>
  <c r="W271" i="9"/>
  <c r="AA271" i="9"/>
  <c r="AC271" i="9"/>
  <c r="Y271" i="9"/>
  <c r="AB271" i="9"/>
  <c r="T147" i="10"/>
  <c r="U147" i="10"/>
  <c r="J147" i="10"/>
  <c r="N147" i="10"/>
  <c r="Q147" i="10"/>
  <c r="W65" i="13"/>
  <c r="AF65" i="13"/>
  <c r="U65" i="13"/>
  <c r="AD65" i="13"/>
  <c r="R65" i="13"/>
  <c r="AA65" i="13"/>
  <c r="AZ65" i="13"/>
  <c r="Q65" i="13"/>
  <c r="Z65" i="13"/>
  <c r="V65" i="13"/>
  <c r="AE65" i="13"/>
  <c r="T65" i="13"/>
  <c r="AC65" i="13"/>
  <c r="AI16" i="13"/>
  <c r="M36" i="8"/>
  <c r="X36" i="8"/>
  <c r="AG36" i="8"/>
  <c r="M107" i="8"/>
  <c r="X107" i="8"/>
  <c r="AG107" i="8"/>
  <c r="X113" i="8"/>
  <c r="AG113" i="8"/>
  <c r="U113" i="8"/>
  <c r="AD113" i="8"/>
  <c r="AL109" i="8"/>
  <c r="M109" i="8"/>
  <c r="Q109" i="8"/>
  <c r="Z109" i="8"/>
  <c r="AI109" i="8"/>
  <c r="AM109" i="8"/>
  <c r="AP109" i="8"/>
  <c r="AN240" i="8"/>
  <c r="AI240" i="8"/>
  <c r="AL240" i="8"/>
  <c r="AM240" i="8"/>
  <c r="AP240" i="8"/>
  <c r="AO240" i="8"/>
  <c r="AJ271" i="8"/>
  <c r="AK271" i="8"/>
  <c r="AO271" i="8"/>
  <c r="M271" i="8"/>
  <c r="Q271" i="8"/>
  <c r="Z271" i="8"/>
  <c r="AO282" i="8"/>
  <c r="AJ282" i="8"/>
  <c r="AM282" i="8"/>
  <c r="AI282" i="8"/>
  <c r="M282" i="8"/>
  <c r="S282" i="8"/>
  <c r="AB282" i="8"/>
  <c r="AN282" i="8"/>
  <c r="AI287" i="8"/>
  <c r="AO287" i="8"/>
  <c r="AL287" i="8"/>
  <c r="M287" i="8"/>
  <c r="Q287" i="8"/>
  <c r="Z287" i="8"/>
  <c r="AK287" i="8"/>
  <c r="AM287" i="8"/>
  <c r="Z51" i="9"/>
  <c r="Y51" i="9"/>
  <c r="AA51" i="9"/>
  <c r="I51" i="9"/>
  <c r="AB51" i="9"/>
  <c r="AC51" i="9"/>
  <c r="N78" i="9"/>
  <c r="T78" i="9"/>
  <c r="P78" i="9"/>
  <c r="V78" i="9"/>
  <c r="AC125" i="9"/>
  <c r="AB125" i="9"/>
  <c r="AA125" i="9"/>
  <c r="AA225" i="9"/>
  <c r="Z225" i="9"/>
  <c r="Y225" i="9"/>
  <c r="AC225" i="9"/>
  <c r="AB225" i="9"/>
  <c r="I225" i="9"/>
  <c r="AB235" i="9"/>
  <c r="AA235" i="9"/>
  <c r="Y235" i="9"/>
  <c r="I245" i="9"/>
  <c r="Q245" i="9"/>
  <c r="W245" i="9"/>
  <c r="AA245" i="9"/>
  <c r="AB245" i="9"/>
  <c r="AB267" i="9"/>
  <c r="AC267" i="9"/>
  <c r="AA267" i="9"/>
  <c r="I267" i="9"/>
  <c r="N267" i="9"/>
  <c r="T267" i="9"/>
  <c r="AB34" i="12"/>
  <c r="AH34" i="12"/>
  <c r="AP34" i="12"/>
  <c r="AV34" i="12"/>
  <c r="AW34" i="12"/>
  <c r="BA34" i="12"/>
  <c r="AX34" i="12"/>
  <c r="AO169" i="11"/>
  <c r="AK169" i="11"/>
  <c r="AI169" i="11"/>
  <c r="AJ169" i="11"/>
  <c r="AL169" i="11"/>
  <c r="M169" i="11"/>
  <c r="R169" i="11"/>
  <c r="AA169" i="11"/>
  <c r="AP169" i="11"/>
  <c r="AM169" i="11"/>
  <c r="AN169" i="11"/>
  <c r="AL31" i="13"/>
  <c r="X127" i="11"/>
  <c r="AG127" i="11"/>
  <c r="AI31" i="13"/>
  <c r="M16" i="13"/>
  <c r="V16" i="13"/>
  <c r="AE16" i="13"/>
  <c r="O224" i="9"/>
  <c r="U224" i="9"/>
  <c r="V132" i="8"/>
  <c r="AE132" i="8"/>
  <c r="T99" i="16"/>
  <c r="AL99" i="16"/>
  <c r="R99" i="16"/>
  <c r="AJ99" i="16"/>
  <c r="AJ216" i="8"/>
  <c r="AN190" i="8"/>
  <c r="AK216" i="8"/>
  <c r="AK109" i="8"/>
  <c r="N233" i="8"/>
  <c r="AP233" i="8"/>
  <c r="AP226" i="8"/>
  <c r="AK231" i="8"/>
  <c r="AO231" i="8"/>
  <c r="AL231" i="8"/>
  <c r="AI231" i="8"/>
  <c r="AN231" i="8"/>
  <c r="AM231" i="8"/>
  <c r="AP231" i="8"/>
  <c r="AJ231" i="8"/>
  <c r="M231" i="8"/>
  <c r="V231" i="8"/>
  <c r="AE231" i="8"/>
  <c r="AN241" i="8"/>
  <c r="AL241" i="8"/>
  <c r="AJ241" i="8"/>
  <c r="AO241" i="8"/>
  <c r="M241" i="8"/>
  <c r="X241" i="8"/>
  <c r="AG241" i="8"/>
  <c r="AK241" i="8"/>
  <c r="AP241" i="8"/>
  <c r="M245" i="8"/>
  <c r="S245" i="8"/>
  <c r="AB245" i="8"/>
  <c r="AN245" i="8"/>
  <c r="I52" i="9"/>
  <c r="Z52" i="9"/>
  <c r="AC52" i="9"/>
  <c r="Y52" i="9"/>
  <c r="AA116" i="9"/>
  <c r="Y116" i="9"/>
  <c r="J134" i="10"/>
  <c r="O134" i="10"/>
  <c r="R134" i="10"/>
  <c r="U134" i="10"/>
  <c r="T134" i="10"/>
  <c r="AM167" i="11"/>
  <c r="AO167" i="11"/>
  <c r="AK167" i="11"/>
  <c r="M167" i="11"/>
  <c r="AN167" i="11"/>
  <c r="AV52" i="12"/>
  <c r="AY52" i="12"/>
  <c r="AZ52" i="12"/>
  <c r="AO27" i="13"/>
  <c r="AL27" i="13"/>
  <c r="AM27" i="13"/>
  <c r="AP27" i="13"/>
  <c r="AI27" i="13"/>
  <c r="M27" i="13"/>
  <c r="AI83" i="8"/>
  <c r="M83" i="8"/>
  <c r="Q83" i="8"/>
  <c r="Z83" i="8"/>
  <c r="AK83" i="8"/>
  <c r="AP83" i="8"/>
  <c r="AO83" i="8"/>
  <c r="AJ83" i="8"/>
  <c r="AL83" i="8"/>
  <c r="AC281" i="9"/>
  <c r="I281" i="9"/>
  <c r="Q281" i="9"/>
  <c r="W281" i="9"/>
  <c r="Z281" i="9"/>
  <c r="Y281" i="9"/>
  <c r="AM173" i="11"/>
  <c r="AI173" i="11"/>
  <c r="AI43" i="11"/>
  <c r="M224" i="9"/>
  <c r="S224" i="9"/>
  <c r="AL190" i="8"/>
  <c r="AA44" i="9"/>
  <c r="AN216" i="8"/>
  <c r="AM83" i="8"/>
  <c r="AK102" i="8"/>
  <c r="AP102" i="8"/>
  <c r="AM102" i="8"/>
  <c r="AJ102" i="8"/>
  <c r="AL102" i="8"/>
  <c r="M102" i="8"/>
  <c r="U102" i="8"/>
  <c r="AD102" i="8"/>
  <c r="AN102" i="8"/>
  <c r="AJ197" i="8"/>
  <c r="AI232" i="8"/>
  <c r="AN232" i="8"/>
  <c r="AJ232" i="8"/>
  <c r="AL232" i="8"/>
  <c r="AM232" i="8"/>
  <c r="M232" i="8"/>
  <c r="X232" i="8"/>
  <c r="AG232" i="8"/>
  <c r="AB111" i="9"/>
  <c r="I111" i="9"/>
  <c r="N111" i="9"/>
  <c r="T111" i="9"/>
  <c r="AB186" i="9"/>
  <c r="Z186" i="9"/>
  <c r="I186" i="9"/>
  <c r="P186" i="9"/>
  <c r="V186" i="9"/>
  <c r="Y186" i="9"/>
  <c r="Z204" i="9"/>
  <c r="AA204" i="9"/>
  <c r="AB221" i="9"/>
  <c r="I221" i="9"/>
  <c r="AA221" i="9"/>
  <c r="AC221" i="9"/>
  <c r="T135" i="10"/>
  <c r="J135" i="10"/>
  <c r="N135" i="10"/>
  <c r="Q135" i="10"/>
  <c r="AL162" i="11"/>
  <c r="AK162" i="11"/>
  <c r="M162" i="11"/>
  <c r="AN162" i="11"/>
  <c r="AJ162" i="11"/>
  <c r="AM162" i="11"/>
  <c r="AO162" i="11"/>
  <c r="AP162" i="11"/>
  <c r="AM69" i="8"/>
  <c r="AL65" i="13"/>
  <c r="AJ69" i="8"/>
  <c r="AA50" i="9"/>
  <c r="I131" i="9"/>
  <c r="Q131" i="9"/>
  <c r="W131" i="9"/>
  <c r="J145" i="10"/>
  <c r="O145" i="10"/>
  <c r="R145" i="10"/>
  <c r="AO69" i="8"/>
  <c r="AK69" i="8"/>
  <c r="AC82" i="9"/>
  <c r="AB122" i="9"/>
  <c r="Y129" i="9"/>
  <c r="I280" i="9"/>
  <c r="O280" i="9"/>
  <c r="U280" i="9"/>
  <c r="J140" i="10"/>
  <c r="N140" i="10"/>
  <c r="Q140" i="10"/>
  <c r="V31" i="11"/>
  <c r="AE31" i="11"/>
  <c r="BB28" i="12"/>
  <c r="AM113" i="8"/>
  <c r="Z105" i="9"/>
  <c r="AB129" i="9"/>
  <c r="V164" i="11"/>
  <c r="AE164" i="11"/>
  <c r="AN59" i="13"/>
  <c r="AJ59" i="13"/>
  <c r="AM59" i="13"/>
  <c r="AK59" i="13"/>
  <c r="AP59" i="13"/>
  <c r="AL59" i="13"/>
  <c r="AC112" i="16"/>
  <c r="T122" i="16"/>
  <c r="T124" i="16"/>
  <c r="S101" i="16"/>
  <c r="AK101" i="16"/>
  <c r="R101" i="16"/>
  <c r="AJ101" i="16"/>
  <c r="T101" i="16"/>
  <c r="AL101" i="16"/>
  <c r="Q101" i="16"/>
  <c r="AI101" i="16"/>
  <c r="M247" i="9"/>
  <c r="S247" i="9"/>
  <c r="Q247" i="9"/>
  <c r="W247" i="9"/>
  <c r="J293" i="9"/>
  <c r="AA293" i="9"/>
  <c r="J209" i="9"/>
  <c r="J63" i="9"/>
  <c r="Z63" i="9"/>
  <c r="N209" i="8"/>
  <c r="N63" i="8"/>
  <c r="AN63" i="8"/>
  <c r="J174" i="9"/>
  <c r="J26" i="9"/>
  <c r="Y26" i="9"/>
  <c r="N293" i="8"/>
  <c r="N174" i="8"/>
  <c r="N26" i="8"/>
  <c r="J176" i="9"/>
  <c r="AB176" i="9"/>
  <c r="N146" i="8"/>
  <c r="J86" i="9"/>
  <c r="AC86" i="9"/>
  <c r="N86" i="8"/>
  <c r="AK86" i="8"/>
  <c r="N176" i="8"/>
  <c r="J146" i="9"/>
  <c r="AM46" i="11"/>
  <c r="AP46" i="11"/>
  <c r="AO46" i="11"/>
  <c r="M46" i="11"/>
  <c r="AI46" i="11"/>
  <c r="M177" i="11"/>
  <c r="AO177" i="11"/>
  <c r="AN177" i="11"/>
  <c r="AM177" i="11"/>
  <c r="AK177" i="11"/>
  <c r="N81" i="13"/>
  <c r="AI81" i="13"/>
  <c r="AJ177" i="11"/>
  <c r="AI177" i="11"/>
  <c r="AL177" i="11"/>
  <c r="AM31" i="13"/>
  <c r="T72" i="13"/>
  <c r="AC72" i="13"/>
  <c r="AN74" i="13"/>
  <c r="AM74" i="13"/>
  <c r="AK74" i="13"/>
  <c r="AJ74" i="13"/>
  <c r="AI74" i="13"/>
  <c r="M74" i="13"/>
  <c r="U74" i="13"/>
  <c r="AD74" i="13"/>
  <c r="AL74" i="13"/>
  <c r="S76" i="13"/>
  <c r="AB76" i="13"/>
  <c r="AZ76" i="13"/>
  <c r="U76" i="13"/>
  <c r="AD76" i="13"/>
  <c r="Q76" i="13"/>
  <c r="Z76" i="13"/>
  <c r="AK78" i="13"/>
  <c r="AL78" i="13"/>
  <c r="AP78" i="13"/>
  <c r="AM78" i="13"/>
  <c r="N241" i="9"/>
  <c r="T241" i="9"/>
  <c r="AG56" i="12"/>
  <c r="AO56" i="12"/>
  <c r="V39" i="13"/>
  <c r="AE39" i="13"/>
  <c r="U39" i="13"/>
  <c r="AD39" i="13"/>
  <c r="W39" i="13"/>
  <c r="AF39" i="13"/>
  <c r="X39" i="13"/>
  <c r="AG39" i="13"/>
  <c r="AA77" i="9"/>
  <c r="Z77" i="9"/>
  <c r="AC77" i="9"/>
  <c r="Y77" i="9"/>
  <c r="I77" i="9"/>
  <c r="AB77" i="9"/>
  <c r="AO28" i="13"/>
  <c r="AL28" i="13"/>
  <c r="AN28" i="13"/>
  <c r="AJ28" i="13"/>
  <c r="AM28" i="13"/>
  <c r="AI28" i="13"/>
  <c r="Q241" i="9"/>
  <c r="W241" i="9"/>
  <c r="X199" i="8"/>
  <c r="AG199" i="8"/>
  <c r="U159" i="10"/>
  <c r="T159" i="10"/>
  <c r="BB27" i="12"/>
  <c r="AZ27" i="12"/>
  <c r="AB27" i="12"/>
  <c r="AV27" i="12"/>
  <c r="M228" i="9"/>
  <c r="S228" i="9"/>
  <c r="Q228" i="9"/>
  <c r="W228" i="9"/>
  <c r="AG60" i="12"/>
  <c r="AO60" i="12"/>
  <c r="AI60" i="12"/>
  <c r="AQ60" i="12"/>
  <c r="U82" i="13"/>
  <c r="AD82" i="13"/>
  <c r="S82" i="13"/>
  <c r="AB82" i="13"/>
  <c r="T82" i="13"/>
  <c r="AC82" i="13"/>
  <c r="R82" i="13"/>
  <c r="AA82" i="13"/>
  <c r="Q82" i="13"/>
  <c r="Z82" i="13"/>
  <c r="V82" i="13"/>
  <c r="AE82" i="13"/>
  <c r="Q111" i="9"/>
  <c r="W111" i="9"/>
  <c r="M111" i="9"/>
  <c r="S111" i="9"/>
  <c r="M43" i="11"/>
  <c r="V43" i="11"/>
  <c r="AE43" i="11"/>
  <c r="AH60" i="12"/>
  <c r="AP60" i="12"/>
  <c r="O98" i="9"/>
  <c r="U98" i="9"/>
  <c r="N98" i="9"/>
  <c r="T98" i="9"/>
  <c r="M98" i="9"/>
  <c r="S98" i="9"/>
  <c r="AC255" i="9"/>
  <c r="Y255" i="9"/>
  <c r="Y263" i="9"/>
  <c r="I263" i="9"/>
  <c r="O263" i="9"/>
  <c r="U263" i="9"/>
  <c r="AB269" i="9"/>
  <c r="AA269" i="9"/>
  <c r="Z275" i="9"/>
  <c r="AA275" i="9"/>
  <c r="I275" i="9"/>
  <c r="AC275" i="9"/>
  <c r="P241" i="9"/>
  <c r="V241" i="9"/>
  <c r="M241" i="9"/>
  <c r="S241" i="9"/>
  <c r="Y184" i="9"/>
  <c r="AC184" i="9"/>
  <c r="J185" i="9"/>
  <c r="Y185" i="9"/>
  <c r="AM126" i="8"/>
  <c r="AP126" i="8"/>
  <c r="AL126" i="8"/>
  <c r="AI126" i="8"/>
  <c r="AJ126" i="8"/>
  <c r="AO126" i="8"/>
  <c r="AP158" i="8"/>
  <c r="AN158" i="8"/>
  <c r="AO158" i="8"/>
  <c r="M158" i="8"/>
  <c r="AM158" i="8"/>
  <c r="AL285" i="8"/>
  <c r="M285" i="8"/>
  <c r="W285" i="8"/>
  <c r="AF285" i="8"/>
  <c r="AP285" i="8"/>
  <c r="AN285" i="8"/>
  <c r="Z285" i="9"/>
  <c r="I285" i="9"/>
  <c r="T82" i="10"/>
  <c r="J82" i="10"/>
  <c r="O82" i="10"/>
  <c r="R82" i="10"/>
  <c r="M160" i="11"/>
  <c r="AZ160" i="11"/>
  <c r="AN160" i="11"/>
  <c r="AM160" i="11"/>
  <c r="AK160" i="11"/>
  <c r="AJ160" i="11"/>
  <c r="AI160" i="11"/>
  <c r="W178" i="11"/>
  <c r="AF178" i="11"/>
  <c r="Q178" i="11"/>
  <c r="Z178" i="11"/>
  <c r="X178" i="11"/>
  <c r="AG178" i="11"/>
  <c r="T178" i="11"/>
  <c r="AC178" i="11"/>
  <c r="S178" i="11"/>
  <c r="AB178" i="11"/>
  <c r="AH13" i="12"/>
  <c r="AP13" i="12"/>
  <c r="AG13" i="12"/>
  <c r="AO13" i="12"/>
  <c r="AM85" i="13"/>
  <c r="AL85" i="13"/>
  <c r="AI85" i="13"/>
  <c r="H36" i="19"/>
  <c r="J153" i="9"/>
  <c r="I153" i="9"/>
  <c r="O153" i="9"/>
  <c r="U153" i="9"/>
  <c r="J92" i="9"/>
  <c r="N92" i="8"/>
  <c r="H37" i="19"/>
  <c r="J179" i="9"/>
  <c r="N307" i="8"/>
  <c r="AM307" i="8"/>
  <c r="N179" i="8"/>
  <c r="M179" i="8"/>
  <c r="J307" i="9"/>
  <c r="M36" i="9"/>
  <c r="S36" i="9"/>
  <c r="N216" i="9"/>
  <c r="T216" i="9"/>
  <c r="P216" i="9"/>
  <c r="V216" i="9"/>
  <c r="AJ155" i="11"/>
  <c r="AA178" i="9"/>
  <c r="AY13" i="12"/>
  <c r="AN126" i="8"/>
  <c r="AA34" i="9"/>
  <c r="AC34" i="9"/>
  <c r="AL173" i="11"/>
  <c r="AK173" i="11"/>
  <c r="M173" i="11"/>
  <c r="N79" i="13"/>
  <c r="AP173" i="11"/>
  <c r="AN173" i="11"/>
  <c r="AO173" i="11"/>
  <c r="AJ173" i="11"/>
  <c r="AW14" i="12"/>
  <c r="AZ47" i="12"/>
  <c r="AB47" i="12"/>
  <c r="AI47" i="12"/>
  <c r="AQ47" i="12"/>
  <c r="AV65" i="12"/>
  <c r="AZ65" i="12"/>
  <c r="M126" i="8"/>
  <c r="R126" i="8"/>
  <c r="AA126" i="8"/>
  <c r="AP244" i="8"/>
  <c r="AJ244" i="8"/>
  <c r="AI244" i="8"/>
  <c r="AN244" i="8"/>
  <c r="AM244" i="8"/>
  <c r="AO249" i="8"/>
  <c r="AL249" i="8"/>
  <c r="AJ249" i="8"/>
  <c r="AI249" i="8"/>
  <c r="AP249" i="8"/>
  <c r="AM249" i="8"/>
  <c r="AN249" i="8"/>
  <c r="J38" i="9"/>
  <c r="AB38" i="9"/>
  <c r="I29" i="9"/>
  <c r="AC29" i="9"/>
  <c r="Z141" i="9"/>
  <c r="Y141" i="9"/>
  <c r="I204" i="9"/>
  <c r="M204" i="9"/>
  <c r="S204" i="9"/>
  <c r="J205" i="9"/>
  <c r="AC204" i="9"/>
  <c r="Y204" i="9"/>
  <c r="AB204" i="9"/>
  <c r="M156" i="11"/>
  <c r="X156" i="11"/>
  <c r="AG156" i="11"/>
  <c r="AO156" i="11"/>
  <c r="AN156" i="11"/>
  <c r="AM156" i="11"/>
  <c r="AK156" i="11"/>
  <c r="AJ156" i="11"/>
  <c r="AI156" i="11"/>
  <c r="AW62" i="12"/>
  <c r="BA62" i="12"/>
  <c r="AM71" i="13"/>
  <c r="AJ71" i="13"/>
  <c r="Q99" i="9"/>
  <c r="W99" i="9"/>
  <c r="M155" i="11"/>
  <c r="U82" i="10"/>
  <c r="AV13" i="12"/>
  <c r="AB141" i="9"/>
  <c r="AZ178" i="11"/>
  <c r="AA29" i="9"/>
  <c r="AK285" i="8"/>
  <c r="AI285" i="8"/>
  <c r="AM56" i="8"/>
  <c r="M56" i="8"/>
  <c r="X56" i="8"/>
  <c r="AG56" i="8"/>
  <c r="AP56" i="8"/>
  <c r="AN78" i="8"/>
  <c r="AP78" i="8"/>
  <c r="AO78" i="8"/>
  <c r="AL78" i="8"/>
  <c r="AO98" i="8"/>
  <c r="AN98" i="8"/>
  <c r="AK98" i="8"/>
  <c r="AM98" i="8"/>
  <c r="M98" i="8"/>
  <c r="X98" i="8"/>
  <c r="AG98" i="8"/>
  <c r="AM191" i="8"/>
  <c r="AN191" i="8"/>
  <c r="AM245" i="8"/>
  <c r="AK245" i="8"/>
  <c r="AI245" i="8"/>
  <c r="AJ245" i="8"/>
  <c r="AO245" i="8"/>
  <c r="M250" i="8"/>
  <c r="W250" i="8"/>
  <c r="AF250" i="8"/>
  <c r="AJ250" i="8"/>
  <c r="AP271" i="8"/>
  <c r="AL271" i="8"/>
  <c r="AN271" i="8"/>
  <c r="AI271" i="8"/>
  <c r="AC57" i="9"/>
  <c r="AA57" i="9"/>
  <c r="Z57" i="9"/>
  <c r="Z235" i="9"/>
  <c r="I235" i="9"/>
  <c r="Y282" i="9"/>
  <c r="AO41" i="11"/>
  <c r="X170" i="11"/>
  <c r="AG170" i="11"/>
  <c r="Q170" i="11"/>
  <c r="Z170" i="11"/>
  <c r="T170" i="11"/>
  <c r="AC170" i="11"/>
  <c r="S170" i="11"/>
  <c r="AB170" i="11"/>
  <c r="V170" i="11"/>
  <c r="AE170" i="11"/>
  <c r="AY29" i="12"/>
  <c r="AZ29" i="12"/>
  <c r="AV29" i="12"/>
  <c r="BB29" i="12"/>
  <c r="N38" i="13"/>
  <c r="M61" i="11"/>
  <c r="AM61" i="11"/>
  <c r="AO61" i="11"/>
  <c r="AN61" i="11"/>
  <c r="AO157" i="11"/>
  <c r="AN157" i="11"/>
  <c r="AK157" i="11"/>
  <c r="AJ157" i="11"/>
  <c r="M157" i="11"/>
  <c r="AA40" i="16"/>
  <c r="Z40" i="16"/>
  <c r="M40" i="16"/>
  <c r="Z98" i="16"/>
  <c r="AA98" i="16"/>
  <c r="AZ13" i="12"/>
  <c r="AK249" i="8"/>
  <c r="AJ285" i="8"/>
  <c r="AO244" i="8"/>
  <c r="AA155" i="9"/>
  <c r="Y29" i="9"/>
  <c r="T111" i="8"/>
  <c r="AC111" i="8"/>
  <c r="X111" i="8"/>
  <c r="AG111" i="8"/>
  <c r="S111" i="8"/>
  <c r="AB111" i="8"/>
  <c r="AP44" i="8"/>
  <c r="M44" i="8"/>
  <c r="X44" i="8"/>
  <c r="AG44" i="8"/>
  <c r="AM44" i="8"/>
  <c r="AN44" i="8"/>
  <c r="AO44" i="8"/>
  <c r="AN51" i="8"/>
  <c r="M51" i="8"/>
  <c r="AO51" i="8"/>
  <c r="AP51" i="8"/>
  <c r="AL51" i="8"/>
  <c r="AK51" i="8"/>
  <c r="AJ51" i="8"/>
  <c r="AI99" i="8"/>
  <c r="AL99" i="8"/>
  <c r="AP99" i="8"/>
  <c r="AN99" i="8"/>
  <c r="AM122" i="8"/>
  <c r="AO122" i="8"/>
  <c r="AI122" i="8"/>
  <c r="AK122" i="8"/>
  <c r="AN122" i="8"/>
  <c r="AJ122" i="8"/>
  <c r="AL122" i="8"/>
  <c r="AL236" i="8"/>
  <c r="AO236" i="8"/>
  <c r="AK236" i="8"/>
  <c r="AM236" i="8"/>
  <c r="AP236" i="8"/>
  <c r="M236" i="8"/>
  <c r="R236" i="8"/>
  <c r="AA236" i="8"/>
  <c r="AN236" i="8"/>
  <c r="AJ236" i="8"/>
  <c r="M242" i="8"/>
  <c r="AM242" i="8"/>
  <c r="AI242" i="8"/>
  <c r="AK242" i="8"/>
  <c r="Q41" i="11"/>
  <c r="Z41" i="11"/>
  <c r="T41" i="11"/>
  <c r="AC41" i="11"/>
  <c r="V41" i="11"/>
  <c r="AE41" i="11"/>
  <c r="S41" i="11"/>
  <c r="AB41" i="11"/>
  <c r="R41" i="11"/>
  <c r="AA41" i="11"/>
  <c r="N161" i="10"/>
  <c r="Q161" i="10"/>
  <c r="M266" i="9"/>
  <c r="S266" i="9"/>
  <c r="AB285" i="9"/>
  <c r="M249" i="8"/>
  <c r="W249" i="8"/>
  <c r="AF249" i="8"/>
  <c r="AK244" i="8"/>
  <c r="AB29" i="9"/>
  <c r="M34" i="8"/>
  <c r="X34" i="8"/>
  <c r="AG34" i="8"/>
  <c r="AM34" i="8"/>
  <c r="AO34" i="8"/>
  <c r="AL34" i="8"/>
  <c r="AN34" i="8"/>
  <c r="AP34" i="8"/>
  <c r="AK34" i="8"/>
  <c r="AJ34" i="8"/>
  <c r="M221" i="8"/>
  <c r="U221" i="8"/>
  <c r="AD221" i="8"/>
  <c r="AO221" i="8"/>
  <c r="AJ221" i="8"/>
  <c r="AN221" i="8"/>
  <c r="AI221" i="8"/>
  <c r="AK221" i="8"/>
  <c r="AM221" i="8"/>
  <c r="AO237" i="8"/>
  <c r="AN237" i="8"/>
  <c r="AM237" i="8"/>
  <c r="M237" i="8"/>
  <c r="W237" i="8"/>
  <c r="AF237" i="8"/>
  <c r="AP237" i="8"/>
  <c r="AK237" i="8"/>
  <c r="AL237" i="8"/>
  <c r="AI237" i="8"/>
  <c r="AB52" i="9"/>
  <c r="AA52" i="9"/>
  <c r="Z197" i="9"/>
  <c r="AC197" i="9"/>
  <c r="AL159" i="11"/>
  <c r="AI159" i="11"/>
  <c r="AM159" i="11"/>
  <c r="AO159" i="11"/>
  <c r="AP159" i="11"/>
  <c r="AK159" i="11"/>
  <c r="BB52" i="12"/>
  <c r="AX52" i="12"/>
  <c r="AB52" i="12"/>
  <c r="AO29" i="13"/>
  <c r="M29" i="13"/>
  <c r="AM82" i="13"/>
  <c r="BA13" i="12"/>
  <c r="AK126" i="8"/>
  <c r="Y285" i="9"/>
  <c r="M244" i="8"/>
  <c r="AC141" i="9"/>
  <c r="AB78" i="9"/>
  <c r="Z78" i="9"/>
  <c r="AA78" i="9"/>
  <c r="Z100" i="9"/>
  <c r="AC100" i="9"/>
  <c r="I217" i="9"/>
  <c r="N217" i="9"/>
  <c r="T217" i="9"/>
  <c r="AB217" i="9"/>
  <c r="AA217" i="9"/>
  <c r="Y274" i="9"/>
  <c r="I274" i="9"/>
  <c r="AB274" i="9"/>
  <c r="AA274" i="9"/>
  <c r="Z274" i="9"/>
  <c r="T149" i="10"/>
  <c r="J149" i="10"/>
  <c r="O149" i="10"/>
  <c r="R149" i="10"/>
  <c r="AM47" i="11"/>
  <c r="AN47" i="11"/>
  <c r="AK47" i="11"/>
  <c r="AJ47" i="11"/>
  <c r="AI47" i="11"/>
  <c r="AP47" i="11"/>
  <c r="AP160" i="11"/>
  <c r="S162" i="11"/>
  <c r="AB162" i="11"/>
  <c r="T162" i="11"/>
  <c r="AC162" i="11"/>
  <c r="AM86" i="13"/>
  <c r="AL86" i="13"/>
  <c r="AM199" i="8"/>
  <c r="AP286" i="8"/>
  <c r="Z110" i="9"/>
  <c r="AB239" i="9"/>
  <c r="Y280" i="9"/>
  <c r="I283" i="9"/>
  <c r="R164" i="11"/>
  <c r="AA164" i="11"/>
  <c r="AY34" i="12"/>
  <c r="BA54" i="12"/>
  <c r="AP63" i="8"/>
  <c r="AO286" i="8"/>
  <c r="AB107" i="9"/>
  <c r="AC110" i="9"/>
  <c r="Y133" i="9"/>
  <c r="AC199" i="9"/>
  <c r="AB246" i="9"/>
  <c r="AB280" i="9"/>
  <c r="Y283" i="9"/>
  <c r="AP86" i="8"/>
  <c r="Z44" i="9"/>
  <c r="Z199" i="9"/>
  <c r="AK60" i="11"/>
  <c r="AK27" i="13"/>
  <c r="G42" i="19"/>
  <c r="K42" i="19"/>
  <c r="M42" i="19"/>
  <c r="AO113" i="8"/>
  <c r="AC44" i="9"/>
  <c r="I82" i="9"/>
  <c r="P82" i="9"/>
  <c r="V82" i="9"/>
  <c r="Y99" i="9"/>
  <c r="AC307" i="9"/>
  <c r="Z216" i="9"/>
  <c r="AB227" i="9"/>
  <c r="AB247" i="9"/>
  <c r="AN27" i="13"/>
  <c r="AL86" i="8"/>
  <c r="AO109" i="8"/>
  <c r="AI113" i="8"/>
  <c r="AB238" i="9"/>
  <c r="AB281" i="9"/>
  <c r="T49" i="10"/>
  <c r="AO172" i="11"/>
  <c r="BB34" i="12"/>
  <c r="R16" i="13"/>
  <c r="AA16" i="13"/>
  <c r="X16" i="13"/>
  <c r="AG16" i="13"/>
  <c r="AZ16" i="13"/>
  <c r="T16" i="13"/>
  <c r="AC16" i="13"/>
  <c r="S16" i="13"/>
  <c r="AB16" i="13"/>
  <c r="U16" i="13"/>
  <c r="AD16" i="13"/>
  <c r="W16" i="13"/>
  <c r="AF16" i="13"/>
  <c r="Q16" i="13"/>
  <c r="Z16" i="13"/>
  <c r="Z42" i="17"/>
  <c r="P42" i="17"/>
  <c r="P35" i="17"/>
  <c r="U31" i="13"/>
  <c r="AD31" i="13"/>
  <c r="M59" i="13"/>
  <c r="AO59" i="13"/>
  <c r="AI59" i="13"/>
  <c r="Q72" i="13"/>
  <c r="Z72" i="13"/>
  <c r="M185" i="8"/>
  <c r="R185" i="8"/>
  <c r="AA185" i="8"/>
  <c r="AE112" i="16"/>
  <c r="V122" i="16"/>
  <c r="V124" i="16"/>
  <c r="S72" i="13"/>
  <c r="AB72" i="13"/>
  <c r="V72" i="13"/>
  <c r="AE72" i="13"/>
  <c r="AZ72" i="13"/>
  <c r="U72" i="13"/>
  <c r="AD72" i="13"/>
  <c r="X72" i="13"/>
  <c r="AG72" i="13"/>
  <c r="N32" i="13"/>
  <c r="N67" i="13"/>
  <c r="AK31" i="13"/>
  <c r="AO31" i="13"/>
  <c r="W42" i="11"/>
  <c r="AF42" i="11"/>
  <c r="AZ42" i="11"/>
  <c r="AP31" i="13"/>
  <c r="Q42" i="11"/>
  <c r="Z42" i="11"/>
  <c r="AM43" i="11"/>
  <c r="AJ43" i="11"/>
  <c r="N46" i="17"/>
  <c r="R85" i="13"/>
  <c r="AA85" i="13"/>
  <c r="Q85" i="13"/>
  <c r="Z85" i="13"/>
  <c r="W85" i="13"/>
  <c r="AF85" i="13"/>
  <c r="U85" i="13"/>
  <c r="AD85" i="13"/>
  <c r="N303" i="9"/>
  <c r="T303" i="9"/>
  <c r="O303" i="9"/>
  <c r="U303" i="9"/>
  <c r="AI42" i="11"/>
  <c r="AK42" i="11"/>
  <c r="O126" i="9"/>
  <c r="U126" i="9"/>
  <c r="N126" i="9"/>
  <c r="T126" i="9"/>
  <c r="Q126" i="9"/>
  <c r="W126" i="9"/>
  <c r="M126" i="9"/>
  <c r="S126" i="9"/>
  <c r="AP70" i="13"/>
  <c r="W75" i="8"/>
  <c r="AF75" i="8"/>
  <c r="U75" i="8"/>
  <c r="AD75" i="8"/>
  <c r="R75" i="8"/>
  <c r="AA75" i="8"/>
  <c r="V75" i="8"/>
  <c r="AE75" i="8"/>
  <c r="X75" i="8"/>
  <c r="AG75" i="8"/>
  <c r="AK129" i="8"/>
  <c r="M129" i="8"/>
  <c r="Q129" i="8"/>
  <c r="Z129" i="8"/>
  <c r="AO129" i="8"/>
  <c r="AN129" i="8"/>
  <c r="AJ129" i="8"/>
  <c r="AM129" i="8"/>
  <c r="AI129" i="8"/>
  <c r="AL129" i="8"/>
  <c r="AP129" i="8"/>
  <c r="Q286" i="8"/>
  <c r="Z286" i="8"/>
  <c r="R286" i="8"/>
  <c r="AA286" i="8"/>
  <c r="AI65" i="12"/>
  <c r="AQ65" i="12"/>
  <c r="AF65" i="12"/>
  <c r="AN65" i="12"/>
  <c r="AJ65" i="12"/>
  <c r="AR65" i="12"/>
  <c r="AK65" i="12"/>
  <c r="AS65" i="12"/>
  <c r="AO72" i="13"/>
  <c r="AL72" i="13"/>
  <c r="AM72" i="13"/>
  <c r="AP72" i="13"/>
  <c r="AI57" i="12"/>
  <c r="AQ57" i="12"/>
  <c r="AF60" i="12"/>
  <c r="AN60" i="12"/>
  <c r="AP36" i="8"/>
  <c r="AL36" i="8"/>
  <c r="AI36" i="8"/>
  <c r="AN36" i="8"/>
  <c r="AO36" i="8"/>
  <c r="AK49" i="8"/>
  <c r="M49" i="8"/>
  <c r="S49" i="8"/>
  <c r="AB49" i="8"/>
  <c r="AJ49" i="8"/>
  <c r="AI49" i="8"/>
  <c r="AO49" i="8"/>
  <c r="AL49" i="8"/>
  <c r="AP49" i="8"/>
  <c r="M239" i="8"/>
  <c r="AO239" i="8"/>
  <c r="AJ239" i="8"/>
  <c r="AI239" i="8"/>
  <c r="AN239" i="8"/>
  <c r="AP239" i="8"/>
  <c r="AM239" i="8"/>
  <c r="AC81" i="9"/>
  <c r="AB81" i="9"/>
  <c r="Y81" i="9"/>
  <c r="I81" i="9"/>
  <c r="Z111" i="9"/>
  <c r="AA111" i="9"/>
  <c r="Y111" i="9"/>
  <c r="AC111" i="9"/>
  <c r="AA124" i="9"/>
  <c r="AB124" i="9"/>
  <c r="AB36" i="9"/>
  <c r="AA36" i="9"/>
  <c r="AA56" i="9"/>
  <c r="Z56" i="9"/>
  <c r="AC56" i="9"/>
  <c r="AB56" i="9"/>
  <c r="Y56" i="9"/>
  <c r="I56" i="9"/>
  <c r="Z126" i="9"/>
  <c r="Y126" i="9"/>
  <c r="AC126" i="9"/>
  <c r="S172" i="11"/>
  <c r="AB172" i="11"/>
  <c r="R172" i="11"/>
  <c r="AA172" i="11"/>
  <c r="V223" i="8"/>
  <c r="AE223" i="8"/>
  <c r="T223" i="8"/>
  <c r="AC223" i="8"/>
  <c r="AK235" i="8"/>
  <c r="AN235" i="8"/>
  <c r="AM235" i="8"/>
  <c r="AJ235" i="8"/>
  <c r="AN165" i="11"/>
  <c r="AK165" i="11"/>
  <c r="AJ165" i="11"/>
  <c r="AM165" i="11"/>
  <c r="M165" i="11"/>
  <c r="AO165" i="11"/>
  <c r="AL69" i="12"/>
  <c r="AT69" i="12"/>
  <c r="AH69" i="12"/>
  <c r="AP69" i="12"/>
  <c r="AP184" i="8"/>
  <c r="T266" i="8"/>
  <c r="AC266" i="8"/>
  <c r="R266" i="8"/>
  <c r="AA266" i="8"/>
  <c r="M77" i="8"/>
  <c r="U77" i="8"/>
  <c r="AD77" i="8"/>
  <c r="AM77" i="8"/>
  <c r="AO77" i="8"/>
  <c r="AN77" i="8"/>
  <c r="AJ77" i="8"/>
  <c r="AP190" i="8"/>
  <c r="AM190" i="8"/>
  <c r="AI190" i="8"/>
  <c r="AP269" i="8"/>
  <c r="AL269" i="8"/>
  <c r="AO269" i="8"/>
  <c r="AK269" i="8"/>
  <c r="AN269" i="8"/>
  <c r="AI269" i="8"/>
  <c r="M269" i="8"/>
  <c r="R269" i="8"/>
  <c r="AA269" i="8"/>
  <c r="AM269" i="8"/>
  <c r="AP288" i="8"/>
  <c r="AL288" i="8"/>
  <c r="AK288" i="8"/>
  <c r="AO288" i="8"/>
  <c r="AC196" i="9"/>
  <c r="AB196" i="9"/>
  <c r="Y196" i="9"/>
  <c r="AO235" i="8"/>
  <c r="AO281" i="8"/>
  <c r="M281" i="8"/>
  <c r="S281" i="8"/>
  <c r="AB281" i="8"/>
  <c r="AJ281" i="8"/>
  <c r="AK281" i="8"/>
  <c r="AN281" i="8"/>
  <c r="AI281" i="8"/>
  <c r="AM281" i="8"/>
  <c r="AP281" i="8"/>
  <c r="Z106" i="9"/>
  <c r="AC106" i="9"/>
  <c r="I106" i="9"/>
  <c r="P106" i="9"/>
  <c r="V106" i="9"/>
  <c r="AB106" i="9"/>
  <c r="Y106" i="9"/>
  <c r="AB109" i="9"/>
  <c r="AA109" i="9"/>
  <c r="AB136" i="9"/>
  <c r="Y136" i="9"/>
  <c r="AL184" i="8"/>
  <c r="AO184" i="8"/>
  <c r="AM184" i="8"/>
  <c r="AI184" i="8"/>
  <c r="AK184" i="8"/>
  <c r="AN184" i="8"/>
  <c r="AJ184" i="8"/>
  <c r="M184" i="8"/>
  <c r="X184" i="8"/>
  <c r="AG184" i="8"/>
  <c r="AK250" i="8"/>
  <c r="AN250" i="8"/>
  <c r="AI250" i="8"/>
  <c r="AM250" i="8"/>
  <c r="AP250" i="8"/>
  <c r="AO250" i="8"/>
  <c r="AL250" i="8"/>
  <c r="M304" i="8"/>
  <c r="V304" i="8"/>
  <c r="AE304" i="8"/>
  <c r="AL304" i="8"/>
  <c r="AB223" i="9"/>
  <c r="AA223" i="9"/>
  <c r="I223" i="9"/>
  <c r="P223" i="9"/>
  <c r="V223" i="9"/>
  <c r="Z223" i="9"/>
  <c r="Z229" i="9"/>
  <c r="AC229" i="9"/>
  <c r="I229" i="9"/>
  <c r="AA229" i="9"/>
  <c r="Z244" i="9"/>
  <c r="Y244" i="9"/>
  <c r="AC244" i="9"/>
  <c r="AL155" i="11"/>
  <c r="AM155" i="11"/>
  <c r="AN75" i="13"/>
  <c r="AM75" i="13"/>
  <c r="AK75" i="13"/>
  <c r="M75" i="13"/>
  <c r="AI75" i="13"/>
  <c r="AJ75" i="13"/>
  <c r="Z101" i="9"/>
  <c r="I101" i="9"/>
  <c r="O101" i="9"/>
  <c r="U101" i="9"/>
  <c r="AC101" i="9"/>
  <c r="Y101" i="9"/>
  <c r="AB101" i="9"/>
  <c r="AA101" i="9"/>
  <c r="AB184" i="9"/>
  <c r="AA184" i="9"/>
  <c r="I184" i="9"/>
  <c r="AN109" i="8"/>
  <c r="AM130" i="8"/>
  <c r="AI158" i="8"/>
  <c r="AK197" i="8"/>
  <c r="AO216" i="8"/>
  <c r="M240" i="8"/>
  <c r="X240" i="8"/>
  <c r="AG240" i="8"/>
  <c r="AN280" i="8"/>
  <c r="AL301" i="8"/>
  <c r="AO305" i="8"/>
  <c r="Y37" i="9"/>
  <c r="I44" i="9"/>
  <c r="I57" i="9"/>
  <c r="Q57" i="9"/>
  <c r="W57" i="9"/>
  <c r="Y82" i="9"/>
  <c r="Y108" i="9"/>
  <c r="I112" i="9"/>
  <c r="Y125" i="9"/>
  <c r="I127" i="9"/>
  <c r="AC129" i="9"/>
  <c r="AA131" i="9"/>
  <c r="AB133" i="9"/>
  <c r="Z143" i="9"/>
  <c r="I158" i="9"/>
  <c r="Y174" i="9"/>
  <c r="Y197" i="9"/>
  <c r="Z269" i="9"/>
  <c r="Y269" i="9"/>
  <c r="I269" i="9"/>
  <c r="M269" i="9"/>
  <c r="S269" i="9"/>
  <c r="AC269" i="9"/>
  <c r="X60" i="11"/>
  <c r="AG60" i="11"/>
  <c r="Q60" i="11"/>
  <c r="Z60" i="11"/>
  <c r="AO79" i="11"/>
  <c r="AN79" i="11"/>
  <c r="AM79" i="11"/>
  <c r="AK79" i="11"/>
  <c r="AJ79" i="11"/>
  <c r="M79" i="11"/>
  <c r="AP79" i="11"/>
  <c r="AL166" i="11"/>
  <c r="M166" i="11"/>
  <c r="AO166" i="11"/>
  <c r="BA51" i="12"/>
  <c r="AX51" i="12"/>
  <c r="AW51" i="12"/>
  <c r="AB51" i="12"/>
  <c r="AZ51" i="12"/>
  <c r="BB51" i="12"/>
  <c r="AP69" i="8"/>
  <c r="AI86" i="8"/>
  <c r="AM112" i="8"/>
  <c r="AN116" i="8"/>
  <c r="AK130" i="8"/>
  <c r="AM155" i="8"/>
  <c r="AL158" i="8"/>
  <c r="AO197" i="8"/>
  <c r="AP221" i="8"/>
  <c r="AJ227" i="8"/>
  <c r="AJ240" i="8"/>
  <c r="AL245" i="8"/>
  <c r="I75" i="9"/>
  <c r="P75" i="9"/>
  <c r="V75" i="9"/>
  <c r="AB108" i="9"/>
  <c r="I116" i="9"/>
  <c r="Z125" i="9"/>
  <c r="AA127" i="9"/>
  <c r="AA158" i="9"/>
  <c r="I219" i="9"/>
  <c r="Q219" i="9"/>
  <c r="W219" i="9"/>
  <c r="AJ73" i="13"/>
  <c r="AM73" i="13"/>
  <c r="W42" i="17"/>
  <c r="M42" i="17"/>
  <c r="AK105" i="8"/>
  <c r="AK116" i="8"/>
  <c r="AL130" i="8"/>
  <c r="AP197" i="8"/>
  <c r="AB75" i="9"/>
  <c r="I100" i="9"/>
  <c r="N100" i="9"/>
  <c r="T100" i="9"/>
  <c r="I105" i="9"/>
  <c r="Y107" i="9"/>
  <c r="AC108" i="9"/>
  <c r="AC116" i="9"/>
  <c r="J142" i="10"/>
  <c r="N142" i="10"/>
  <c r="Q142" i="10"/>
  <c r="U142" i="10"/>
  <c r="V160" i="11"/>
  <c r="AE160" i="11"/>
  <c r="X160" i="11"/>
  <c r="AG160" i="11"/>
  <c r="Z38" i="16"/>
  <c r="M38" i="16"/>
  <c r="AA38" i="16"/>
  <c r="M81" i="8"/>
  <c r="V81" i="8"/>
  <c r="AE81" i="8"/>
  <c r="AO238" i="8"/>
  <c r="AN304" i="8"/>
  <c r="Z116" i="9"/>
  <c r="AC240" i="9"/>
  <c r="AB240" i="9"/>
  <c r="Y240" i="9"/>
  <c r="I240" i="9"/>
  <c r="O240" i="9"/>
  <c r="U240" i="9"/>
  <c r="V161" i="11"/>
  <c r="AE161" i="11"/>
  <c r="W161" i="11"/>
  <c r="AF161" i="11"/>
  <c r="K166" i="10"/>
  <c r="H32" i="14"/>
  <c r="AN81" i="8"/>
  <c r="AO304" i="8"/>
  <c r="AA26" i="9"/>
  <c r="Z232" i="9"/>
  <c r="AC232" i="9"/>
  <c r="AA232" i="9"/>
  <c r="Z302" i="9"/>
  <c r="I302" i="9"/>
  <c r="Q302" i="9"/>
  <c r="W302" i="9"/>
  <c r="AA302" i="9"/>
  <c r="AO168" i="11"/>
  <c r="AN168" i="11"/>
  <c r="AM168" i="11"/>
  <c r="AK168" i="11"/>
  <c r="AJ168" i="11"/>
  <c r="M168" i="11"/>
  <c r="AP168" i="11"/>
  <c r="AA100" i="16"/>
  <c r="Z100" i="16"/>
  <c r="M100" i="16"/>
  <c r="AK81" i="8"/>
  <c r="AP304" i="8"/>
  <c r="Y242" i="9"/>
  <c r="I242" i="9"/>
  <c r="N242" i="9"/>
  <c r="T242" i="9"/>
  <c r="AB242" i="9"/>
  <c r="AN146" i="11"/>
  <c r="AK146" i="11"/>
  <c r="AJ146" i="11"/>
  <c r="AM146" i="11"/>
  <c r="M146" i="11"/>
  <c r="AO146" i="11"/>
  <c r="AZ68" i="12"/>
  <c r="AX68" i="12"/>
  <c r="AY68" i="12"/>
  <c r="AW68" i="12"/>
  <c r="AV68" i="12"/>
  <c r="AB68" i="12"/>
  <c r="AC8" i="12"/>
  <c r="H8" i="19"/>
  <c r="H8" i="14"/>
  <c r="K127" i="10"/>
  <c r="K15" i="10"/>
  <c r="N17" i="11"/>
  <c r="AM86" i="8"/>
  <c r="AI304" i="8"/>
  <c r="Z273" i="9"/>
  <c r="AA273" i="9"/>
  <c r="Z288" i="9"/>
  <c r="I288" i="9"/>
  <c r="M288" i="9"/>
  <c r="S288" i="9"/>
  <c r="AC288" i="9"/>
  <c r="AA288" i="9"/>
  <c r="AZ48" i="12"/>
  <c r="AY48" i="12"/>
  <c r="AV48" i="12"/>
  <c r="BB48" i="12"/>
  <c r="AB48" i="12"/>
  <c r="AJ48" i="12"/>
  <c r="AR48" i="12"/>
  <c r="AZ60" i="12"/>
  <c r="AW60" i="12"/>
  <c r="AV60" i="12"/>
  <c r="BA60" i="12"/>
  <c r="R74" i="13"/>
  <c r="AA74" i="13"/>
  <c r="AZ74" i="13"/>
  <c r="AC293" i="9"/>
  <c r="AA227" i="9"/>
  <c r="AA246" i="9"/>
  <c r="Y311" i="9"/>
  <c r="AJ60" i="11"/>
  <c r="AO170" i="11"/>
  <c r="AZ62" i="12"/>
  <c r="BA63" i="12"/>
  <c r="AY65" i="12"/>
  <c r="BA71" i="12"/>
  <c r="M28" i="13"/>
  <c r="W29" i="13"/>
  <c r="AF29" i="13"/>
  <c r="AI77" i="13"/>
  <c r="AN77" i="13"/>
  <c r="AI78" i="13"/>
  <c r="AN78" i="13"/>
  <c r="AC227" i="9"/>
  <c r="Y241" i="9"/>
  <c r="I243" i="9"/>
  <c r="U171" i="10"/>
  <c r="M47" i="11"/>
  <c r="AM60" i="11"/>
  <c r="AI167" i="11"/>
  <c r="AW27" i="12"/>
  <c r="AZ34" i="12"/>
  <c r="AB62" i="12"/>
  <c r="AX69" i="12"/>
  <c r="AZ70" i="12"/>
  <c r="BB71" i="12"/>
  <c r="AO77" i="13"/>
  <c r="AO78" i="13"/>
  <c r="M98" i="16"/>
  <c r="Z241" i="9"/>
  <c r="AA243" i="9"/>
  <c r="Z245" i="9"/>
  <c r="Z283" i="9"/>
  <c r="Z305" i="9"/>
  <c r="J144" i="10"/>
  <c r="O144" i="10"/>
  <c r="R144" i="10"/>
  <c r="AN60" i="11"/>
  <c r="M154" i="11"/>
  <c r="AL167" i="11"/>
  <c r="AK172" i="11"/>
  <c r="U177" i="11"/>
  <c r="AD177" i="11"/>
  <c r="M179" i="11"/>
  <c r="AX27" i="12"/>
  <c r="AC245" i="9"/>
  <c r="T141" i="10"/>
  <c r="AO60" i="11"/>
  <c r="AO154" i="11"/>
  <c r="AZ177" i="11"/>
  <c r="BA27" i="12"/>
  <c r="AB55" i="12"/>
  <c r="AH55" i="12"/>
  <c r="AP55" i="12"/>
  <c r="AB71" i="12"/>
  <c r="R76" i="13"/>
  <c r="AA76" i="13"/>
  <c r="O33" i="14"/>
  <c r="N38" i="17"/>
  <c r="I236" i="9"/>
  <c r="Z266" i="9"/>
  <c r="J159" i="10"/>
  <c r="J173" i="10"/>
  <c r="AL46" i="11"/>
  <c r="AX55" i="12"/>
  <c r="AZ63" i="12"/>
  <c r="AV70" i="12"/>
  <c r="M77" i="13"/>
  <c r="M78" i="13"/>
  <c r="AB236" i="9"/>
  <c r="AA248" i="9"/>
  <c r="AB282" i="9"/>
  <c r="I284" i="9"/>
  <c r="AA304" i="9"/>
  <c r="T173" i="10"/>
  <c r="BA53" i="12"/>
  <c r="AY55" i="12"/>
  <c r="AV62" i="12"/>
  <c r="AW63" i="12"/>
  <c r="BB65" i="12"/>
  <c r="AB70" i="12"/>
  <c r="AI70" i="12"/>
  <c r="AQ70" i="12"/>
  <c r="AY71" i="12"/>
  <c r="AJ77" i="13"/>
  <c r="AJ78" i="13"/>
  <c r="AW70" i="12"/>
  <c r="T103" i="8"/>
  <c r="S103" i="8"/>
  <c r="V103" i="8"/>
  <c r="W103" i="8"/>
  <c r="U103" i="8"/>
  <c r="R103" i="8"/>
  <c r="AC30" i="9"/>
  <c r="AA30" i="9"/>
  <c r="Z30" i="9"/>
  <c r="Y30" i="9"/>
  <c r="I30" i="9"/>
  <c r="AB30" i="9"/>
  <c r="AN91" i="8"/>
  <c r="AL91" i="8"/>
  <c r="AK91" i="8"/>
  <c r="AM91" i="8"/>
  <c r="AP91" i="8"/>
  <c r="M91" i="8"/>
  <c r="AO91" i="8"/>
  <c r="AJ91" i="8"/>
  <c r="AI91" i="8"/>
  <c r="X136" i="8"/>
  <c r="AG136" i="8"/>
  <c r="Q136" i="8"/>
  <c r="Z136" i="8"/>
  <c r="Q136" i="9"/>
  <c r="W136" i="9"/>
  <c r="AA253" i="9"/>
  <c r="AJ139" i="8"/>
  <c r="M256" i="8"/>
  <c r="X256" i="8"/>
  <c r="AG256" i="8"/>
  <c r="AL191" i="8"/>
  <c r="AJ180" i="8"/>
  <c r="Y226" i="9"/>
  <c r="M252" i="8"/>
  <c r="W252" i="8"/>
  <c r="AF252" i="8"/>
  <c r="AM186" i="8"/>
  <c r="AC137" i="9"/>
  <c r="I187" i="9"/>
  <c r="O187" i="9"/>
  <c r="U187" i="9"/>
  <c r="AI228" i="8"/>
  <c r="AJ264" i="8"/>
  <c r="AO186" i="8"/>
  <c r="AI180" i="8"/>
  <c r="AL186" i="8"/>
  <c r="AN139" i="8"/>
  <c r="AL256" i="8"/>
  <c r="AO141" i="8"/>
  <c r="AN230" i="8"/>
  <c r="AJ252" i="8"/>
  <c r="Z70" i="9"/>
  <c r="AO48" i="8"/>
  <c r="AK186" i="8"/>
  <c r="M186" i="8"/>
  <c r="X186" i="8"/>
  <c r="AG186" i="8"/>
  <c r="AM48" i="8"/>
  <c r="J91" i="9"/>
  <c r="Z91" i="9"/>
  <c r="Y137" i="9"/>
  <c r="Y71" i="9"/>
  <c r="S136" i="8"/>
  <c r="AB136" i="8"/>
  <c r="M136" i="9"/>
  <c r="S136" i="9"/>
  <c r="I71" i="9"/>
  <c r="O71" i="9"/>
  <c r="U71" i="9"/>
  <c r="AI191" i="8"/>
  <c r="I226" i="9"/>
  <c r="AK264" i="8"/>
  <c r="AL252" i="8"/>
  <c r="AI186" i="8"/>
  <c r="I137" i="9"/>
  <c r="N137" i="9"/>
  <c r="T137" i="9"/>
  <c r="AA187" i="9"/>
  <c r="AB228" i="9"/>
  <c r="AN264" i="8"/>
  <c r="AL142" i="8"/>
  <c r="AO142" i="8"/>
  <c r="AI187" i="8"/>
  <c r="AO256" i="8"/>
  <c r="AN48" i="8"/>
  <c r="AO230" i="8"/>
  <c r="M261" i="8"/>
  <c r="W261" i="8"/>
  <c r="AF261" i="8"/>
  <c r="AC70" i="9"/>
  <c r="Z155" i="9"/>
  <c r="I191" i="9"/>
  <c r="P191" i="9"/>
  <c r="V191" i="9"/>
  <c r="AP191" i="8"/>
  <c r="AP139" i="8"/>
  <c r="U136" i="8"/>
  <c r="AD136" i="8"/>
  <c r="AA70" i="9"/>
  <c r="AA39" i="9"/>
  <c r="AK141" i="8"/>
  <c r="AI261" i="8"/>
  <c r="AP252" i="8"/>
  <c r="AI220" i="8"/>
  <c r="AP264" i="8"/>
  <c r="AM261" i="8"/>
  <c r="AN220" i="8"/>
  <c r="AP228" i="8"/>
  <c r="AL228" i="8"/>
  <c r="AK48" i="8"/>
  <c r="AK187" i="8"/>
  <c r="M139" i="8"/>
  <c r="V139" i="8"/>
  <c r="AE139" i="8"/>
  <c r="M191" i="8"/>
  <c r="S191" i="8"/>
  <c r="AB191" i="8"/>
  <c r="AM230" i="8"/>
  <c r="N30" i="8"/>
  <c r="AL261" i="8"/>
  <c r="I70" i="9"/>
  <c r="N70" i="9"/>
  <c r="T70" i="9"/>
  <c r="Y259" i="9"/>
  <c r="AB137" i="9"/>
  <c r="AM180" i="8"/>
  <c r="AN187" i="8"/>
  <c r="AI139" i="8"/>
  <c r="AJ191" i="8"/>
  <c r="AO191" i="8"/>
  <c r="W136" i="8"/>
  <c r="AF136" i="8"/>
  <c r="I233" i="9"/>
  <c r="O233" i="9"/>
  <c r="U233" i="9"/>
  <c r="I261" i="9"/>
  <c r="P261" i="9"/>
  <c r="V261" i="9"/>
  <c r="AK180" i="8"/>
  <c r="AM258" i="8"/>
  <c r="AP48" i="8"/>
  <c r="AL263" i="8"/>
  <c r="AI48" i="8"/>
  <c r="AO220" i="8"/>
  <c r="AO264" i="8"/>
  <c r="AN261" i="8"/>
  <c r="AO180" i="8"/>
  <c r="AJ187" i="8"/>
  <c r="AL139" i="8"/>
  <c r="AK191" i="8"/>
  <c r="AJ48" i="8"/>
  <c r="AO139" i="8"/>
  <c r="T136" i="8"/>
  <c r="AC136" i="8"/>
  <c r="AC155" i="9"/>
  <c r="I181" i="9"/>
  <c r="P181" i="9"/>
  <c r="V181" i="9"/>
  <c r="AN256" i="8"/>
  <c r="AL187" i="8"/>
  <c r="AC226" i="9"/>
  <c r="AK252" i="8"/>
  <c r="AB187" i="9"/>
  <c r="AP186" i="8"/>
  <c r="AM264" i="8"/>
  <c r="AP142" i="8"/>
  <c r="AM187" i="8"/>
  <c r="AI141" i="8"/>
  <c r="AL180" i="8"/>
  <c r="AK230" i="8"/>
  <c r="AO258" i="8"/>
  <c r="AB102" i="9"/>
  <c r="AL141" i="8"/>
  <c r="Y155" i="9"/>
  <c r="Y262" i="9"/>
  <c r="I140" i="9"/>
  <c r="P140" i="9"/>
  <c r="V140" i="9"/>
  <c r="AO40" i="8"/>
  <c r="AP138" i="8"/>
  <c r="Z180" i="9"/>
  <c r="AC262" i="9"/>
  <c r="Z140" i="9"/>
  <c r="I139" i="9"/>
  <c r="O139" i="9"/>
  <c r="U139" i="9"/>
  <c r="V260" i="8"/>
  <c r="AE260" i="8"/>
  <c r="O34" i="19"/>
  <c r="Z262" i="9"/>
  <c r="G44" i="19"/>
  <c r="K44" i="19"/>
  <c r="M44" i="19"/>
  <c r="AB254" i="9"/>
  <c r="I262" i="9"/>
  <c r="AO29" i="8"/>
  <c r="Y220" i="9"/>
  <c r="I254" i="9"/>
  <c r="O254" i="9"/>
  <c r="U254" i="9"/>
  <c r="Y254" i="9"/>
  <c r="AL40" i="8"/>
  <c r="AM40" i="8"/>
  <c r="AM212" i="8"/>
  <c r="AP212" i="8"/>
  <c r="N213" i="8"/>
  <c r="AJ213" i="8"/>
  <c r="AN212" i="8"/>
  <c r="M103" i="9"/>
  <c r="O103" i="9"/>
  <c r="M262" i="8"/>
  <c r="R262" i="8"/>
  <c r="AA262" i="8"/>
  <c r="AC259" i="9"/>
  <c r="AI258" i="8"/>
  <c r="AA48" i="9"/>
  <c r="AK226" i="8"/>
  <c r="AN140" i="8"/>
  <c r="I48" i="9"/>
  <c r="Q48" i="9"/>
  <c r="W48" i="9"/>
  <c r="AK40" i="8"/>
  <c r="AM138" i="8"/>
  <c r="AL258" i="8"/>
  <c r="M140" i="8"/>
  <c r="U140" i="8"/>
  <c r="AD140" i="8"/>
  <c r="AM141" i="8"/>
  <c r="AN262" i="8"/>
  <c r="I40" i="9"/>
  <c r="I138" i="9"/>
  <c r="N138" i="9"/>
  <c r="T138" i="9"/>
  <c r="I143" i="9"/>
  <c r="I180" i="9"/>
  <c r="Q180" i="9"/>
  <c r="W180" i="9"/>
  <c r="Y190" i="9"/>
  <c r="J212" i="9"/>
  <c r="AB233" i="9"/>
  <c r="Z40" i="9"/>
  <c r="Z259" i="9"/>
  <c r="M258" i="8"/>
  <c r="W258" i="8"/>
  <c r="AF258" i="8"/>
  <c r="AL226" i="8"/>
  <c r="AO140" i="8"/>
  <c r="M40" i="8"/>
  <c r="U40" i="8"/>
  <c r="AD40" i="8"/>
  <c r="AP254" i="8"/>
  <c r="AN29" i="8"/>
  <c r="AM226" i="8"/>
  <c r="AP258" i="8"/>
  <c r="I39" i="9"/>
  <c r="AC138" i="9"/>
  <c r="Y143" i="9"/>
  <c r="AA220" i="9"/>
  <c r="Z220" i="9"/>
  <c r="AB39" i="9"/>
  <c r="AA40" i="9"/>
  <c r="AA259" i="9"/>
  <c r="AB48" i="9"/>
  <c r="AJ258" i="8"/>
  <c r="AK140" i="8"/>
  <c r="AI138" i="8"/>
  <c r="AK29" i="8"/>
  <c r="AO138" i="8"/>
  <c r="AK262" i="8"/>
  <c r="AJ29" i="8"/>
  <c r="N38" i="8"/>
  <c r="AI38" i="8"/>
  <c r="AJ141" i="8"/>
  <c r="AP141" i="8"/>
  <c r="Y39" i="9"/>
  <c r="Z102" i="9"/>
  <c r="Y138" i="9"/>
  <c r="Y261" i="9"/>
  <c r="AJ262" i="8"/>
  <c r="AB40" i="9"/>
  <c r="M29" i="8"/>
  <c r="V29" i="8"/>
  <c r="AE29" i="8"/>
  <c r="I259" i="9"/>
  <c r="AN258" i="8"/>
  <c r="AM254" i="8"/>
  <c r="AJ138" i="8"/>
  <c r="AM29" i="8"/>
  <c r="AN226" i="8"/>
  <c r="AP262" i="8"/>
  <c r="AI254" i="8"/>
  <c r="AP29" i="8"/>
  <c r="AJ254" i="8"/>
  <c r="Z39" i="9"/>
  <c r="J207" i="9"/>
  <c r="I207" i="9"/>
  <c r="N207" i="9"/>
  <c r="T207" i="9"/>
  <c r="AA262" i="9"/>
  <c r="AM262" i="8"/>
  <c r="AC48" i="9"/>
  <c r="AP140" i="8"/>
  <c r="AP40" i="8"/>
  <c r="AJ40" i="8"/>
  <c r="AN254" i="8"/>
  <c r="AK138" i="8"/>
  <c r="N207" i="8"/>
  <c r="Y40" i="9"/>
  <c r="AA138" i="9"/>
  <c r="AC143" i="9"/>
  <c r="AM140" i="8"/>
  <c r="AC233" i="9"/>
  <c r="Y48" i="9"/>
  <c r="AO226" i="8"/>
  <c r="AI40" i="8"/>
  <c r="AI226" i="8"/>
  <c r="AL138" i="8"/>
  <c r="AN138" i="8"/>
  <c r="Y140" i="9"/>
  <c r="I16" i="15"/>
  <c r="AF54" i="12"/>
  <c r="AN54" i="12"/>
  <c r="V8" i="12"/>
  <c r="BA8" i="12"/>
  <c r="AK13" i="12"/>
  <c r="AS13" i="12"/>
  <c r="AF20" i="12"/>
  <c r="AF13" i="12"/>
  <c r="AN13" i="12"/>
  <c r="AH54" i="12"/>
  <c r="AP54" i="12"/>
  <c r="AI38" i="12"/>
  <c r="AI20" i="12"/>
  <c r="AL13" i="12"/>
  <c r="AT13" i="12"/>
  <c r="AF10" i="12"/>
  <c r="AH10" i="12"/>
  <c r="AL54" i="12"/>
  <c r="AT54" i="12"/>
  <c r="AL38" i="12"/>
  <c r="AJ9" i="12"/>
  <c r="AG20" i="12"/>
  <c r="AI10" i="12"/>
  <c r="AI54" i="12"/>
  <c r="AQ54" i="12"/>
  <c r="AF47" i="12"/>
  <c r="AN47" i="12"/>
  <c r="AJ10" i="12"/>
  <c r="AJ20" i="12"/>
  <c r="AH20" i="12"/>
  <c r="AK47" i="12"/>
  <c r="AS47" i="12"/>
  <c r="AJ54" i="12"/>
  <c r="AR54" i="12"/>
  <c r="AI13" i="12"/>
  <c r="AQ13" i="12"/>
  <c r="AK20" i="12"/>
  <c r="AH47" i="12"/>
  <c r="AP47" i="12"/>
  <c r="AL47" i="12"/>
  <c r="AT47" i="12"/>
  <c r="AJ13" i="12"/>
  <c r="AR13" i="12"/>
  <c r="AG47" i="12"/>
  <c r="AO47" i="12"/>
  <c r="AG10" i="12"/>
  <c r="AJ16" i="12"/>
  <c r="AI16" i="12"/>
  <c r="AH16" i="12"/>
  <c r="AL16" i="12"/>
  <c r="S8" i="12"/>
  <c r="AF16" i="12"/>
  <c r="AG75" i="12"/>
  <c r="AL74" i="12"/>
  <c r="AT74" i="12"/>
  <c r="AF21" i="12"/>
  <c r="AJ34" i="12"/>
  <c r="AR34" i="12"/>
  <c r="AK74" i="12"/>
  <c r="AS74" i="12"/>
  <c r="AF39" i="12"/>
  <c r="AJ47" i="12"/>
  <c r="AR47" i="12"/>
  <c r="O85" i="10"/>
  <c r="O53" i="10"/>
  <c r="O103" i="10"/>
  <c r="N69" i="10"/>
  <c r="N78" i="10"/>
  <c r="N61" i="10"/>
  <c r="N93" i="10"/>
  <c r="N177" i="10"/>
  <c r="O178" i="10"/>
  <c r="N111" i="10"/>
  <c r="N79" i="10"/>
  <c r="O162" i="10"/>
  <c r="O55" i="10"/>
  <c r="N131" i="10"/>
  <c r="O141" i="10"/>
  <c r="R141" i="10"/>
  <c r="O181" i="10"/>
  <c r="O147" i="10"/>
  <c r="R147" i="10"/>
  <c r="N188" i="10"/>
  <c r="N94" i="10"/>
  <c r="O125" i="10"/>
  <c r="N137" i="10"/>
  <c r="O63" i="10"/>
  <c r="U105" i="8"/>
  <c r="AD105" i="8"/>
  <c r="U167" i="8"/>
  <c r="Q53" i="8"/>
  <c r="V167" i="8"/>
  <c r="R242" i="8"/>
  <c r="AA242" i="8"/>
  <c r="T52" i="8"/>
  <c r="AC52" i="8"/>
  <c r="V105" i="8"/>
  <c r="AE105" i="8"/>
  <c r="T167" i="8"/>
  <c r="S167" i="8"/>
  <c r="X242" i="8"/>
  <c r="AG242" i="8"/>
  <c r="W53" i="8"/>
  <c r="W167" i="8"/>
  <c r="U53" i="8"/>
  <c r="T242" i="8"/>
  <c r="AC242" i="8"/>
  <c r="X53" i="8"/>
  <c r="R167" i="8"/>
  <c r="U242" i="8"/>
  <c r="AD242" i="8"/>
  <c r="Q105" i="8"/>
  <c r="Z105" i="8"/>
  <c r="Q242" i="8"/>
  <c r="Z242" i="8"/>
  <c r="X292" i="8"/>
  <c r="U214" i="8"/>
  <c r="S242" i="8"/>
  <c r="AB242" i="8"/>
  <c r="X52" i="8"/>
  <c r="AG52" i="8"/>
  <c r="R194" i="8"/>
  <c r="V270" i="8"/>
  <c r="Q167" i="8"/>
  <c r="S53" i="8"/>
  <c r="Q256" i="9"/>
  <c r="W256" i="9"/>
  <c r="P294" i="9"/>
  <c r="N81" i="9"/>
  <c r="T81" i="9"/>
  <c r="O16" i="9"/>
  <c r="P265" i="9"/>
  <c r="N103" i="9"/>
  <c r="N256" i="9"/>
  <c r="T256" i="9"/>
  <c r="M294" i="9"/>
  <c r="N214" i="9"/>
  <c r="P16" i="9"/>
  <c r="Q103" i="9"/>
  <c r="E147" i="9"/>
  <c r="N147" i="9"/>
  <c r="O305" i="9"/>
  <c r="U305" i="9"/>
  <c r="O256" i="9"/>
  <c r="U256" i="9"/>
  <c r="N294" i="9"/>
  <c r="N282" i="9"/>
  <c r="T282" i="9"/>
  <c r="P61" i="9"/>
  <c r="P93" i="9"/>
  <c r="P280" i="9"/>
  <c r="V280" i="9"/>
  <c r="Q81" i="9"/>
  <c r="W81" i="9"/>
  <c r="M135" i="9"/>
  <c r="P305" i="9"/>
  <c r="V305" i="9"/>
  <c r="N140" i="9"/>
  <c r="T140" i="9"/>
  <c r="O119" i="9"/>
  <c r="Q93" i="9"/>
  <c r="Q280" i="9"/>
  <c r="W280" i="9"/>
  <c r="N135" i="9"/>
  <c r="Q305" i="9"/>
  <c r="W305" i="9"/>
  <c r="N280" i="9"/>
  <c r="T280" i="9"/>
  <c r="P251" i="9"/>
  <c r="N161" i="9"/>
  <c r="P119" i="9"/>
  <c r="N93" i="9"/>
  <c r="N16" i="9"/>
  <c r="N265" i="9"/>
  <c r="M280" i="9"/>
  <c r="S280" i="9"/>
  <c r="P273" i="9"/>
  <c r="V273" i="9"/>
  <c r="Q61" i="9"/>
  <c r="P161" i="9"/>
  <c r="N119" i="9"/>
  <c r="O93" i="9"/>
  <c r="Q16" i="9"/>
  <c r="M265" i="9"/>
  <c r="P103" i="9"/>
  <c r="P135" i="9"/>
  <c r="Z69" i="9"/>
  <c r="P18" i="9"/>
  <c r="O251" i="9"/>
  <c r="P242" i="9"/>
  <c r="V242" i="9"/>
  <c r="Q273" i="9"/>
  <c r="W273" i="9"/>
  <c r="M161" i="9"/>
  <c r="N61" i="9"/>
  <c r="N251" i="9"/>
  <c r="N60" i="9"/>
  <c r="M17" i="9"/>
  <c r="Q204" i="9"/>
  <c r="W204" i="9"/>
  <c r="P315" i="9"/>
  <c r="N204" i="9"/>
  <c r="T204" i="9"/>
  <c r="N47" i="9"/>
  <c r="T47" i="9"/>
  <c r="N17" i="9"/>
  <c r="O204" i="9"/>
  <c r="U204" i="9"/>
  <c r="O66" i="9"/>
  <c r="O152" i="9"/>
  <c r="Q50" i="9"/>
  <c r="W50" i="9"/>
  <c r="P17" i="9"/>
  <c r="M60" i="9"/>
  <c r="Q152" i="9"/>
  <c r="M173" i="9"/>
  <c r="P147" i="9"/>
  <c r="O47" i="9"/>
  <c r="U47" i="9"/>
  <c r="P60" i="9"/>
  <c r="N152" i="9"/>
  <c r="O31" i="9"/>
  <c r="Q60" i="9"/>
  <c r="O17" i="9"/>
  <c r="M152" i="9"/>
  <c r="P157" i="9"/>
  <c r="Q162" i="9"/>
  <c r="P173" i="9"/>
  <c r="P47" i="9"/>
  <c r="V47" i="9"/>
  <c r="N66" i="9"/>
  <c r="T254" i="8"/>
  <c r="AC254" i="8"/>
  <c r="R254" i="8"/>
  <c r="AA254" i="8"/>
  <c r="S66" i="8"/>
  <c r="Q305" i="8"/>
  <c r="Z305" i="8"/>
  <c r="V274" i="8"/>
  <c r="AE274" i="8"/>
  <c r="R23" i="8"/>
  <c r="U216" i="8"/>
  <c r="AD216" i="8"/>
  <c r="Q254" i="8"/>
  <c r="Z254" i="8"/>
  <c r="W254" i="8"/>
  <c r="AF254" i="8"/>
  <c r="Q274" i="8"/>
  <c r="Z274" i="8"/>
  <c r="X305" i="8"/>
  <c r="AG305" i="8"/>
  <c r="U254" i="8"/>
  <c r="AD254" i="8"/>
  <c r="V254" i="8"/>
  <c r="AE254" i="8"/>
  <c r="X216" i="8"/>
  <c r="AG216" i="8"/>
  <c r="U217" i="8"/>
  <c r="AD217" i="8"/>
  <c r="V53" i="8"/>
  <c r="S115" i="8"/>
  <c r="U66" i="8"/>
  <c r="Q66" i="8"/>
  <c r="W227" i="8"/>
  <c r="AF227" i="8"/>
  <c r="W217" i="8"/>
  <c r="AF217" i="8"/>
  <c r="R66" i="8"/>
  <c r="T47" i="8"/>
  <c r="AC47" i="8"/>
  <c r="S222" i="8"/>
  <c r="AB222" i="8"/>
  <c r="R120" i="8"/>
  <c r="X66" i="8"/>
  <c r="T66" i="8"/>
  <c r="X135" i="8"/>
  <c r="V66" i="8"/>
  <c r="V217" i="8"/>
  <c r="AE217" i="8"/>
  <c r="V128" i="8"/>
  <c r="AE128" i="8"/>
  <c r="U248" i="8"/>
  <c r="AD248" i="8"/>
  <c r="Q217" i="8"/>
  <c r="Z217" i="8"/>
  <c r="V227" i="8"/>
  <c r="AE227" i="8"/>
  <c r="T23" i="8"/>
  <c r="O36" i="19"/>
  <c r="G36" i="19"/>
  <c r="K36" i="19"/>
  <c r="M36" i="19"/>
  <c r="R168" i="8"/>
  <c r="T168" i="8"/>
  <c r="U168" i="8"/>
  <c r="S168" i="8"/>
  <c r="P102" i="9"/>
  <c r="V102" i="9"/>
  <c r="P196" i="9"/>
  <c r="V196" i="9"/>
  <c r="M196" i="8"/>
  <c r="AK255" i="8"/>
  <c r="AK137" i="8"/>
  <c r="AP137" i="8"/>
  <c r="AJ39" i="8"/>
  <c r="I260" i="9"/>
  <c r="AA69" i="9"/>
  <c r="Q230" i="9"/>
  <c r="W230" i="9"/>
  <c r="Z260" i="9"/>
  <c r="AI259" i="8"/>
  <c r="AA255" i="9"/>
  <c r="AB255" i="9"/>
  <c r="AN263" i="8"/>
  <c r="AL196" i="8"/>
  <c r="AP70" i="8"/>
  <c r="AP263" i="8"/>
  <c r="AO255" i="8"/>
  <c r="AK212" i="8"/>
  <c r="AI71" i="8"/>
  <c r="AP71" i="8"/>
  <c r="AL259" i="8"/>
  <c r="AM39" i="8"/>
  <c r="AL137" i="8"/>
  <c r="N153" i="8"/>
  <c r="Z136" i="9"/>
  <c r="AA137" i="9"/>
  <c r="Z138" i="9"/>
  <c r="AA260" i="9"/>
  <c r="M230" i="9"/>
  <c r="S230" i="9"/>
  <c r="AA263" i="9"/>
  <c r="AL39" i="8"/>
  <c r="P70" i="9"/>
  <c r="V70" i="9"/>
  <c r="M259" i="8"/>
  <c r="S259" i="8"/>
  <c r="AB259" i="8"/>
  <c r="I255" i="9"/>
  <c r="AI255" i="8"/>
  <c r="AP196" i="8"/>
  <c r="M70" i="8"/>
  <c r="T70" i="8"/>
  <c r="AC70" i="8"/>
  <c r="M263" i="8"/>
  <c r="S263" i="8"/>
  <c r="AB263" i="8"/>
  <c r="AO212" i="8"/>
  <c r="AP143" i="8"/>
  <c r="AL255" i="8"/>
  <c r="M255" i="8"/>
  <c r="R255" i="8"/>
  <c r="AA255" i="8"/>
  <c r="AN39" i="8"/>
  <c r="AM70" i="8"/>
  <c r="M137" i="8"/>
  <c r="Q137" i="8"/>
  <c r="Z137" i="8"/>
  <c r="Z71" i="9"/>
  <c r="Z255" i="9"/>
  <c r="AB260" i="9"/>
  <c r="P228" i="9"/>
  <c r="V228" i="9"/>
  <c r="AA233" i="9"/>
  <c r="M196" i="9"/>
  <c r="S196" i="9"/>
  <c r="AJ259" i="8"/>
  <c r="Q70" i="9"/>
  <c r="W70" i="9"/>
  <c r="AM263" i="8"/>
  <c r="AJ70" i="8"/>
  <c r="M40" i="9"/>
  <c r="S40" i="9"/>
  <c r="AI253" i="8"/>
  <c r="AL212" i="8"/>
  <c r="AN196" i="8"/>
  <c r="AM255" i="8"/>
  <c r="AL220" i="8"/>
  <c r="Y69" i="9"/>
  <c r="AA71" i="9"/>
  <c r="I170" i="9"/>
  <c r="Y191" i="9"/>
  <c r="Z226" i="9"/>
  <c r="AB252" i="9"/>
  <c r="O228" i="9"/>
  <c r="U228" i="9"/>
  <c r="O196" i="9"/>
  <c r="U196" i="9"/>
  <c r="AO39" i="8"/>
  <c r="AM196" i="8"/>
  <c r="AN70" i="8"/>
  <c r="AI196" i="8"/>
  <c r="AN137" i="8"/>
  <c r="Y170" i="9"/>
  <c r="Z261" i="9"/>
  <c r="AB69" i="9"/>
  <c r="N228" i="9"/>
  <c r="T228" i="9"/>
  <c r="Q196" i="9"/>
  <c r="W196" i="9"/>
  <c r="AC260" i="9"/>
  <c r="I69" i="9"/>
  <c r="Q69" i="9"/>
  <c r="W69" i="9"/>
  <c r="AK39" i="8"/>
  <c r="AK196" i="8"/>
  <c r="AJ255" i="8"/>
  <c r="AK71" i="8"/>
  <c r="AK70" i="8"/>
  <c r="AN253" i="8"/>
  <c r="AI70" i="8"/>
  <c r="AL143" i="8"/>
  <c r="AO71" i="8"/>
  <c r="AO263" i="8"/>
  <c r="AJ196" i="8"/>
  <c r="AP39" i="8"/>
  <c r="M71" i="8"/>
  <c r="V71" i="8"/>
  <c r="AE71" i="8"/>
  <c r="AI137" i="8"/>
  <c r="AM253" i="8"/>
  <c r="Z170" i="9"/>
  <c r="AC178" i="9"/>
  <c r="AA226" i="9"/>
  <c r="I253" i="9"/>
  <c r="AB263" i="9"/>
  <c r="M39" i="8"/>
  <c r="AL71" i="8"/>
  <c r="AJ263" i="8"/>
  <c r="AN255" i="8"/>
  <c r="AL70" i="8"/>
  <c r="AK253" i="8"/>
  <c r="AN143" i="8"/>
  <c r="AK259" i="8"/>
  <c r="AM143" i="8"/>
  <c r="AO137" i="8"/>
  <c r="AC69" i="9"/>
  <c r="Y253" i="9"/>
  <c r="U228" i="8"/>
  <c r="AD228" i="8"/>
  <c r="Q228" i="8"/>
  <c r="Z228" i="8"/>
  <c r="V228" i="8"/>
  <c r="AE228" i="8"/>
  <c r="X228" i="8"/>
  <c r="AG228" i="8"/>
  <c r="S228" i="8"/>
  <c r="AB228" i="8"/>
  <c r="R228" i="8"/>
  <c r="AA228" i="8"/>
  <c r="W228" i="8"/>
  <c r="AF228" i="8"/>
  <c r="T228" i="8"/>
  <c r="AC228" i="8"/>
  <c r="M34" i="19"/>
  <c r="G35" i="19"/>
  <c r="K35" i="19"/>
  <c r="M35" i="19"/>
  <c r="O35" i="19"/>
  <c r="N220" i="9"/>
  <c r="T220" i="9"/>
  <c r="W138" i="8"/>
  <c r="AF138" i="8"/>
  <c r="R138" i="8"/>
  <c r="AA138" i="8"/>
  <c r="V138" i="8"/>
  <c r="AE138" i="8"/>
  <c r="S138" i="8"/>
  <c r="AB138" i="8"/>
  <c r="T138" i="8"/>
  <c r="AC138" i="8"/>
  <c r="U164" i="8"/>
  <c r="S164" i="8"/>
  <c r="R164" i="8"/>
  <c r="Q164" i="8"/>
  <c r="V164" i="8"/>
  <c r="X164" i="8"/>
  <c r="M164" i="9"/>
  <c r="Q164" i="9"/>
  <c r="N164" i="9"/>
  <c r="O164" i="9"/>
  <c r="P164" i="9"/>
  <c r="N168" i="9"/>
  <c r="P168" i="9"/>
  <c r="M168" i="9"/>
  <c r="Q168" i="9"/>
  <c r="O168" i="9"/>
  <c r="O222" i="9"/>
  <c r="U222" i="9"/>
  <c r="P222" i="9"/>
  <c r="V222" i="9"/>
  <c r="M222" i="9"/>
  <c r="S222" i="9"/>
  <c r="N222" i="9"/>
  <c r="T222" i="9"/>
  <c r="V224" i="8"/>
  <c r="AE224" i="8"/>
  <c r="U224" i="8"/>
  <c r="AD224" i="8"/>
  <c r="Q224" i="8"/>
  <c r="Z224" i="8"/>
  <c r="AC136" i="9"/>
  <c r="AC140" i="9"/>
  <c r="AA180" i="9"/>
  <c r="AA228" i="9"/>
  <c r="Z263" i="9"/>
  <c r="AJ142" i="8"/>
  <c r="M142" i="8"/>
  <c r="AC139" i="9"/>
  <c r="AC142" i="9"/>
  <c r="Y228" i="9"/>
  <c r="AC252" i="9"/>
  <c r="AC254" i="9"/>
  <c r="AC263" i="9"/>
  <c r="Z139" i="9"/>
  <c r="AA140" i="9"/>
  <c r="AA181" i="9"/>
  <c r="AC228" i="9"/>
  <c r="Z254" i="9"/>
  <c r="AK142" i="8"/>
  <c r="AN142" i="8"/>
  <c r="M212" i="8"/>
  <c r="V212" i="8"/>
  <c r="AE212" i="8"/>
  <c r="I142" i="9"/>
  <c r="Q142" i="9"/>
  <c r="W142" i="9"/>
  <c r="I178" i="9"/>
  <c r="Q178" i="9"/>
  <c r="W178" i="9"/>
  <c r="I264" i="9"/>
  <c r="W222" i="8"/>
  <c r="AF222" i="8"/>
  <c r="AO143" i="8"/>
  <c r="AJ212" i="8"/>
  <c r="AJ228" i="8"/>
  <c r="M230" i="8"/>
  <c r="V230" i="8"/>
  <c r="AE230" i="8"/>
  <c r="AA136" i="9"/>
  <c r="Z142" i="9"/>
  <c r="Y178" i="9"/>
  <c r="AA186" i="9"/>
  <c r="U222" i="8"/>
  <c r="AD222" i="8"/>
  <c r="S224" i="8"/>
  <c r="AB224" i="8"/>
  <c r="W224" i="8"/>
  <c r="AF224" i="8"/>
  <c r="AI212" i="8"/>
  <c r="M226" i="8"/>
  <c r="Q226" i="8"/>
  <c r="Z226" i="8"/>
  <c r="AK228" i="8"/>
  <c r="Y142" i="9"/>
  <c r="Z191" i="9"/>
  <c r="AN228" i="8"/>
  <c r="AA142" i="9"/>
  <c r="Z222" i="9"/>
  <c r="AB253" i="9"/>
  <c r="X222" i="8"/>
  <c r="AG222" i="8"/>
  <c r="T122" i="8"/>
  <c r="AC122" i="8"/>
  <c r="W214" i="8"/>
  <c r="R96" i="8"/>
  <c r="S214" i="8"/>
  <c r="R173" i="8"/>
  <c r="T96" i="8"/>
  <c r="V173" i="8"/>
  <c r="W122" i="8"/>
  <c r="AF122" i="8"/>
  <c r="Q214" i="8"/>
  <c r="T62" i="8"/>
  <c r="U46" i="8"/>
  <c r="AD46" i="8"/>
  <c r="R166" i="8"/>
  <c r="V135" i="8"/>
  <c r="V214" i="8"/>
  <c r="W173" i="8"/>
  <c r="Q276" i="8"/>
  <c r="W135" i="8"/>
  <c r="Q122" i="8"/>
  <c r="Z122" i="8"/>
  <c r="R214" i="8"/>
  <c r="X96" i="8"/>
  <c r="W166" i="8"/>
  <c r="R135" i="8"/>
  <c r="S173" i="8"/>
  <c r="Q166" i="8"/>
  <c r="AI224" i="8"/>
  <c r="X122" i="8"/>
  <c r="AG122" i="8"/>
  <c r="S122" i="8"/>
  <c r="AB122" i="8"/>
  <c r="X276" i="8"/>
  <c r="S166" i="8"/>
  <c r="X173" i="8"/>
  <c r="V166" i="8"/>
  <c r="U173" i="8"/>
  <c r="T268" i="8"/>
  <c r="AC268" i="8"/>
  <c r="R122" i="8"/>
  <c r="AA122" i="8"/>
  <c r="R268" i="8"/>
  <c r="AA268" i="8"/>
  <c r="Q268" i="8"/>
  <c r="Z268" i="8"/>
  <c r="V122" i="8"/>
  <c r="AE122" i="8"/>
  <c r="T65" i="8"/>
  <c r="V96" i="8"/>
  <c r="X166" i="8"/>
  <c r="T173" i="8"/>
  <c r="T166" i="8"/>
  <c r="V268" i="8"/>
  <c r="AE268" i="8"/>
  <c r="S268" i="8"/>
  <c r="AB268" i="8"/>
  <c r="U268" i="8"/>
  <c r="AD268" i="8"/>
  <c r="R276" i="8"/>
  <c r="V276" i="8"/>
  <c r="S65" i="8"/>
  <c r="W96" i="8"/>
  <c r="S276" i="8"/>
  <c r="T214" i="8"/>
  <c r="Q96" i="8"/>
  <c r="Q298" i="9"/>
  <c r="W298" i="9"/>
  <c r="Q37" i="9"/>
  <c r="W37" i="9"/>
  <c r="O232" i="9"/>
  <c r="U232" i="9"/>
  <c r="P292" i="9"/>
  <c r="M246" i="9"/>
  <c r="S246" i="9"/>
  <c r="N232" i="9"/>
  <c r="T232" i="9"/>
  <c r="Q169" i="9"/>
  <c r="W169" i="9"/>
  <c r="M109" i="9"/>
  <c r="S109" i="9"/>
  <c r="O313" i="9"/>
  <c r="Q45" i="9"/>
  <c r="N45" i="9"/>
  <c r="Q31" i="9"/>
  <c r="N33" i="9"/>
  <c r="Q46" i="9"/>
  <c r="W46" i="9"/>
  <c r="M47" i="9"/>
  <c r="S47" i="9"/>
  <c r="O162" i="9"/>
  <c r="Q214" i="9"/>
  <c r="M315" i="9"/>
  <c r="O298" i="9"/>
  <c r="U298" i="9"/>
  <c r="M298" i="9"/>
  <c r="S298" i="9"/>
  <c r="P232" i="9"/>
  <c r="V232" i="9"/>
  <c r="N266" i="9"/>
  <c r="T266" i="9"/>
  <c r="O99" i="9"/>
  <c r="U99" i="9"/>
  <c r="P169" i="9"/>
  <c r="V169" i="9"/>
  <c r="Q109" i="9"/>
  <c r="W109" i="9"/>
  <c r="O32" i="9"/>
  <c r="O198" i="9"/>
  <c r="M19" i="9"/>
  <c r="Q147" i="9"/>
  <c r="P32" i="9"/>
  <c r="Q25" i="9"/>
  <c r="N117" i="9"/>
  <c r="N129" i="9"/>
  <c r="T129" i="9"/>
  <c r="Q304" i="9"/>
  <c r="W304" i="9"/>
  <c r="P298" i="9"/>
  <c r="V298" i="9"/>
  <c r="N37" i="9"/>
  <c r="T37" i="9"/>
  <c r="N296" i="9"/>
  <c r="Q132" i="9"/>
  <c r="W132" i="9"/>
  <c r="P45" i="9"/>
  <c r="P198" i="9"/>
  <c r="Q19" i="9"/>
  <c r="M25" i="9"/>
  <c r="N62" i="9"/>
  <c r="N173" i="9"/>
  <c r="P194" i="9"/>
  <c r="N132" i="9"/>
  <c r="T132" i="9"/>
  <c r="O37" i="9"/>
  <c r="U37" i="9"/>
  <c r="P313" i="9"/>
  <c r="M310" i="9"/>
  <c r="O296" i="9"/>
  <c r="Q266" i="9"/>
  <c r="W266" i="9"/>
  <c r="M95" i="9"/>
  <c r="N109" i="9"/>
  <c r="T109" i="9"/>
  <c r="M32" i="9"/>
  <c r="M198" i="9"/>
  <c r="N19" i="9"/>
  <c r="N25" i="9"/>
  <c r="Q33" i="9"/>
  <c r="O135" i="9"/>
  <c r="O156" i="9"/>
  <c r="P296" i="9"/>
  <c r="O132" i="9"/>
  <c r="U132" i="9"/>
  <c r="M37" i="9"/>
  <c r="S37" i="9"/>
  <c r="N310" i="9"/>
  <c r="Q296" i="9"/>
  <c r="O266" i="9"/>
  <c r="U266" i="9"/>
  <c r="M132" i="9"/>
  <c r="S132" i="9"/>
  <c r="O33" i="9"/>
  <c r="O109" i="9"/>
  <c r="U109" i="9"/>
  <c r="N32" i="9"/>
  <c r="N313" i="9"/>
  <c r="Q198" i="9"/>
  <c r="P25" i="9"/>
  <c r="O165" i="9"/>
  <c r="U165" i="9"/>
  <c r="P195" i="9"/>
  <c r="Q18" i="9"/>
  <c r="P310" i="9"/>
  <c r="N292" i="9"/>
  <c r="N99" i="9"/>
  <c r="T99" i="9"/>
  <c r="M99" i="9"/>
  <c r="S99" i="9"/>
  <c r="N169" i="9"/>
  <c r="T169" i="9"/>
  <c r="N95" i="9"/>
  <c r="O147" i="9"/>
  <c r="Q313" i="9"/>
  <c r="M33" i="9"/>
  <c r="O304" i="9"/>
  <c r="U304" i="9"/>
  <c r="Q310" i="9"/>
  <c r="Q292" i="9"/>
  <c r="D147" i="9"/>
  <c r="M147" i="9"/>
  <c r="P95" i="9"/>
  <c r="N31" i="9"/>
  <c r="P66" i="9"/>
  <c r="Q29" i="8"/>
  <c r="Z29" i="8"/>
  <c r="S253" i="8"/>
  <c r="AB253" i="8"/>
  <c r="U29" i="8"/>
  <c r="AD29" i="8"/>
  <c r="X273" i="8"/>
  <c r="AG273" i="8"/>
  <c r="Q131" i="8"/>
  <c r="Z131" i="8"/>
  <c r="R131" i="8"/>
  <c r="AA131" i="8"/>
  <c r="S131" i="8"/>
  <c r="AB131" i="8"/>
  <c r="U131" i="8"/>
  <c r="AD131" i="8"/>
  <c r="Q273" i="8"/>
  <c r="Z273" i="8"/>
  <c r="V131" i="8"/>
  <c r="AE131" i="8"/>
  <c r="X289" i="8"/>
  <c r="R273" i="8"/>
  <c r="AA273" i="8"/>
  <c r="T131" i="8"/>
  <c r="AC131" i="8"/>
  <c r="W308" i="8"/>
  <c r="AK224" i="8"/>
  <c r="V273" i="8"/>
  <c r="AE273" i="8"/>
  <c r="S273" i="8"/>
  <c r="AB273" i="8"/>
  <c r="W273" i="8"/>
  <c r="AF273" i="8"/>
  <c r="X131" i="8"/>
  <c r="AG131" i="8"/>
  <c r="U273" i="8"/>
  <c r="AD273" i="8"/>
  <c r="AK220" i="8"/>
  <c r="U311" i="8"/>
  <c r="AD311" i="8"/>
  <c r="R216" i="8"/>
  <c r="AA216" i="8"/>
  <c r="Q289" i="8"/>
  <c r="R292" i="8"/>
  <c r="Q270" i="8"/>
  <c r="T44" i="8"/>
  <c r="AC44" i="8"/>
  <c r="W17" i="8"/>
  <c r="Q32" i="8"/>
  <c r="S17" i="8"/>
  <c r="W253" i="8"/>
  <c r="AF253" i="8"/>
  <c r="X308" i="8"/>
  <c r="V25" i="8"/>
  <c r="I15" i="18"/>
  <c r="I16" i="18"/>
  <c r="T216" i="8"/>
  <c r="AC216" i="8"/>
  <c r="R253" i="8"/>
  <c r="AA253" i="8"/>
  <c r="U253" i="8"/>
  <c r="AD253" i="8"/>
  <c r="U289" i="8"/>
  <c r="Q141" i="8"/>
  <c r="Z141" i="8"/>
  <c r="R270" i="8"/>
  <c r="Q25" i="8"/>
  <c r="T32" i="8"/>
  <c r="V253" i="8"/>
  <c r="AE253" i="8"/>
  <c r="X25" i="8"/>
  <c r="G147" i="8"/>
  <c r="S147" i="8"/>
  <c r="Q216" i="8"/>
  <c r="Z216" i="8"/>
  <c r="Q253" i="8"/>
  <c r="Z253" i="8"/>
  <c r="V289" i="8"/>
  <c r="V292" i="8"/>
  <c r="W270" i="8"/>
  <c r="T25" i="8"/>
  <c r="Q94" i="8"/>
  <c r="R141" i="8"/>
  <c r="AA141" i="8"/>
  <c r="R289" i="8"/>
  <c r="Q292" i="8"/>
  <c r="X141" i="8"/>
  <c r="AG141" i="8"/>
  <c r="U25" i="8"/>
  <c r="Q17" i="8"/>
  <c r="X270" i="8"/>
  <c r="W25" i="8"/>
  <c r="S289" i="8"/>
  <c r="S292" i="8"/>
  <c r="T17" i="8"/>
  <c r="T270" i="8"/>
  <c r="U17" i="8"/>
  <c r="R308" i="8"/>
  <c r="S216" i="8"/>
  <c r="AB216" i="8"/>
  <c r="W289" i="8"/>
  <c r="T292" i="8"/>
  <c r="R17" i="8"/>
  <c r="R25" i="8"/>
  <c r="V17" i="8"/>
  <c r="V308" i="8"/>
  <c r="V216" i="8"/>
  <c r="AE216" i="8"/>
  <c r="U44" i="8"/>
  <c r="AD44" i="8"/>
  <c r="X253" i="8"/>
  <c r="AG253" i="8"/>
  <c r="U292" i="8"/>
  <c r="U270" i="8"/>
  <c r="U94" i="8"/>
  <c r="S308" i="8"/>
  <c r="W100" i="8"/>
  <c r="AF100" i="8"/>
  <c r="S283" i="8"/>
  <c r="AB283" i="8"/>
  <c r="V311" i="8"/>
  <c r="AE311" i="8"/>
  <c r="U106" i="8"/>
  <c r="AD106" i="8"/>
  <c r="Q52" i="8"/>
  <c r="Z52" i="8"/>
  <c r="S100" i="8"/>
  <c r="AB100" i="8"/>
  <c r="W298" i="8"/>
  <c r="AF298" i="8"/>
  <c r="W256" i="8"/>
  <c r="AF256" i="8"/>
  <c r="V109" i="8"/>
  <c r="AE109" i="8"/>
  <c r="U109" i="8"/>
  <c r="AD109" i="8"/>
  <c r="T194" i="8"/>
  <c r="Q120" i="8"/>
  <c r="Q61" i="8"/>
  <c r="V296" i="8"/>
  <c r="V118" i="8"/>
  <c r="T61" i="8"/>
  <c r="V115" i="8"/>
  <c r="W115" i="8"/>
  <c r="V301" i="8"/>
  <c r="AE301" i="8"/>
  <c r="V162" i="8"/>
  <c r="W110" i="8"/>
  <c r="AF110" i="8"/>
  <c r="W283" i="8"/>
  <c r="AF283" i="8"/>
  <c r="U128" i="8"/>
  <c r="AD128" i="8"/>
  <c r="R311" i="8"/>
  <c r="AA311" i="8"/>
  <c r="R106" i="8"/>
  <c r="AA106" i="8"/>
  <c r="Q222" i="8"/>
  <c r="Z222" i="8"/>
  <c r="U298" i="8"/>
  <c r="AD298" i="8"/>
  <c r="R301" i="8"/>
  <c r="AA301" i="8"/>
  <c r="X227" i="8"/>
  <c r="AG227" i="8"/>
  <c r="Q138" i="8"/>
  <c r="Z138" i="8"/>
  <c r="R128" i="8"/>
  <c r="AA128" i="8"/>
  <c r="X194" i="8"/>
  <c r="T120" i="8"/>
  <c r="U61" i="8"/>
  <c r="T55" i="8"/>
  <c r="AC55" i="8"/>
  <c r="V222" i="8"/>
  <c r="AE222" i="8"/>
  <c r="R227" i="8"/>
  <c r="AA227" i="8"/>
  <c r="T156" i="8"/>
  <c r="V68" i="8"/>
  <c r="U225" i="8"/>
  <c r="AD225" i="8"/>
  <c r="X301" i="8"/>
  <c r="AG301" i="8"/>
  <c r="S109" i="8"/>
  <c r="AB109" i="8"/>
  <c r="W23" i="8"/>
  <c r="W109" i="8"/>
  <c r="AF109" i="8"/>
  <c r="R296" i="8"/>
  <c r="S110" i="8"/>
  <c r="AB110" i="8"/>
  <c r="Q283" i="8"/>
  <c r="Z283" i="8"/>
  <c r="X128" i="8"/>
  <c r="AG128" i="8"/>
  <c r="S311" i="8"/>
  <c r="AB311" i="8"/>
  <c r="R132" i="8"/>
  <c r="AA132" i="8"/>
  <c r="X298" i="8"/>
  <c r="AG298" i="8"/>
  <c r="U296" i="8"/>
  <c r="S301" i="8"/>
  <c r="AB301" i="8"/>
  <c r="S162" i="8"/>
  <c r="S194" i="8"/>
  <c r="V120" i="8"/>
  <c r="T100" i="8"/>
  <c r="AC100" i="8"/>
  <c r="W162" i="8"/>
  <c r="Q115" i="8"/>
  <c r="W68" i="8"/>
  <c r="T109" i="8"/>
  <c r="AC109" i="8"/>
  <c r="U68" i="8"/>
  <c r="X138" i="8"/>
  <c r="AG138" i="8"/>
  <c r="R115" i="8"/>
  <c r="S23" i="8"/>
  <c r="S227" i="8"/>
  <c r="AB227" i="8"/>
  <c r="U110" i="8"/>
  <c r="AD110" i="8"/>
  <c r="U283" i="8"/>
  <c r="AD283" i="8"/>
  <c r="T106" i="8"/>
  <c r="AC106" i="8"/>
  <c r="T110" i="8"/>
  <c r="AC110" i="8"/>
  <c r="U52" i="8"/>
  <c r="AD52" i="8"/>
  <c r="W128" i="8"/>
  <c r="AF128" i="8"/>
  <c r="T298" i="8"/>
  <c r="AC298" i="8"/>
  <c r="S296" i="8"/>
  <c r="W301" i="8"/>
  <c r="AF301" i="8"/>
  <c r="U23" i="8"/>
  <c r="I47" i="17"/>
  <c r="M47" i="17"/>
  <c r="Q162" i="8"/>
  <c r="R68" i="8"/>
  <c r="V23" i="8"/>
  <c r="S211" i="8"/>
  <c r="X109" i="8"/>
  <c r="AG109" i="8"/>
  <c r="X23" i="8"/>
  <c r="V110" i="8"/>
  <c r="AE110" i="8"/>
  <c r="Q100" i="8"/>
  <c r="Z100" i="8"/>
  <c r="T283" i="8"/>
  <c r="AC283" i="8"/>
  <c r="X106" i="8"/>
  <c r="AG106" i="8"/>
  <c r="V100" i="8"/>
  <c r="AE100" i="8"/>
  <c r="T132" i="8"/>
  <c r="AC132" i="8"/>
  <c r="Q298" i="8"/>
  <c r="Z298" i="8"/>
  <c r="R298" i="8"/>
  <c r="AA298" i="8"/>
  <c r="T227" i="8"/>
  <c r="AC227" i="8"/>
  <c r="V256" i="8"/>
  <c r="AE256" i="8"/>
  <c r="V160" i="8"/>
  <c r="T115" i="8"/>
  <c r="Q194" i="8"/>
  <c r="S120" i="8"/>
  <c r="U162" i="8"/>
  <c r="Q68" i="8"/>
  <c r="S298" i="8"/>
  <c r="AB298" i="8"/>
  <c r="T225" i="8"/>
  <c r="AC225" i="8"/>
  <c r="R162" i="8"/>
  <c r="Q227" i="8"/>
  <c r="Z227" i="8"/>
  <c r="W276" i="8"/>
  <c r="R100" i="8"/>
  <c r="AA100" i="8"/>
  <c r="R52" i="8"/>
  <c r="AA52" i="8"/>
  <c r="X68" i="8"/>
  <c r="W194" i="8"/>
  <c r="V52" i="8"/>
  <c r="AE52" i="8"/>
  <c r="X120" i="8"/>
  <c r="V61" i="8"/>
  <c r="X115" i="8"/>
  <c r="U138" i="8"/>
  <c r="AD138" i="8"/>
  <c r="S132" i="8"/>
  <c r="AB132" i="8"/>
  <c r="U120" i="8"/>
  <c r="U312" i="8"/>
  <c r="P94" i="9"/>
  <c r="M94" i="9"/>
  <c r="O94" i="9"/>
  <c r="N94" i="9"/>
  <c r="Q94" i="9"/>
  <c r="P231" i="9"/>
  <c r="V231" i="9"/>
  <c r="O231" i="9"/>
  <c r="U231" i="9"/>
  <c r="N231" i="9"/>
  <c r="T231" i="9"/>
  <c r="M231" i="9"/>
  <c r="S231" i="9"/>
  <c r="P128" i="9"/>
  <c r="V128" i="9"/>
  <c r="O128" i="9"/>
  <c r="U128" i="9"/>
  <c r="N128" i="9"/>
  <c r="T128" i="9"/>
  <c r="M128" i="9"/>
  <c r="S128" i="9"/>
  <c r="Q128" i="9"/>
  <c r="W128" i="9"/>
  <c r="O82" i="9"/>
  <c r="U82" i="9"/>
  <c r="N167" i="9"/>
  <c r="Q167" i="9"/>
  <c r="P167" i="9"/>
  <c r="O167" i="9"/>
  <c r="Q222" i="9"/>
  <c r="W222" i="9"/>
  <c r="AC222" i="9"/>
  <c r="M245" i="9"/>
  <c r="S245" i="9"/>
  <c r="O245" i="9"/>
  <c r="U245" i="9"/>
  <c r="P245" i="9"/>
  <c r="V245" i="9"/>
  <c r="N245" i="9"/>
  <c r="T245" i="9"/>
  <c r="Q270" i="9"/>
  <c r="P270" i="9"/>
  <c r="M270" i="9"/>
  <c r="O270" i="9"/>
  <c r="N270" i="9"/>
  <c r="N23" i="9"/>
  <c r="M23" i="9"/>
  <c r="P23" i="9"/>
  <c r="Q193" i="9"/>
  <c r="N193" i="9"/>
  <c r="P289" i="9"/>
  <c r="O289" i="9"/>
  <c r="N289" i="9"/>
  <c r="O104" i="9"/>
  <c r="Q20" i="9"/>
  <c r="O20" i="9"/>
  <c r="N20" i="9"/>
  <c r="M20" i="9"/>
  <c r="O78" i="9"/>
  <c r="U78" i="9"/>
  <c r="M78" i="9"/>
  <c r="S78" i="9"/>
  <c r="Q78" i="9"/>
  <c r="W78" i="9"/>
  <c r="O115" i="9"/>
  <c r="N115" i="9"/>
  <c r="Q115" i="9"/>
  <c r="P115" i="9"/>
  <c r="M191" i="9"/>
  <c r="S191" i="9"/>
  <c r="Q75" i="9"/>
  <c r="W75" i="9"/>
  <c r="M75" i="9"/>
  <c r="S75" i="9"/>
  <c r="Q159" i="9"/>
  <c r="M159" i="9"/>
  <c r="O159" i="9"/>
  <c r="P159" i="9"/>
  <c r="N159" i="9"/>
  <c r="M189" i="9"/>
  <c r="P189" i="9"/>
  <c r="O189" i="9"/>
  <c r="Q314" i="9"/>
  <c r="M314" i="9"/>
  <c r="N29" i="9"/>
  <c r="T29" i="9"/>
  <c r="O29" i="9"/>
  <c r="U29" i="9"/>
  <c r="Q53" i="9"/>
  <c r="N53" i="9"/>
  <c r="P53" i="9"/>
  <c r="M53" i="9"/>
  <c r="M114" i="9"/>
  <c r="Q114" i="9"/>
  <c r="N114" i="9"/>
  <c r="O114" i="9"/>
  <c r="P114" i="9"/>
  <c r="M279" i="9"/>
  <c r="Q311" i="9"/>
  <c r="W311" i="9"/>
  <c r="P299" i="9"/>
  <c r="O312" i="9"/>
  <c r="O315" i="9"/>
  <c r="N49" i="9"/>
  <c r="T49" i="9"/>
  <c r="M308" i="9"/>
  <c r="P312" i="9"/>
  <c r="O18" i="9"/>
  <c r="O19" i="9"/>
  <c r="Q121" i="9"/>
  <c r="Q315" i="9"/>
  <c r="N18" i="9"/>
  <c r="S235" i="8"/>
  <c r="AB235" i="8"/>
  <c r="U274" i="8"/>
  <c r="AD274" i="8"/>
  <c r="W306" i="8"/>
  <c r="AF306" i="8"/>
  <c r="Q170" i="8"/>
  <c r="Z170" i="8"/>
  <c r="U306" i="8"/>
  <c r="AD306" i="8"/>
  <c r="X235" i="8"/>
  <c r="AG235" i="8"/>
  <c r="S198" i="8"/>
  <c r="R251" i="8"/>
  <c r="Q198" i="8"/>
  <c r="V65" i="8"/>
  <c r="T265" i="8"/>
  <c r="Q21" i="8"/>
  <c r="V129" i="8"/>
  <c r="AE129" i="8"/>
  <c r="T95" i="8"/>
  <c r="R65" i="8"/>
  <c r="V114" i="8"/>
  <c r="X78" i="8"/>
  <c r="AG78" i="8"/>
  <c r="S21" i="8"/>
  <c r="T235" i="8"/>
  <c r="AC235" i="8"/>
  <c r="X274" i="8"/>
  <c r="AG274" i="8"/>
  <c r="S306" i="8"/>
  <c r="AB306" i="8"/>
  <c r="W170" i="8"/>
  <c r="AF170" i="8"/>
  <c r="S56" i="8"/>
  <c r="AB56" i="8"/>
  <c r="S170" i="8"/>
  <c r="AB170" i="8"/>
  <c r="V251" i="8"/>
  <c r="S251" i="8"/>
  <c r="X170" i="8"/>
  <c r="AG170" i="8"/>
  <c r="R265" i="8"/>
  <c r="X114" i="8"/>
  <c r="X95" i="8"/>
  <c r="T21" i="8"/>
  <c r="R21" i="8"/>
  <c r="T141" i="8"/>
  <c r="AC141" i="8"/>
  <c r="S114" i="8"/>
  <c r="U65" i="8"/>
  <c r="U261" i="8"/>
  <c r="AD261" i="8"/>
  <c r="W78" i="8"/>
  <c r="AF78" i="8"/>
  <c r="W21" i="8"/>
  <c r="X21" i="8"/>
  <c r="U308" i="8"/>
  <c r="V235" i="8"/>
  <c r="AE235" i="8"/>
  <c r="V170" i="8"/>
  <c r="AE170" i="8"/>
  <c r="T274" i="8"/>
  <c r="AC274" i="8"/>
  <c r="Q278" i="8"/>
  <c r="Q251" i="8"/>
  <c r="S265" i="8"/>
  <c r="M126" i="16"/>
  <c r="V21" i="8"/>
  <c r="U297" i="8"/>
  <c r="X65" i="8"/>
  <c r="R198" i="8"/>
  <c r="U114" i="8"/>
  <c r="R95" i="8"/>
  <c r="T170" i="8"/>
  <c r="AC170" i="8"/>
  <c r="T56" i="8"/>
  <c r="AC56" i="8"/>
  <c r="R189" i="8"/>
  <c r="T251" i="8"/>
  <c r="W265" i="8"/>
  <c r="W114" i="8"/>
  <c r="S129" i="8"/>
  <c r="AB129" i="8"/>
  <c r="V141" i="8"/>
  <c r="AE141" i="8"/>
  <c r="Q95" i="8"/>
  <c r="W235" i="8"/>
  <c r="AF235" i="8"/>
  <c r="U170" i="8"/>
  <c r="AD170" i="8"/>
  <c r="W56" i="8"/>
  <c r="AF56" i="8"/>
  <c r="V56" i="8"/>
  <c r="AE56" i="8"/>
  <c r="X265" i="8"/>
  <c r="R78" i="8"/>
  <c r="AA78" i="8"/>
  <c r="W198" i="8"/>
  <c r="W95" i="8"/>
  <c r="Q235" i="8"/>
  <c r="Z235" i="8"/>
  <c r="T306" i="8"/>
  <c r="AC306" i="8"/>
  <c r="R306" i="8"/>
  <c r="AA306" i="8"/>
  <c r="U56" i="8"/>
  <c r="AD56" i="8"/>
  <c r="S274" i="8"/>
  <c r="AB274" i="8"/>
  <c r="R56" i="8"/>
  <c r="AA56" i="8"/>
  <c r="U198" i="8"/>
  <c r="Q265" i="8"/>
  <c r="R114" i="8"/>
  <c r="V78" i="8"/>
  <c r="AE78" i="8"/>
  <c r="S95" i="8"/>
  <c r="W141" i="8"/>
  <c r="AF141" i="8"/>
  <c r="Q306" i="8"/>
  <c r="Z306" i="8"/>
  <c r="Q56" i="8"/>
  <c r="Z56" i="8"/>
  <c r="R274" i="8"/>
  <c r="AA274" i="8"/>
  <c r="W251" i="8"/>
  <c r="U141" i="8"/>
  <c r="AD141" i="8"/>
  <c r="S78" i="8"/>
  <c r="AB78" i="8"/>
  <c r="U95" i="8"/>
  <c r="W65" i="8"/>
  <c r="M6" i="7"/>
  <c r="D6" i="7"/>
  <c r="E6" i="7"/>
  <c r="E6" i="5"/>
  <c r="D17" i="15"/>
  <c r="I17" i="15"/>
  <c r="D15" i="15"/>
  <c r="I15" i="15"/>
  <c r="D10" i="15"/>
  <c r="I10" i="15"/>
  <c r="I8" i="15"/>
  <c r="H12" i="6"/>
  <c r="H17" i="6"/>
  <c r="E4" i="5"/>
  <c r="D11" i="15"/>
  <c r="I11" i="15"/>
  <c r="C4" i="5"/>
  <c r="AH72" i="12"/>
  <c r="AI72" i="12"/>
  <c r="AH63" i="12"/>
  <c r="AP63" i="12"/>
  <c r="AJ38" i="12"/>
  <c r="AL17" i="12"/>
  <c r="AG66" i="12"/>
  <c r="AL9" i="12"/>
  <c r="AL73" i="12"/>
  <c r="AK30" i="12"/>
  <c r="AS30" i="12"/>
  <c r="AF51" i="12"/>
  <c r="AN51" i="12"/>
  <c r="AH53" i="12"/>
  <c r="AP53" i="12"/>
  <c r="AL70" i="12"/>
  <c r="AT70" i="12"/>
  <c r="AH43" i="12"/>
  <c r="AP43" i="12"/>
  <c r="AJ72" i="12"/>
  <c r="AK63" i="12"/>
  <c r="AS63" i="12"/>
  <c r="AK38" i="12"/>
  <c r="AF11" i="12"/>
  <c r="AH66" i="12"/>
  <c r="AJ70" i="12"/>
  <c r="AR70" i="12"/>
  <c r="AH70" i="12"/>
  <c r="AP70" i="12"/>
  <c r="AG17" i="12"/>
  <c r="AK70" i="12"/>
  <c r="AS70" i="12"/>
  <c r="AH74" i="12"/>
  <c r="AP74" i="12"/>
  <c r="AL72" i="12"/>
  <c r="AF63" i="12"/>
  <c r="AN63" i="12"/>
  <c r="AJ63" i="12"/>
  <c r="AR63" i="12"/>
  <c r="AL30" i="12"/>
  <c r="AT30" i="12"/>
  <c r="AK9" i="12"/>
  <c r="AH11" i="12"/>
  <c r="AJ66" i="12"/>
  <c r="AG73" i="12"/>
  <c r="AI30" i="12"/>
  <c r="AQ30" i="12"/>
  <c r="AG72" i="12"/>
  <c r="AK43" i="12"/>
  <c r="AS43" i="12"/>
  <c r="AF70" i="12"/>
  <c r="AN70" i="12"/>
  <c r="AK11" i="12"/>
  <c r="AJ59" i="12"/>
  <c r="AK18" i="12"/>
  <c r="AK34" i="12"/>
  <c r="AS34" i="12"/>
  <c r="AF23" i="12"/>
  <c r="AL23" i="12"/>
  <c r="AL63" i="12"/>
  <c r="AT63" i="12"/>
  <c r="AG38" i="12"/>
  <c r="AF73" i="12"/>
  <c r="AJ11" i="12"/>
  <c r="AH73" i="12"/>
  <c r="AG70" i="12"/>
  <c r="AO70" i="12"/>
  <c r="AJ23" i="12"/>
  <c r="AI23" i="12"/>
  <c r="AF34" i="12"/>
  <c r="AN34" i="12"/>
  <c r="AG59" i="12"/>
  <c r="AK53" i="12"/>
  <c r="AS53" i="12"/>
  <c r="AL53" i="12"/>
  <c r="AT53" i="12"/>
  <c r="AI34" i="12"/>
  <c r="AQ34" i="12"/>
  <c r="AI74" i="12"/>
  <c r="AQ74" i="12"/>
  <c r="AH38" i="12"/>
  <c r="AH17" i="12"/>
  <c r="AG9" i="12"/>
  <c r="AH9" i="12"/>
  <c r="AI73" i="12"/>
  <c r="AH30" i="12"/>
  <c r="AP30" i="12"/>
  <c r="AF9" i="12"/>
  <c r="AF17" i="12"/>
  <c r="AL34" i="12"/>
  <c r="AT34" i="12"/>
  <c r="AJ43" i="12"/>
  <c r="AR43" i="12"/>
  <c r="AH59" i="12"/>
  <c r="AF74" i="12"/>
  <c r="AN74" i="12"/>
  <c r="AF43" i="12"/>
  <c r="AN43" i="12"/>
  <c r="AF15" i="12"/>
  <c r="AJ74" i="12"/>
  <c r="AR74" i="12"/>
  <c r="AL15" i="12"/>
  <c r="AI17" i="12"/>
  <c r="AF30" i="12"/>
  <c r="AN30" i="12"/>
  <c r="AL66" i="12"/>
  <c r="AJ30" i="12"/>
  <c r="AR30" i="12"/>
  <c r="AK15" i="12"/>
  <c r="AH15" i="12"/>
  <c r="AF75" i="12"/>
  <c r="S237" i="8"/>
  <c r="AB237" i="8"/>
  <c r="T297" i="8"/>
  <c r="X278" i="8"/>
  <c r="S160" i="8"/>
  <c r="S94" i="8"/>
  <c r="W297" i="8"/>
  <c r="X211" i="8"/>
  <c r="R62" i="8"/>
  <c r="V121" i="8"/>
  <c r="W47" i="8"/>
  <c r="AF47" i="8"/>
  <c r="R20" i="8"/>
  <c r="X160" i="8"/>
  <c r="S278" i="8"/>
  <c r="X312" i="8"/>
  <c r="X248" i="8"/>
  <c r="AG248" i="8"/>
  <c r="V245" i="8"/>
  <c r="AE245" i="8"/>
  <c r="R278" i="8"/>
  <c r="X245" i="8"/>
  <c r="AG245" i="8"/>
  <c r="R160" i="8"/>
  <c r="U62" i="8"/>
  <c r="W35" i="8"/>
  <c r="AF35" i="8"/>
  <c r="T157" i="8"/>
  <c r="X94" i="8"/>
  <c r="W94" i="8"/>
  <c r="Q35" i="8"/>
  <c r="Z35" i="8"/>
  <c r="V47" i="8"/>
  <c r="AE47" i="8"/>
  <c r="S266" i="8"/>
  <c r="AB266" i="8"/>
  <c r="R121" i="8"/>
  <c r="S47" i="8"/>
  <c r="AB47" i="8"/>
  <c r="X20" i="8"/>
  <c r="T276" i="8"/>
  <c r="U108" i="8"/>
  <c r="AD108" i="8"/>
  <c r="T248" i="8"/>
  <c r="AC248" i="8"/>
  <c r="U266" i="8"/>
  <c r="AD266" i="8"/>
  <c r="V297" i="8"/>
  <c r="W278" i="8"/>
  <c r="U245" i="8"/>
  <c r="AD245" i="8"/>
  <c r="W62" i="8"/>
  <c r="X35" i="8"/>
  <c r="AG35" i="8"/>
  <c r="W157" i="8"/>
  <c r="T35" i="8"/>
  <c r="AC35" i="8"/>
  <c r="X225" i="8"/>
  <c r="AG225" i="8"/>
  <c r="X62" i="8"/>
  <c r="U121" i="8"/>
  <c r="U47" i="8"/>
  <c r="AD47" i="8"/>
  <c r="V211" i="8"/>
  <c r="W20" i="8"/>
  <c r="Q248" i="8"/>
  <c r="Z248" i="8"/>
  <c r="R248" i="8"/>
  <c r="AA248" i="8"/>
  <c r="T278" i="8"/>
  <c r="T211" i="8"/>
  <c r="Q62" i="8"/>
  <c r="V35" i="8"/>
  <c r="AE35" i="8"/>
  <c r="S20" i="8"/>
  <c r="U157" i="8"/>
  <c r="G69" i="19"/>
  <c r="K69" i="19"/>
  <c r="K70" i="19"/>
  <c r="U20" i="8"/>
  <c r="T121" i="8"/>
  <c r="AN86" i="8"/>
  <c r="Q308" i="8"/>
  <c r="V248" i="8"/>
  <c r="AE248" i="8"/>
  <c r="U278" i="8"/>
  <c r="W225" i="8"/>
  <c r="AF225" i="8"/>
  <c r="W266" i="8"/>
  <c r="AF266" i="8"/>
  <c r="R211" i="8"/>
  <c r="AO222" i="8"/>
  <c r="V20" i="8"/>
  <c r="X157" i="8"/>
  <c r="S35" i="8"/>
  <c r="AB35" i="8"/>
  <c r="V62" i="8"/>
  <c r="R225" i="8"/>
  <c r="AA225" i="8"/>
  <c r="Q47" i="8"/>
  <c r="Z47" i="8"/>
  <c r="T245" i="8"/>
  <c r="AC245" i="8"/>
  <c r="Q225" i="8"/>
  <c r="Z225" i="8"/>
  <c r="X266" i="8"/>
  <c r="AG266" i="8"/>
  <c r="U211" i="8"/>
  <c r="X47" i="8"/>
  <c r="AG47" i="8"/>
  <c r="Q157" i="8"/>
  <c r="U35" i="8"/>
  <c r="AD35" i="8"/>
  <c r="V225" i="8"/>
  <c r="AE225" i="8"/>
  <c r="T160" i="8"/>
  <c r="W160" i="8"/>
  <c r="X297" i="8"/>
  <c r="W248" i="8"/>
  <c r="AF248" i="8"/>
  <c r="S297" i="8"/>
  <c r="Q266" i="8"/>
  <c r="Z266" i="8"/>
  <c r="X121" i="8"/>
  <c r="R157" i="8"/>
  <c r="R94" i="8"/>
  <c r="T94" i="8"/>
  <c r="R297" i="8"/>
  <c r="Q211" i="8"/>
  <c r="T312" i="8"/>
  <c r="AY8" i="12"/>
  <c r="BB8" i="12"/>
  <c r="AK64" i="12"/>
  <c r="AS64" i="12"/>
  <c r="AF41" i="12"/>
  <c r="AL64" i="12"/>
  <c r="AT64" i="12"/>
  <c r="AG26" i="12"/>
  <c r="AO26" i="12"/>
  <c r="AH35" i="12"/>
  <c r="AG22" i="12"/>
  <c r="AJ26" i="12"/>
  <c r="AR26" i="12"/>
  <c r="E8" i="12"/>
  <c r="AL22" i="12"/>
  <c r="AG34" i="12"/>
  <c r="AO34" i="12"/>
  <c r="AG41" i="12"/>
  <c r="AI64" i="12"/>
  <c r="AQ64" i="12"/>
  <c r="AK41" i="12"/>
  <c r="AI26" i="12"/>
  <c r="AQ26" i="12"/>
  <c r="AJ35" i="12"/>
  <c r="AJ22" i="12"/>
  <c r="AG23" i="12"/>
  <c r="AH36" i="12"/>
  <c r="AH23" i="12"/>
  <c r="AI36" i="12"/>
  <c r="AJ64" i="12"/>
  <c r="AR64" i="12"/>
  <c r="AF35" i="12"/>
  <c r="M8" i="12"/>
  <c r="AG27" i="12"/>
  <c r="AO27" i="12"/>
  <c r="AH40" i="12"/>
  <c r="AK35" i="12"/>
  <c r="AJ41" i="12"/>
  <c r="AG51" i="12"/>
  <c r="AO51" i="12"/>
  <c r="AJ29" i="12"/>
  <c r="AR29" i="12"/>
  <c r="AH64" i="12"/>
  <c r="AP64" i="12"/>
  <c r="AG64" i="12"/>
  <c r="AO64" i="12"/>
  <c r="AK26" i="12"/>
  <c r="AS26" i="12"/>
  <c r="AF26" i="12"/>
  <c r="AN26" i="12"/>
  <c r="AL35" i="12"/>
  <c r="AH26" i="12"/>
  <c r="AP26" i="12"/>
  <c r="AH41" i="12"/>
  <c r="AK22" i="12"/>
  <c r="AI22" i="12"/>
  <c r="V187" i="8"/>
  <c r="AE187" i="8"/>
  <c r="X189" i="8"/>
  <c r="Q241" i="8"/>
  <c r="Z241" i="8"/>
  <c r="T93" i="8"/>
  <c r="U257" i="8"/>
  <c r="W195" i="8"/>
  <c r="X187" i="8"/>
  <c r="AG187" i="8"/>
  <c r="T165" i="8"/>
  <c r="AC165" i="8"/>
  <c r="U182" i="8"/>
  <c r="X152" i="8"/>
  <c r="T46" i="8"/>
  <c r="AC46" i="8"/>
  <c r="R165" i="8"/>
  <c r="AA165" i="8"/>
  <c r="S19" i="8"/>
  <c r="T182" i="8"/>
  <c r="Q50" i="8"/>
  <c r="Z50" i="8"/>
  <c r="W246" i="8"/>
  <c r="AF246" i="8"/>
  <c r="V101" i="8"/>
  <c r="AE101" i="8"/>
  <c r="U246" i="8"/>
  <c r="AD246" i="8"/>
  <c r="U187" i="8"/>
  <c r="AD187" i="8"/>
  <c r="U93" i="8"/>
  <c r="S257" i="8"/>
  <c r="Q195" i="8"/>
  <c r="Q187" i="8"/>
  <c r="Z187" i="8"/>
  <c r="V19" i="8"/>
  <c r="Q165" i="8"/>
  <c r="Z165" i="8"/>
  <c r="V93" i="8"/>
  <c r="S50" i="8"/>
  <c r="AB50" i="8"/>
  <c r="X246" i="8"/>
  <c r="AG246" i="8"/>
  <c r="Q246" i="8"/>
  <c r="Z246" i="8"/>
  <c r="W93" i="8"/>
  <c r="V182" i="8"/>
  <c r="Q19" i="8"/>
  <c r="T189" i="8"/>
  <c r="V165" i="8"/>
  <c r="AE165" i="8"/>
  <c r="Q189" i="8"/>
  <c r="S165" i="8"/>
  <c r="AB165" i="8"/>
  <c r="T50" i="8"/>
  <c r="AC50" i="8"/>
  <c r="R246" i="8"/>
  <c r="AA246" i="8"/>
  <c r="R152" i="8"/>
  <c r="R46" i="8"/>
  <c r="AA46" i="8"/>
  <c r="Q93" i="8"/>
  <c r="W257" i="8"/>
  <c r="T195" i="8"/>
  <c r="T187" i="8"/>
  <c r="AC187" i="8"/>
  <c r="Q182" i="8"/>
  <c r="T19" i="8"/>
  <c r="U189" i="8"/>
  <c r="S182" i="8"/>
  <c r="X165" i="8"/>
  <c r="AG165" i="8"/>
  <c r="S189" i="8"/>
  <c r="U50" i="8"/>
  <c r="AD50" i="8"/>
  <c r="AO224" i="8"/>
  <c r="U152" i="8"/>
  <c r="T152" i="8"/>
  <c r="S93" i="8"/>
  <c r="Q257" i="8"/>
  <c r="V195" i="8"/>
  <c r="V189" i="8"/>
  <c r="X182" i="8"/>
  <c r="W165" i="8"/>
  <c r="AF165" i="8"/>
  <c r="S312" i="8"/>
  <c r="T246" i="8"/>
  <c r="AC246" i="8"/>
  <c r="R50" i="8"/>
  <c r="AA50" i="8"/>
  <c r="W187" i="8"/>
  <c r="AF187" i="8"/>
  <c r="S46" i="8"/>
  <c r="AB46" i="8"/>
  <c r="R257" i="8"/>
  <c r="R195" i="8"/>
  <c r="W152" i="8"/>
  <c r="Q152" i="8"/>
  <c r="V169" i="8"/>
  <c r="AE169" i="8"/>
  <c r="X50" i="8"/>
  <c r="AG50" i="8"/>
  <c r="T224" i="8"/>
  <c r="AC224" i="8"/>
  <c r="V152" i="8"/>
  <c r="U19" i="8"/>
  <c r="R187" i="8"/>
  <c r="AA187" i="8"/>
  <c r="T257" i="8"/>
  <c r="S195" i="8"/>
  <c r="W19" i="8"/>
  <c r="W182" i="8"/>
  <c r="R19" i="8"/>
  <c r="T258" i="8"/>
  <c r="AC258" i="8"/>
  <c r="R258" i="8"/>
  <c r="AA258" i="8"/>
  <c r="S258" i="8"/>
  <c r="AB258" i="8"/>
  <c r="X258" i="8"/>
  <c r="AG258" i="8"/>
  <c r="Q147" i="8"/>
  <c r="X147" i="8"/>
  <c r="U147" i="8"/>
  <c r="AJ224" i="8"/>
  <c r="R224" i="8"/>
  <c r="AA224" i="8"/>
  <c r="V99" i="8"/>
  <c r="AE99" i="8"/>
  <c r="Q99" i="8"/>
  <c r="Z99" i="8"/>
  <c r="W99" i="8"/>
  <c r="AF99" i="8"/>
  <c r="W119" i="8"/>
  <c r="Q119" i="8"/>
  <c r="S119" i="8"/>
  <c r="V119" i="8"/>
  <c r="U119" i="8"/>
  <c r="X119" i="8"/>
  <c r="T119" i="8"/>
  <c r="U99" i="8"/>
  <c r="AD99" i="8"/>
  <c r="R119" i="8"/>
  <c r="R107" i="8"/>
  <c r="AA107" i="8"/>
  <c r="R147" i="8"/>
  <c r="Q258" i="8"/>
  <c r="Z258" i="8"/>
  <c r="Q60" i="8"/>
  <c r="X60" i="8"/>
  <c r="W60" i="8"/>
  <c r="U60" i="8"/>
  <c r="S60" i="8"/>
  <c r="T60" i="8"/>
  <c r="V60" i="8"/>
  <c r="AN69" i="8"/>
  <c r="U258" i="8"/>
  <c r="AD258" i="8"/>
  <c r="S99" i="8"/>
  <c r="AB99" i="8"/>
  <c r="X267" i="8"/>
  <c r="AG267" i="8"/>
  <c r="R267" i="8"/>
  <c r="AA267" i="8"/>
  <c r="Q267" i="8"/>
  <c r="Z267" i="8"/>
  <c r="S267" i="8"/>
  <c r="AB267" i="8"/>
  <c r="V267" i="8"/>
  <c r="AE267" i="8"/>
  <c r="W267" i="8"/>
  <c r="AF267" i="8"/>
  <c r="T267" i="8"/>
  <c r="AC267" i="8"/>
  <c r="U267" i="8"/>
  <c r="AD267" i="8"/>
  <c r="U127" i="8"/>
  <c r="AD127" i="8"/>
  <c r="W127" i="8"/>
  <c r="AF127" i="8"/>
  <c r="T127" i="8"/>
  <c r="AC127" i="8"/>
  <c r="R127" i="8"/>
  <c r="AA127" i="8"/>
  <c r="Q127" i="8"/>
  <c r="Z127" i="8"/>
  <c r="S127" i="8"/>
  <c r="AB127" i="8"/>
  <c r="V127" i="8"/>
  <c r="AE127" i="8"/>
  <c r="X127" i="8"/>
  <c r="AG127" i="8"/>
  <c r="S55" i="8"/>
  <c r="AB55" i="8"/>
  <c r="W55" i="8"/>
  <c r="AF55" i="8"/>
  <c r="X55" i="8"/>
  <c r="AG55" i="8"/>
  <c r="R55" i="8"/>
  <c r="AA55" i="8"/>
  <c r="Q55" i="8"/>
  <c r="Z55" i="8"/>
  <c r="V55" i="8"/>
  <c r="AE55" i="8"/>
  <c r="AK304" i="8"/>
  <c r="T310" i="8"/>
  <c r="V310" i="8"/>
  <c r="U310" i="8"/>
  <c r="W310" i="8"/>
  <c r="S310" i="8"/>
  <c r="X310" i="8"/>
  <c r="T99" i="8"/>
  <c r="AC99" i="8"/>
  <c r="X311" i="8"/>
  <c r="AG311" i="8"/>
  <c r="Q311" i="8"/>
  <c r="Z311" i="8"/>
  <c r="R16" i="8"/>
  <c r="W16" i="8"/>
  <c r="T16" i="8"/>
  <c r="X16" i="8"/>
  <c r="U16" i="8"/>
  <c r="V16" i="8"/>
  <c r="Q16" i="8"/>
  <c r="R24" i="8"/>
  <c r="V24" i="8"/>
  <c r="X24" i="8"/>
  <c r="W24" i="8"/>
  <c r="S24" i="8"/>
  <c r="T24" i="8"/>
  <c r="Q24" i="8"/>
  <c r="U24" i="8"/>
  <c r="Q299" i="8"/>
  <c r="R299" i="8"/>
  <c r="W299" i="8"/>
  <c r="S299" i="8"/>
  <c r="V299" i="8"/>
  <c r="U299" i="8"/>
  <c r="T299" i="8"/>
  <c r="X299" i="8"/>
  <c r="V258" i="8"/>
  <c r="AE258" i="8"/>
  <c r="X99" i="8"/>
  <c r="AG99" i="8"/>
  <c r="AJ220" i="8"/>
  <c r="R288" i="8"/>
  <c r="AA288" i="8"/>
  <c r="X288" i="8"/>
  <c r="AG288" i="8"/>
  <c r="U288" i="8"/>
  <c r="AD288" i="8"/>
  <c r="W288" i="8"/>
  <c r="AF288" i="8"/>
  <c r="T288" i="8"/>
  <c r="AC288" i="8"/>
  <c r="S288" i="8"/>
  <c r="AB288" i="8"/>
  <c r="Q288" i="8"/>
  <c r="Z288" i="8"/>
  <c r="W260" i="8"/>
  <c r="AF260" i="8"/>
  <c r="Q260" i="8"/>
  <c r="Z260" i="8"/>
  <c r="S260" i="8"/>
  <c r="AB260" i="8"/>
  <c r="U260" i="8"/>
  <c r="AD260" i="8"/>
  <c r="T260" i="8"/>
  <c r="AC260" i="8"/>
  <c r="R260" i="8"/>
  <c r="AA260" i="8"/>
  <c r="S87" i="8"/>
  <c r="W296" i="8"/>
  <c r="Q312" i="8"/>
  <c r="V312" i="8"/>
  <c r="X198" i="8"/>
  <c r="X93" i="8"/>
  <c r="U79" i="8"/>
  <c r="W79" i="8"/>
  <c r="Q79" i="8"/>
  <c r="V79" i="8"/>
  <c r="S79" i="8"/>
  <c r="X79" i="8"/>
  <c r="R79" i="8"/>
  <c r="T79" i="8"/>
  <c r="S104" i="8"/>
  <c r="R104" i="8"/>
  <c r="T104" i="8"/>
  <c r="Q104" i="8"/>
  <c r="W104" i="8"/>
  <c r="V104" i="8"/>
  <c r="X104" i="8"/>
  <c r="U104" i="8"/>
  <c r="AM220" i="8"/>
  <c r="AL222" i="8"/>
  <c r="T222" i="8"/>
  <c r="AC222" i="8"/>
  <c r="Q221" i="8"/>
  <c r="Z221" i="8"/>
  <c r="R221" i="8"/>
  <c r="AA221" i="8"/>
  <c r="AP224" i="8"/>
  <c r="X224" i="8"/>
  <c r="AG224" i="8"/>
  <c r="T105" i="8"/>
  <c r="AC105" i="8"/>
  <c r="S105" i="8"/>
  <c r="AB105" i="8"/>
  <c r="R105" i="8"/>
  <c r="AA105" i="8"/>
  <c r="X116" i="8"/>
  <c r="AG116" i="8"/>
  <c r="S116" i="8"/>
  <c r="AB116" i="8"/>
  <c r="R180" i="8"/>
  <c r="AA180" i="8"/>
  <c r="S180" i="8"/>
  <c r="AB180" i="8"/>
  <c r="R32" i="8"/>
  <c r="X32" i="8"/>
  <c r="V32" i="8"/>
  <c r="S32" i="8"/>
  <c r="W32" i="8"/>
  <c r="AM304" i="8"/>
  <c r="X105" i="8"/>
  <c r="AG105" i="8"/>
  <c r="V147" i="8"/>
  <c r="U156" i="8"/>
  <c r="X156" i="8"/>
  <c r="Q156" i="8"/>
  <c r="V156" i="8"/>
  <c r="R156" i="8"/>
  <c r="W147" i="8"/>
  <c r="W46" i="8"/>
  <c r="AF46" i="8"/>
  <c r="V46" i="8"/>
  <c r="AE46" i="8"/>
  <c r="X46" i="8"/>
  <c r="AG46" i="8"/>
  <c r="T147" i="8"/>
  <c r="T130" i="8"/>
  <c r="AC130" i="8"/>
  <c r="U135" i="8"/>
  <c r="T135" i="8"/>
  <c r="S135" i="8"/>
  <c r="Q135" i="8"/>
  <c r="S277" i="8"/>
  <c r="W277" i="8"/>
  <c r="T277" i="8"/>
  <c r="R277" i="8"/>
  <c r="X277" i="8"/>
  <c r="V277" i="8"/>
  <c r="U277" i="8"/>
  <c r="Q277" i="8"/>
  <c r="U22" i="8"/>
  <c r="S22" i="8"/>
  <c r="V168" i="8"/>
  <c r="W168" i="8"/>
  <c r="Q168" i="8"/>
  <c r="X168" i="8"/>
  <c r="R222" i="8"/>
  <c r="AA222" i="8"/>
  <c r="AJ222" i="8"/>
  <c r="R118" i="8"/>
  <c r="S118" i="8"/>
  <c r="T118" i="8"/>
  <c r="X118" i="8"/>
  <c r="W164" i="8"/>
  <c r="T164" i="8"/>
  <c r="Q103" i="8"/>
  <c r="T198" i="8"/>
  <c r="V188" i="8"/>
  <c r="R310" i="8"/>
  <c r="R312" i="8"/>
  <c r="X103" i="8"/>
  <c r="S188" i="8"/>
  <c r="N146" i="10"/>
  <c r="Q146" i="10"/>
  <c r="U115" i="10"/>
  <c r="N57" i="10"/>
  <c r="J115" i="10"/>
  <c r="O115" i="10"/>
  <c r="R115" i="10"/>
  <c r="N189" i="10"/>
  <c r="K116" i="10"/>
  <c r="N72" i="10"/>
  <c r="T115" i="10"/>
  <c r="N65" i="10"/>
  <c r="O96" i="10"/>
  <c r="N29" i="10"/>
  <c r="N22" i="10"/>
  <c r="Q22" i="10"/>
  <c r="O89" i="10"/>
  <c r="O58" i="10"/>
  <c r="N25" i="10"/>
  <c r="O31" i="10"/>
  <c r="R31" i="10"/>
  <c r="O152" i="10"/>
  <c r="R152" i="10"/>
  <c r="O135" i="10"/>
  <c r="R135" i="10"/>
  <c r="O179" i="10"/>
  <c r="N165" i="10"/>
  <c r="O52" i="10"/>
  <c r="N10" i="10"/>
  <c r="N40" i="10"/>
  <c r="N62" i="10"/>
  <c r="O47" i="10"/>
  <c r="N139" i="10"/>
  <c r="Q139" i="10"/>
  <c r="N21" i="10"/>
  <c r="O33" i="10"/>
  <c r="O16" i="10"/>
  <c r="R16" i="10"/>
  <c r="U16" i="10"/>
  <c r="U102" i="10"/>
  <c r="T102" i="10"/>
  <c r="J102" i="10"/>
  <c r="N112" i="10"/>
  <c r="N18" i="10"/>
  <c r="O158" i="10"/>
  <c r="O105" i="10"/>
  <c r="O44" i="10"/>
  <c r="O124" i="10"/>
  <c r="N156" i="10"/>
  <c r="Q156" i="10"/>
  <c r="N95" i="10"/>
  <c r="N97" i="10"/>
  <c r="N20" i="10"/>
  <c r="N30" i="10"/>
  <c r="Q30" i="10"/>
  <c r="N145" i="10"/>
  <c r="Q145" i="10"/>
  <c r="N170" i="10"/>
  <c r="N81" i="10"/>
  <c r="O60" i="10"/>
  <c r="N136" i="10"/>
  <c r="N187" i="10"/>
  <c r="O8" i="10"/>
  <c r="N182" i="10"/>
  <c r="O169" i="10"/>
  <c r="N76" i="10"/>
  <c r="O66" i="10"/>
  <c r="N185" i="10"/>
  <c r="Q185" i="10"/>
  <c r="O107" i="10"/>
  <c r="O38" i="10"/>
  <c r="N171" i="10"/>
  <c r="Q171" i="10"/>
  <c r="O12" i="10"/>
  <c r="O17" i="10"/>
  <c r="O45" i="10"/>
  <c r="O51" i="10"/>
  <c r="N56" i="10"/>
  <c r="O71" i="10"/>
  <c r="O128" i="10"/>
  <c r="O190" i="10"/>
  <c r="N82" i="10"/>
  <c r="Q82" i="10"/>
  <c r="N39" i="10"/>
  <c r="N134" i="10"/>
  <c r="Q134" i="10"/>
  <c r="O155" i="10"/>
  <c r="R155" i="10"/>
  <c r="N9" i="10"/>
  <c r="N88" i="10"/>
  <c r="N74" i="10"/>
  <c r="N176" i="10"/>
  <c r="N154" i="10"/>
  <c r="N98" i="10"/>
  <c r="AI185" i="8"/>
  <c r="S249" i="8"/>
  <c r="AB249" i="8"/>
  <c r="U155" i="8"/>
  <c r="AD155" i="8"/>
  <c r="Q240" i="8"/>
  <c r="Z240" i="8"/>
  <c r="V240" i="8"/>
  <c r="AE240" i="8"/>
  <c r="T185" i="8"/>
  <c r="AC185" i="8"/>
  <c r="U83" i="8"/>
  <c r="AD83" i="8"/>
  <c r="S240" i="8"/>
  <c r="AB240" i="8"/>
  <c r="S83" i="8"/>
  <c r="AB83" i="8"/>
  <c r="X155" i="8"/>
  <c r="AG155" i="8"/>
  <c r="S155" i="8"/>
  <c r="AB155" i="8"/>
  <c r="R249" i="8"/>
  <c r="AA249" i="8"/>
  <c r="U240" i="8"/>
  <c r="AD240" i="8"/>
  <c r="T240" i="8"/>
  <c r="AC240" i="8"/>
  <c r="AK185" i="8"/>
  <c r="V221" i="8"/>
  <c r="AE221" i="8"/>
  <c r="Q185" i="8"/>
  <c r="Z185" i="8"/>
  <c r="U185" i="8"/>
  <c r="AD185" i="8"/>
  <c r="R40" i="8"/>
  <c r="AA40" i="8"/>
  <c r="S40" i="8"/>
  <c r="AB40" i="8"/>
  <c r="R36" i="8"/>
  <c r="AA36" i="8"/>
  <c r="S34" i="8"/>
  <c r="AB34" i="8"/>
  <c r="R83" i="8"/>
  <c r="AA83" i="8"/>
  <c r="W286" i="8"/>
  <c r="AF286" i="8"/>
  <c r="W221" i="8"/>
  <c r="AF221" i="8"/>
  <c r="V241" i="8"/>
  <c r="AE241" i="8"/>
  <c r="AN185" i="8"/>
  <c r="V185" i="8"/>
  <c r="AE185" i="8"/>
  <c r="AJ185" i="8"/>
  <c r="X83" i="8"/>
  <c r="AG83" i="8"/>
  <c r="T36" i="8"/>
  <c r="AC36" i="8"/>
  <c r="Q36" i="8"/>
  <c r="Z36" i="8"/>
  <c r="W36" i="8"/>
  <c r="AF36" i="8"/>
  <c r="U286" i="8"/>
  <c r="AD286" i="8"/>
  <c r="X249" i="8"/>
  <c r="AG249" i="8"/>
  <c r="AP185" i="8"/>
  <c r="V155" i="8"/>
  <c r="AE155" i="8"/>
  <c r="V286" i="8"/>
  <c r="AE286" i="8"/>
  <c r="V285" i="8"/>
  <c r="AE285" i="8"/>
  <c r="U249" i="8"/>
  <c r="AD249" i="8"/>
  <c r="T249" i="8"/>
  <c r="AC249" i="8"/>
  <c r="AO185" i="8"/>
  <c r="AM185" i="8"/>
  <c r="X286" i="8"/>
  <c r="AG286" i="8"/>
  <c r="Q249" i="8"/>
  <c r="Z249" i="8"/>
  <c r="T286" i="8"/>
  <c r="AC286" i="8"/>
  <c r="S221" i="8"/>
  <c r="AB221" i="8"/>
  <c r="T221" i="8"/>
  <c r="AC221" i="8"/>
  <c r="S241" i="8"/>
  <c r="AB241" i="8"/>
  <c r="V249" i="8"/>
  <c r="AE249" i="8"/>
  <c r="S185" i="8"/>
  <c r="AB185" i="8"/>
  <c r="V83" i="8"/>
  <c r="AE83" i="8"/>
  <c r="T83" i="8"/>
  <c r="AC83" i="8"/>
  <c r="R155" i="8"/>
  <c r="AA155" i="8"/>
  <c r="Q155" i="8"/>
  <c r="Z155" i="8"/>
  <c r="W155" i="8"/>
  <c r="AF155" i="8"/>
  <c r="W83" i="8"/>
  <c r="AF83" i="8"/>
  <c r="W271" i="8"/>
  <c r="AF271" i="8"/>
  <c r="X271" i="8"/>
  <c r="AG271" i="8"/>
  <c r="S108" i="8"/>
  <c r="AB108" i="8"/>
  <c r="X108" i="8"/>
  <c r="AG108" i="8"/>
  <c r="V269" i="8"/>
  <c r="AE269" i="8"/>
  <c r="P47" i="17"/>
  <c r="Q108" i="8"/>
  <c r="Z108" i="8"/>
  <c r="Q269" i="8"/>
  <c r="Z269" i="8"/>
  <c r="V271" i="8"/>
  <c r="AE271" i="8"/>
  <c r="N47" i="17"/>
  <c r="N48" i="17"/>
  <c r="N49" i="17"/>
  <c r="S271" i="8"/>
  <c r="AB271" i="8"/>
  <c r="R108" i="8"/>
  <c r="AA108" i="8"/>
  <c r="W108" i="8"/>
  <c r="AF108" i="8"/>
  <c r="T271" i="8"/>
  <c r="AC271" i="8"/>
  <c r="R271" i="8"/>
  <c r="AA271" i="8"/>
  <c r="U271" i="8"/>
  <c r="AD271" i="8"/>
  <c r="V108" i="8"/>
  <c r="AE108" i="8"/>
  <c r="N55" i="9"/>
  <c r="T55" i="9"/>
  <c r="Q101" i="9"/>
  <c r="W101" i="9"/>
  <c r="O220" i="9"/>
  <c r="U220" i="9"/>
  <c r="P220" i="9"/>
  <c r="V220" i="9"/>
  <c r="Q216" i="9"/>
  <c r="W216" i="9"/>
  <c r="Q220" i="9"/>
  <c r="W220" i="9"/>
  <c r="O140" i="9"/>
  <c r="U140" i="9"/>
  <c r="Y38" i="9"/>
  <c r="Z38" i="9"/>
  <c r="P100" i="9"/>
  <c r="V100" i="9"/>
  <c r="AA38" i="9"/>
  <c r="I38" i="9"/>
  <c r="N155" i="9"/>
  <c r="T155" i="9"/>
  <c r="Z185" i="9"/>
  <c r="AC185" i="9"/>
  <c r="AB185" i="9"/>
  <c r="AC38" i="9"/>
  <c r="P302" i="9"/>
  <c r="V302" i="9"/>
  <c r="O155" i="9"/>
  <c r="U155" i="9"/>
  <c r="O302" i="9"/>
  <c r="U302" i="9"/>
  <c r="M155" i="9"/>
  <c r="S155" i="9"/>
  <c r="Q246" i="9"/>
  <c r="W246" i="9"/>
  <c r="P246" i="9"/>
  <c r="V246" i="9"/>
  <c r="Q155" i="9"/>
  <c r="W155" i="9"/>
  <c r="P219" i="9"/>
  <c r="V219" i="9"/>
  <c r="N254" i="9"/>
  <c r="T254" i="9"/>
  <c r="N101" i="9"/>
  <c r="T101" i="9"/>
  <c r="N302" i="9"/>
  <c r="T302" i="9"/>
  <c r="N230" i="9"/>
  <c r="T230" i="9"/>
  <c r="Q138" i="9"/>
  <c r="W138" i="9"/>
  <c r="M138" i="9"/>
  <c r="S138" i="9"/>
  <c r="Q254" i="9"/>
  <c r="W254" i="9"/>
  <c r="M254" i="9"/>
  <c r="S254" i="9"/>
  <c r="N246" i="9"/>
  <c r="T246" i="9"/>
  <c r="U230" i="8"/>
  <c r="AD230" i="8"/>
  <c r="T282" i="8"/>
  <c r="AC282" i="8"/>
  <c r="W230" i="8"/>
  <c r="AF230" i="8"/>
  <c r="R220" i="8"/>
  <c r="AA220" i="8"/>
  <c r="R112" i="8"/>
  <c r="AA112" i="8"/>
  <c r="X137" i="8"/>
  <c r="AG137" i="8"/>
  <c r="S107" i="8"/>
  <c r="AB107" i="8"/>
  <c r="Q82" i="8"/>
  <c r="Z82" i="8"/>
  <c r="S236" i="8"/>
  <c r="AB236" i="8"/>
  <c r="W236" i="8"/>
  <c r="AF236" i="8"/>
  <c r="T126" i="8"/>
  <c r="AC126" i="8"/>
  <c r="R82" i="8"/>
  <c r="AA82" i="8"/>
  <c r="X82" i="8"/>
  <c r="AG82" i="8"/>
  <c r="X275" i="8"/>
  <c r="AG275" i="8"/>
  <c r="W275" i="8"/>
  <c r="AF275" i="8"/>
  <c r="R275" i="8"/>
  <c r="AA275" i="8"/>
  <c r="R305" i="8"/>
  <c r="AA305" i="8"/>
  <c r="S130" i="8"/>
  <c r="AB130" i="8"/>
  <c r="W101" i="8"/>
  <c r="AF101" i="8"/>
  <c r="Q236" i="8"/>
  <c r="Z236" i="8"/>
  <c r="Q130" i="8"/>
  <c r="Z130" i="8"/>
  <c r="S101" i="8"/>
  <c r="AB101" i="8"/>
  <c r="U82" i="8"/>
  <c r="AD82" i="8"/>
  <c r="X101" i="8"/>
  <c r="AG101" i="8"/>
  <c r="R101" i="8"/>
  <c r="AA101" i="8"/>
  <c r="V236" i="8"/>
  <c r="AE236" i="8"/>
  <c r="R130" i="8"/>
  <c r="AA130" i="8"/>
  <c r="X236" i="8"/>
  <c r="AG236" i="8"/>
  <c r="T305" i="8"/>
  <c r="AC305" i="8"/>
  <c r="W130" i="8"/>
  <c r="AF130" i="8"/>
  <c r="U236" i="8"/>
  <c r="AD236" i="8"/>
  <c r="W107" i="8"/>
  <c r="AF107" i="8"/>
  <c r="T275" i="8"/>
  <c r="AC275" i="8"/>
  <c r="U275" i="8"/>
  <c r="AD275" i="8"/>
  <c r="T236" i="8"/>
  <c r="AC236" i="8"/>
  <c r="S143" i="8"/>
  <c r="AB143" i="8"/>
  <c r="T264" i="8"/>
  <c r="AC264" i="8"/>
  <c r="Q282" i="8"/>
  <c r="Z282" i="8"/>
  <c r="V102" i="8"/>
  <c r="AE102" i="8"/>
  <c r="T269" i="8"/>
  <c r="AC269" i="8"/>
  <c r="Q112" i="8"/>
  <c r="Z112" i="8"/>
  <c r="W269" i="8"/>
  <c r="AF269" i="8"/>
  <c r="Q302" i="8"/>
  <c r="Z302" i="8"/>
  <c r="R302" i="8"/>
  <c r="AA302" i="8"/>
  <c r="T302" i="8"/>
  <c r="AC302" i="8"/>
  <c r="R109" i="8"/>
  <c r="AA109" i="8"/>
  <c r="S269" i="8"/>
  <c r="AB269" i="8"/>
  <c r="X302" i="8"/>
  <c r="AG302" i="8"/>
  <c r="V125" i="8"/>
  <c r="AE125" i="8"/>
  <c r="W232" i="8"/>
  <c r="AF232" i="8"/>
  <c r="U282" i="8"/>
  <c r="AD282" i="8"/>
  <c r="S102" i="8"/>
  <c r="AB102" i="8"/>
  <c r="V112" i="8"/>
  <c r="AE112" i="8"/>
  <c r="U304" i="8"/>
  <c r="AD304" i="8"/>
  <c r="W282" i="8"/>
  <c r="AF282" i="8"/>
  <c r="W102" i="8"/>
  <c r="AF102" i="8"/>
  <c r="U302" i="8"/>
  <c r="AD302" i="8"/>
  <c r="U232" i="8"/>
  <c r="AD232" i="8"/>
  <c r="Q304" i="8"/>
  <c r="Z304" i="8"/>
  <c r="X112" i="8"/>
  <c r="AG112" i="8"/>
  <c r="V302" i="8"/>
  <c r="AE302" i="8"/>
  <c r="W302" i="8"/>
  <c r="AF302" i="8"/>
  <c r="X269" i="8"/>
  <c r="AG269" i="8"/>
  <c r="X282" i="8"/>
  <c r="AG282" i="8"/>
  <c r="V282" i="8"/>
  <c r="AE282" i="8"/>
  <c r="R282" i="8"/>
  <c r="AA282" i="8"/>
  <c r="U269" i="8"/>
  <c r="AD269" i="8"/>
  <c r="O237" i="9"/>
  <c r="U237" i="9"/>
  <c r="Q237" i="9"/>
  <c r="W237" i="9"/>
  <c r="N237" i="9"/>
  <c r="T237" i="9"/>
  <c r="P237" i="9"/>
  <c r="V237" i="9"/>
  <c r="M237" i="9"/>
  <c r="S237" i="9"/>
  <c r="P249" i="9"/>
  <c r="V249" i="9"/>
  <c r="N102" i="9"/>
  <c r="T102" i="9"/>
  <c r="P239" i="9"/>
  <c r="V239" i="9"/>
  <c r="Q113" i="9"/>
  <c r="W113" i="9"/>
  <c r="M113" i="9"/>
  <c r="S113" i="9"/>
  <c r="P113" i="9"/>
  <c r="V113" i="9"/>
  <c r="O113" i="9"/>
  <c r="U113" i="9"/>
  <c r="N113" i="9"/>
  <c r="T113" i="9"/>
  <c r="Q249" i="9"/>
  <c r="W249" i="9"/>
  <c r="M102" i="9"/>
  <c r="S102" i="9"/>
  <c r="N141" i="9"/>
  <c r="T141" i="9"/>
  <c r="M239" i="9"/>
  <c r="S239" i="9"/>
  <c r="Q141" i="9"/>
  <c r="W141" i="9"/>
  <c r="M217" i="9"/>
  <c r="S217" i="9"/>
  <c r="P141" i="9"/>
  <c r="V141" i="9"/>
  <c r="O239" i="9"/>
  <c r="U239" i="9"/>
  <c r="Q239" i="9"/>
  <c r="W239" i="9"/>
  <c r="N199" i="9"/>
  <c r="T199" i="9"/>
  <c r="M199" i="9"/>
  <c r="S199" i="9"/>
  <c r="N249" i="9"/>
  <c r="T249" i="9"/>
  <c r="M70" i="9"/>
  <c r="S70" i="9"/>
  <c r="Z293" i="9"/>
  <c r="M249" i="9"/>
  <c r="S249" i="9"/>
  <c r="O102" i="9"/>
  <c r="U102" i="9"/>
  <c r="AB293" i="9"/>
  <c r="O141" i="9"/>
  <c r="U141" i="9"/>
  <c r="W179" i="8"/>
  <c r="AF179" i="8"/>
  <c r="R179" i="8"/>
  <c r="AA179" i="8"/>
  <c r="X179" i="8"/>
  <c r="AG179" i="8"/>
  <c r="T179" i="8"/>
  <c r="AC179" i="8"/>
  <c r="Q179" i="8"/>
  <c r="Z179" i="8"/>
  <c r="S179" i="8"/>
  <c r="AB179" i="8"/>
  <c r="V179" i="8"/>
  <c r="AE179" i="8"/>
  <c r="U179" i="8"/>
  <c r="AD179" i="8"/>
  <c r="X221" i="8"/>
  <c r="AG221" i="8"/>
  <c r="X231" i="8"/>
  <c r="AG231" i="8"/>
  <c r="AK190" i="8"/>
  <c r="X49" i="8"/>
  <c r="AG49" i="8"/>
  <c r="R49" i="8"/>
  <c r="AA49" i="8"/>
  <c r="R191" i="8"/>
  <c r="AA191" i="8"/>
  <c r="U34" i="8"/>
  <c r="AD34" i="8"/>
  <c r="R34" i="8"/>
  <c r="AA34" i="8"/>
  <c r="AO86" i="8"/>
  <c r="AI155" i="8"/>
  <c r="Q34" i="8"/>
  <c r="Z34" i="8"/>
  <c r="U301" i="8"/>
  <c r="AD301" i="8"/>
  <c r="Q301" i="8"/>
  <c r="Z301" i="8"/>
  <c r="T301" i="8"/>
  <c r="AC301" i="8"/>
  <c r="Q231" i="8"/>
  <c r="Z231" i="8"/>
  <c r="AJ155" i="8"/>
  <c r="U49" i="8"/>
  <c r="AD49" i="8"/>
  <c r="X129" i="8"/>
  <c r="AG129" i="8"/>
  <c r="T49" i="8"/>
  <c r="AC49" i="8"/>
  <c r="S231" i="8"/>
  <c r="AB231" i="8"/>
  <c r="T231" i="8"/>
  <c r="AC231" i="8"/>
  <c r="U231" i="8"/>
  <c r="AD231" i="8"/>
  <c r="W231" i="8"/>
  <c r="AF231" i="8"/>
  <c r="W34" i="8"/>
  <c r="AF34" i="8"/>
  <c r="R231" i="8"/>
  <c r="AA231" i="8"/>
  <c r="R143" i="8"/>
  <c r="AA143" i="8"/>
  <c r="AB191" i="9"/>
  <c r="T40" i="8"/>
  <c r="AC40" i="8"/>
  <c r="U143" i="8"/>
  <c r="AD143" i="8"/>
  <c r="AA190" i="9"/>
  <c r="X40" i="8"/>
  <c r="AG40" i="8"/>
  <c r="V40" i="8"/>
  <c r="AE40" i="8"/>
  <c r="V143" i="8"/>
  <c r="AE143" i="8"/>
  <c r="Q40" i="8"/>
  <c r="Z40" i="8"/>
  <c r="AB190" i="9"/>
  <c r="W143" i="8"/>
  <c r="AF143" i="8"/>
  <c r="P233" i="9"/>
  <c r="V233" i="9"/>
  <c r="N233" i="9"/>
  <c r="T233" i="9"/>
  <c r="AO190" i="8"/>
  <c r="M190" i="8"/>
  <c r="AN155" i="8"/>
  <c r="T143" i="8"/>
  <c r="AC143" i="8"/>
  <c r="I190" i="9"/>
  <c r="P190" i="9"/>
  <c r="V190" i="9"/>
  <c r="W40" i="8"/>
  <c r="AF40" i="8"/>
  <c r="Q143" i="8"/>
  <c r="Z143" i="8"/>
  <c r="Z190" i="9"/>
  <c r="AP155" i="8"/>
  <c r="O46" i="17"/>
  <c r="O44" i="17"/>
  <c r="Q285" i="8"/>
  <c r="Z285" i="8"/>
  <c r="V287" i="8"/>
  <c r="AE287" i="8"/>
  <c r="R304" i="8"/>
  <c r="AA304" i="8"/>
  <c r="O191" i="9"/>
  <c r="U191" i="9"/>
  <c r="X125" i="8"/>
  <c r="AG125" i="8"/>
  <c r="R125" i="8"/>
  <c r="AA125" i="8"/>
  <c r="P50" i="9"/>
  <c r="V50" i="9"/>
  <c r="Q256" i="8"/>
  <c r="Z256" i="8"/>
  <c r="AO155" i="8"/>
  <c r="AL155" i="8"/>
  <c r="AA42" i="9"/>
  <c r="Y42" i="9"/>
  <c r="I42" i="9"/>
  <c r="AB42" i="9"/>
  <c r="J43" i="9"/>
  <c r="Z42" i="9"/>
  <c r="AC42" i="9"/>
  <c r="S285" i="8"/>
  <c r="AB285" i="8"/>
  <c r="S77" i="8"/>
  <c r="AB77" i="8"/>
  <c r="T220" i="8"/>
  <c r="AC220" i="8"/>
  <c r="AG29" i="12"/>
  <c r="AO29" i="12"/>
  <c r="AH29" i="12"/>
  <c r="AP29" i="12"/>
  <c r="T304" i="8"/>
  <c r="AC304" i="8"/>
  <c r="Q191" i="9"/>
  <c r="W191" i="9"/>
  <c r="V247" i="8"/>
  <c r="AE247" i="8"/>
  <c r="AI233" i="8"/>
  <c r="AO233" i="8"/>
  <c r="R256" i="8"/>
  <c r="AA256" i="8"/>
  <c r="P153" i="9"/>
  <c r="V153" i="9"/>
  <c r="M263" i="9"/>
  <c r="S263" i="9"/>
  <c r="R250" i="8"/>
  <c r="AA250" i="8"/>
  <c r="W31" i="13"/>
  <c r="AF31" i="13"/>
  <c r="AI56" i="12"/>
  <c r="AQ56" i="12"/>
  <c r="AL56" i="12"/>
  <c r="AT56" i="12"/>
  <c r="AX70" i="12"/>
  <c r="BA70" i="12"/>
  <c r="AY70" i="12"/>
  <c r="BB70" i="12"/>
  <c r="BB14" i="12"/>
  <c r="BB80" i="12"/>
  <c r="AL91" i="12"/>
  <c r="AL93" i="12"/>
  <c r="N36" i="17"/>
  <c r="N37" i="17"/>
  <c r="N39" i="17"/>
  <c r="N40" i="17"/>
  <c r="Q71" i="8"/>
  <c r="Z71" i="8"/>
  <c r="R77" i="8"/>
  <c r="AA77" i="8"/>
  <c r="AI29" i="12"/>
  <c r="AQ29" i="12"/>
  <c r="S184" i="8"/>
  <c r="AB184" i="8"/>
  <c r="R264" i="8"/>
  <c r="AA264" i="8"/>
  <c r="W184" i="8"/>
  <c r="AF184" i="8"/>
  <c r="S125" i="8"/>
  <c r="AB125" i="8"/>
  <c r="N153" i="9"/>
  <c r="T153" i="9"/>
  <c r="O50" i="9"/>
  <c r="U50" i="9"/>
  <c r="AZ31" i="13"/>
  <c r="AJ56" i="12"/>
  <c r="AR56" i="12"/>
  <c r="AF56" i="12"/>
  <c r="AN56" i="12"/>
  <c r="H16" i="19"/>
  <c r="H16" i="14"/>
  <c r="S37" i="16"/>
  <c r="AK37" i="16"/>
  <c r="V37" i="16"/>
  <c r="AN37" i="16"/>
  <c r="X37" i="16"/>
  <c r="AP37" i="16"/>
  <c r="U37" i="16"/>
  <c r="AM37" i="16"/>
  <c r="W37" i="16"/>
  <c r="AO37" i="16"/>
  <c r="T37" i="16"/>
  <c r="AL37" i="16"/>
  <c r="J172" i="10"/>
  <c r="T172" i="10"/>
  <c r="U172" i="10"/>
  <c r="X172" i="11"/>
  <c r="AG172" i="11"/>
  <c r="T172" i="11"/>
  <c r="AC172" i="11"/>
  <c r="O32" i="17"/>
  <c r="O35" i="17"/>
  <c r="N43" i="8"/>
  <c r="AO42" i="8"/>
  <c r="M42" i="8"/>
  <c r="AN42" i="8"/>
  <c r="AJ42" i="8"/>
  <c r="AM42" i="8"/>
  <c r="AK42" i="8"/>
  <c r="AA73" i="9"/>
  <c r="AC73" i="9"/>
  <c r="Y73" i="9"/>
  <c r="Z73" i="9"/>
  <c r="X71" i="8"/>
  <c r="AG71" i="8"/>
  <c r="U220" i="8"/>
  <c r="AD220" i="8"/>
  <c r="T285" i="8"/>
  <c r="AC285" i="8"/>
  <c r="T77" i="8"/>
  <c r="AC77" i="8"/>
  <c r="W304" i="8"/>
  <c r="AF304" i="8"/>
  <c r="W264" i="8"/>
  <c r="AF264" i="8"/>
  <c r="X304" i="8"/>
  <c r="AG304" i="8"/>
  <c r="V184" i="8"/>
  <c r="AE184" i="8"/>
  <c r="U184" i="8"/>
  <c r="AD184" i="8"/>
  <c r="V220" i="8"/>
  <c r="AE220" i="8"/>
  <c r="U256" i="8"/>
  <c r="AD256" i="8"/>
  <c r="Q125" i="8"/>
  <c r="Z125" i="8"/>
  <c r="Q140" i="8"/>
  <c r="Z140" i="8"/>
  <c r="Q263" i="9"/>
  <c r="W263" i="9"/>
  <c r="N263" i="9"/>
  <c r="T263" i="9"/>
  <c r="X220" i="8"/>
  <c r="AG220" i="8"/>
  <c r="V156" i="11"/>
  <c r="AE156" i="11"/>
  <c r="S31" i="13"/>
  <c r="AB31" i="13"/>
  <c r="AK56" i="12"/>
  <c r="AS56" i="12"/>
  <c r="N74" i="8"/>
  <c r="AI73" i="8"/>
  <c r="M73" i="8"/>
  <c r="AP73" i="8"/>
  <c r="AJ73" i="8"/>
  <c r="AL73" i="8"/>
  <c r="AO73" i="8"/>
  <c r="AM73" i="8"/>
  <c r="AK73" i="8"/>
  <c r="AN73" i="8"/>
  <c r="S71" i="8"/>
  <c r="AB71" i="8"/>
  <c r="R285" i="8"/>
  <c r="AA285" i="8"/>
  <c r="Q77" i="8"/>
  <c r="Z77" i="8"/>
  <c r="AK29" i="12"/>
  <c r="AS29" i="12"/>
  <c r="S247" i="8"/>
  <c r="AB247" i="8"/>
  <c r="U247" i="8"/>
  <c r="AD247" i="8"/>
  <c r="J27" i="9"/>
  <c r="AA27" i="9"/>
  <c r="V31" i="13"/>
  <c r="AE31" i="13"/>
  <c r="N50" i="9"/>
  <c r="T50" i="9"/>
  <c r="Q76" i="8"/>
  <c r="Z76" i="8"/>
  <c r="T76" i="8"/>
  <c r="AC76" i="8"/>
  <c r="U76" i="8"/>
  <c r="AD76" i="8"/>
  <c r="R76" i="8"/>
  <c r="AA76" i="8"/>
  <c r="S76" i="8"/>
  <c r="AB76" i="8"/>
  <c r="V76" i="8"/>
  <c r="AE76" i="8"/>
  <c r="X76" i="8"/>
  <c r="AG76" i="8"/>
  <c r="W76" i="8"/>
  <c r="AF76" i="8"/>
  <c r="S304" i="8"/>
  <c r="AB304" i="8"/>
  <c r="X285" i="8"/>
  <c r="AG285" i="8"/>
  <c r="W77" i="8"/>
  <c r="AF77" i="8"/>
  <c r="Q264" i="8"/>
  <c r="Z264" i="8"/>
  <c r="S264" i="8"/>
  <c r="AB264" i="8"/>
  <c r="AF29" i="12"/>
  <c r="AN29" i="12"/>
  <c r="Q98" i="8"/>
  <c r="Z98" i="8"/>
  <c r="W220" i="8"/>
  <c r="AF220" i="8"/>
  <c r="Q184" i="8"/>
  <c r="Z184" i="8"/>
  <c r="X247" i="8"/>
  <c r="AG247" i="8"/>
  <c r="AK233" i="8"/>
  <c r="AC26" i="9"/>
  <c r="R31" i="13"/>
  <c r="AA31" i="13"/>
  <c r="AB73" i="9"/>
  <c r="Q37" i="8"/>
  <c r="Z37" i="8"/>
  <c r="AN204" i="8"/>
  <c r="AK204" i="8"/>
  <c r="AM204" i="8"/>
  <c r="AJ204" i="8"/>
  <c r="AI204" i="8"/>
  <c r="N205" i="8"/>
  <c r="AO204" i="8"/>
  <c r="AP204" i="8"/>
  <c r="M204" i="8"/>
  <c r="AL204" i="8"/>
  <c r="U285" i="8"/>
  <c r="AD285" i="8"/>
  <c r="V264" i="8"/>
  <c r="AE264" i="8"/>
  <c r="X264" i="8"/>
  <c r="AG264" i="8"/>
  <c r="V98" i="8"/>
  <c r="AE98" i="8"/>
  <c r="T184" i="8"/>
  <c r="AC184" i="8"/>
  <c r="R184" i="8"/>
  <c r="AA184" i="8"/>
  <c r="P263" i="9"/>
  <c r="V263" i="9"/>
  <c r="S220" i="8"/>
  <c r="AB220" i="8"/>
  <c r="AZ43" i="11"/>
  <c r="J74" i="9"/>
  <c r="I74" i="9"/>
  <c r="T82" i="8"/>
  <c r="AC82" i="8"/>
  <c r="S82" i="8"/>
  <c r="AB82" i="8"/>
  <c r="V82" i="8"/>
  <c r="AE82" i="8"/>
  <c r="U305" i="8"/>
  <c r="AD305" i="8"/>
  <c r="S305" i="8"/>
  <c r="AB305" i="8"/>
  <c r="V305" i="8"/>
  <c r="AE305" i="8"/>
  <c r="Q300" i="8"/>
  <c r="Z300" i="8"/>
  <c r="W300" i="8"/>
  <c r="AF300" i="8"/>
  <c r="X300" i="8"/>
  <c r="AG300" i="8"/>
  <c r="S300" i="8"/>
  <c r="AB300" i="8"/>
  <c r="T300" i="8"/>
  <c r="AC300" i="8"/>
  <c r="V300" i="8"/>
  <c r="AE300" i="8"/>
  <c r="R300" i="8"/>
  <c r="AA300" i="8"/>
  <c r="U300" i="8"/>
  <c r="AD300" i="8"/>
  <c r="Z233" i="9"/>
  <c r="Y233" i="9"/>
  <c r="AL178" i="8"/>
  <c r="W69" i="8"/>
  <c r="AF69" i="8"/>
  <c r="Q69" i="8"/>
  <c r="Z69" i="8"/>
  <c r="Q230" i="8"/>
  <c r="Z230" i="8"/>
  <c r="AJ178" i="8"/>
  <c r="AI178" i="8"/>
  <c r="T69" i="8"/>
  <c r="AC69" i="8"/>
  <c r="X230" i="8"/>
  <c r="AG230" i="8"/>
  <c r="R230" i="8"/>
  <c r="AA230" i="8"/>
  <c r="V69" i="8"/>
  <c r="AE69" i="8"/>
  <c r="S69" i="8"/>
  <c r="AB69" i="8"/>
  <c r="M252" i="9"/>
  <c r="S252" i="9"/>
  <c r="Q252" i="9"/>
  <c r="W252" i="9"/>
  <c r="R69" i="8"/>
  <c r="AA69" i="8"/>
  <c r="U69" i="8"/>
  <c r="AD69" i="8"/>
  <c r="P252" i="9"/>
  <c r="V252" i="9"/>
  <c r="N252" i="9"/>
  <c r="T252" i="9"/>
  <c r="AN178" i="8"/>
  <c r="R237" i="8"/>
  <c r="AA237" i="8"/>
  <c r="U129" i="8"/>
  <c r="AD129" i="8"/>
  <c r="W112" i="8"/>
  <c r="AF112" i="8"/>
  <c r="U112" i="8"/>
  <c r="AD112" i="8"/>
  <c r="P267" i="9"/>
  <c r="V267" i="9"/>
  <c r="O267" i="9"/>
  <c r="U267" i="9"/>
  <c r="M186" i="9"/>
  <c r="S186" i="9"/>
  <c r="Q267" i="9"/>
  <c r="W267" i="9"/>
  <c r="Z153" i="9"/>
  <c r="AC153" i="9"/>
  <c r="M153" i="9"/>
  <c r="S153" i="9"/>
  <c r="AM178" i="8"/>
  <c r="Q74" i="13"/>
  <c r="Z74" i="13"/>
  <c r="R60" i="11"/>
  <c r="AA60" i="11"/>
  <c r="AK178" i="8"/>
  <c r="AL63" i="8"/>
  <c r="O49" i="10"/>
  <c r="R49" i="10"/>
  <c r="N49" i="10"/>
  <c r="Q49" i="10"/>
  <c r="R219" i="8"/>
  <c r="AA219" i="8"/>
  <c r="Q219" i="8"/>
  <c r="Z219" i="8"/>
  <c r="W219" i="8"/>
  <c r="AF219" i="8"/>
  <c r="T219" i="8"/>
  <c r="AC219" i="8"/>
  <c r="U219" i="8"/>
  <c r="AD219" i="8"/>
  <c r="S219" i="8"/>
  <c r="AB219" i="8"/>
  <c r="X219" i="8"/>
  <c r="AG219" i="8"/>
  <c r="V219" i="8"/>
  <c r="AE219" i="8"/>
  <c r="N83" i="9"/>
  <c r="T83" i="9"/>
  <c r="Q83" i="9"/>
  <c r="W83" i="9"/>
  <c r="P83" i="9"/>
  <c r="V83" i="9"/>
  <c r="O83" i="9"/>
  <c r="U83" i="9"/>
  <c r="M83" i="9"/>
  <c r="S83" i="9"/>
  <c r="O143" i="10"/>
  <c r="R143" i="10"/>
  <c r="X180" i="8"/>
  <c r="AG180" i="8"/>
  <c r="Q107" i="8"/>
  <c r="Z107" i="8"/>
  <c r="Q102" i="8"/>
  <c r="Z102" i="8"/>
  <c r="U107" i="8"/>
  <c r="AD107" i="8"/>
  <c r="R102" i="8"/>
  <c r="AA102" i="8"/>
  <c r="T102" i="8"/>
  <c r="AC102" i="8"/>
  <c r="S226" i="8"/>
  <c r="AB226" i="8"/>
  <c r="Y86" i="9"/>
  <c r="AM233" i="8"/>
  <c r="R44" i="8"/>
  <c r="AA44" i="8"/>
  <c r="P69" i="9"/>
  <c r="V69" i="9"/>
  <c r="Q153" i="9"/>
  <c r="W153" i="9"/>
  <c r="Q232" i="8"/>
  <c r="Z232" i="8"/>
  <c r="R232" i="8"/>
  <c r="AA232" i="8"/>
  <c r="N273" i="9"/>
  <c r="T273" i="9"/>
  <c r="M273" i="9"/>
  <c r="S273" i="9"/>
  <c r="AI48" i="12"/>
  <c r="AQ48" i="12"/>
  <c r="AL48" i="12"/>
  <c r="AT48" i="12"/>
  <c r="V74" i="13"/>
  <c r="AE74" i="13"/>
  <c r="AP178" i="8"/>
  <c r="AM63" i="8"/>
  <c r="AF28" i="12"/>
  <c r="AN28" i="12"/>
  <c r="AG28" i="12"/>
  <c r="AO28" i="12"/>
  <c r="AJ28" i="12"/>
  <c r="AR28" i="12"/>
  <c r="AL28" i="12"/>
  <c r="AT28" i="12"/>
  <c r="AK28" i="12"/>
  <c r="AS28" i="12"/>
  <c r="AI28" i="12"/>
  <c r="AQ28" i="12"/>
  <c r="AH28" i="12"/>
  <c r="AP28" i="12"/>
  <c r="Q108" i="9"/>
  <c r="W108" i="9"/>
  <c r="O108" i="9"/>
  <c r="U108" i="9"/>
  <c r="N108" i="9"/>
  <c r="T108" i="9"/>
  <c r="P108" i="9"/>
  <c r="V108" i="9"/>
  <c r="S65" i="13"/>
  <c r="AB65" i="13"/>
  <c r="X65" i="13"/>
  <c r="AG65" i="13"/>
  <c r="X238" i="8"/>
  <c r="AG238" i="8"/>
  <c r="R238" i="8"/>
  <c r="AA238" i="8"/>
  <c r="W238" i="8"/>
  <c r="AF238" i="8"/>
  <c r="Q238" i="8"/>
  <c r="Z238" i="8"/>
  <c r="U238" i="8"/>
  <c r="AD238" i="8"/>
  <c r="V238" i="8"/>
  <c r="AE238" i="8"/>
  <c r="S238" i="8"/>
  <c r="AB238" i="8"/>
  <c r="T238" i="8"/>
  <c r="AC238" i="8"/>
  <c r="X130" i="8"/>
  <c r="AG130" i="8"/>
  <c r="U130" i="8"/>
  <c r="AD130" i="8"/>
  <c r="Q83" i="13"/>
  <c r="Z83" i="13"/>
  <c r="X83" i="13"/>
  <c r="AG83" i="13"/>
  <c r="U83" i="13"/>
  <c r="AD83" i="13"/>
  <c r="S83" i="13"/>
  <c r="AB83" i="13"/>
  <c r="R83" i="13"/>
  <c r="AA83" i="13"/>
  <c r="V83" i="13"/>
  <c r="AE83" i="13"/>
  <c r="W83" i="13"/>
  <c r="AF83" i="13"/>
  <c r="T83" i="13"/>
  <c r="AC83" i="13"/>
  <c r="AZ83" i="13"/>
  <c r="P281" i="9"/>
  <c r="V281" i="9"/>
  <c r="AZ158" i="11"/>
  <c r="U158" i="11"/>
  <c r="AD158" i="11"/>
  <c r="Q158" i="11"/>
  <c r="Z158" i="11"/>
  <c r="W158" i="11"/>
  <c r="AF158" i="11"/>
  <c r="T158" i="11"/>
  <c r="AC158" i="11"/>
  <c r="R158" i="11"/>
  <c r="AA158" i="11"/>
  <c r="X158" i="11"/>
  <c r="AG158" i="11"/>
  <c r="V158" i="11"/>
  <c r="AE158" i="11"/>
  <c r="S158" i="11"/>
  <c r="AB158" i="11"/>
  <c r="S60" i="11"/>
  <c r="AB60" i="11"/>
  <c r="T60" i="11"/>
  <c r="AC60" i="11"/>
  <c r="W60" i="11"/>
  <c r="AF60" i="11"/>
  <c r="Q199" i="8"/>
  <c r="Z199" i="8"/>
  <c r="V199" i="8"/>
  <c r="AE199" i="8"/>
  <c r="U199" i="8"/>
  <c r="AD199" i="8"/>
  <c r="T199" i="8"/>
  <c r="AC199" i="8"/>
  <c r="R199" i="8"/>
  <c r="AA199" i="8"/>
  <c r="U180" i="8"/>
  <c r="AD180" i="8"/>
  <c r="V107" i="8"/>
  <c r="AE107" i="8"/>
  <c r="Q252" i="8"/>
  <c r="Z252" i="8"/>
  <c r="O75" i="9"/>
  <c r="U75" i="9"/>
  <c r="N240" i="9"/>
  <c r="T240" i="9"/>
  <c r="M267" i="9"/>
  <c r="S267" i="9"/>
  <c r="AA153" i="9"/>
  <c r="T232" i="8"/>
  <c r="AC232" i="8"/>
  <c r="S232" i="8"/>
  <c r="AB232" i="8"/>
  <c r="M178" i="8"/>
  <c r="V178" i="8"/>
  <c r="AE178" i="8"/>
  <c r="AO63" i="8"/>
  <c r="AZ60" i="11"/>
  <c r="U127" i="11"/>
  <c r="AD127" i="11"/>
  <c r="AL48" i="8"/>
  <c r="Q199" i="9"/>
  <c r="W199" i="9"/>
  <c r="P199" i="9"/>
  <c r="V199" i="9"/>
  <c r="V136" i="8"/>
  <c r="AE136" i="8"/>
  <c r="R136" i="8"/>
  <c r="AA136" i="8"/>
  <c r="AG48" i="12"/>
  <c r="AO48" i="12"/>
  <c r="P240" i="9"/>
  <c r="V240" i="9"/>
  <c r="Q127" i="11"/>
  <c r="Z127" i="11"/>
  <c r="S127" i="11"/>
  <c r="AB127" i="11"/>
  <c r="H32" i="19"/>
  <c r="J88" i="9"/>
  <c r="N88" i="8"/>
  <c r="J148" i="9"/>
  <c r="N202" i="8"/>
  <c r="J202" i="9"/>
  <c r="N148" i="8"/>
  <c r="W71" i="13"/>
  <c r="AF71" i="13"/>
  <c r="AZ71" i="13"/>
  <c r="Q71" i="13"/>
  <c r="Z71" i="13"/>
  <c r="V71" i="13"/>
  <c r="AE71" i="13"/>
  <c r="U71" i="13"/>
  <c r="AD71" i="13"/>
  <c r="R71" i="13"/>
  <c r="AA71" i="13"/>
  <c r="S71" i="13"/>
  <c r="AB71" i="13"/>
  <c r="W124" i="8"/>
  <c r="AF124" i="8"/>
  <c r="U124" i="8"/>
  <c r="AD124" i="8"/>
  <c r="R124" i="8"/>
  <c r="AA124" i="8"/>
  <c r="T124" i="8"/>
  <c r="AC124" i="8"/>
  <c r="X124" i="8"/>
  <c r="AG124" i="8"/>
  <c r="S124" i="8"/>
  <c r="AB124" i="8"/>
  <c r="V124" i="8"/>
  <c r="AE124" i="8"/>
  <c r="Q124" i="8"/>
  <c r="Z124" i="8"/>
  <c r="W280" i="8"/>
  <c r="AF280" i="8"/>
  <c r="S280" i="8"/>
  <c r="AB280" i="8"/>
  <c r="V280" i="8"/>
  <c r="AE280" i="8"/>
  <c r="R280" i="8"/>
  <c r="AA280" i="8"/>
  <c r="Q280" i="8"/>
  <c r="Z280" i="8"/>
  <c r="U280" i="8"/>
  <c r="AD280" i="8"/>
  <c r="X280" i="8"/>
  <c r="AG280" i="8"/>
  <c r="T280" i="8"/>
  <c r="AC280" i="8"/>
  <c r="AK128" i="11"/>
  <c r="M128" i="11"/>
  <c r="N15" i="13"/>
  <c r="AJ128" i="11"/>
  <c r="AP128" i="11"/>
  <c r="AI128" i="11"/>
  <c r="AL128" i="11"/>
  <c r="N149" i="11"/>
  <c r="N129" i="11"/>
  <c r="AO128" i="11"/>
  <c r="AN128" i="11"/>
  <c r="AM128" i="11"/>
  <c r="X102" i="8"/>
  <c r="AG102" i="8"/>
  <c r="V232" i="8"/>
  <c r="AE232" i="8"/>
  <c r="AA86" i="9"/>
  <c r="AI63" i="8"/>
  <c r="AJ307" i="8"/>
  <c r="T107" i="8"/>
  <c r="AC107" i="8"/>
  <c r="R129" i="8"/>
  <c r="AA129" i="8"/>
  <c r="AJ233" i="8"/>
  <c r="AN233" i="8"/>
  <c r="AL233" i="8"/>
  <c r="N75" i="9"/>
  <c r="T75" i="9"/>
  <c r="M101" i="9"/>
  <c r="S101" i="9"/>
  <c r="Q186" i="9"/>
  <c r="W186" i="9"/>
  <c r="S74" i="13"/>
  <c r="AB74" i="13"/>
  <c r="U156" i="11"/>
  <c r="AD156" i="11"/>
  <c r="R127" i="11"/>
  <c r="AA127" i="11"/>
  <c r="W127" i="11"/>
  <c r="AF127" i="11"/>
  <c r="W199" i="8"/>
  <c r="AF199" i="8"/>
  <c r="P130" i="9"/>
  <c r="V130" i="9"/>
  <c r="N130" i="9"/>
  <c r="T130" i="9"/>
  <c r="M130" i="9"/>
  <c r="S130" i="9"/>
  <c r="Q130" i="9"/>
  <c r="W130" i="9"/>
  <c r="O130" i="9"/>
  <c r="U130" i="9"/>
  <c r="V275" i="8"/>
  <c r="AE275" i="8"/>
  <c r="Q275" i="8"/>
  <c r="Z275" i="8"/>
  <c r="AF61" i="12"/>
  <c r="AN61" i="12"/>
  <c r="AI61" i="12"/>
  <c r="AQ61" i="12"/>
  <c r="AK61" i="12"/>
  <c r="AS61" i="12"/>
  <c r="AJ61" i="12"/>
  <c r="AR61" i="12"/>
  <c r="AL61" i="12"/>
  <c r="AT61" i="12"/>
  <c r="AH61" i="12"/>
  <c r="AP61" i="12"/>
  <c r="AG61" i="12"/>
  <c r="AO61" i="12"/>
  <c r="T101" i="8"/>
  <c r="AC101" i="8"/>
  <c r="U101" i="8"/>
  <c r="AD101" i="8"/>
  <c r="V281" i="8"/>
  <c r="AE281" i="8"/>
  <c r="V60" i="11"/>
  <c r="AE60" i="11"/>
  <c r="AZ127" i="11"/>
  <c r="O48" i="10"/>
  <c r="R48" i="10"/>
  <c r="V180" i="8"/>
  <c r="AE180" i="8"/>
  <c r="W180" i="8"/>
  <c r="AF180" i="8"/>
  <c r="W129" i="8"/>
  <c r="AF129" i="8"/>
  <c r="T129" i="8"/>
  <c r="AC129" i="8"/>
  <c r="X226" i="8"/>
  <c r="AG226" i="8"/>
  <c r="S112" i="8"/>
  <c r="AB112" i="8"/>
  <c r="V44" i="8"/>
  <c r="AE44" i="8"/>
  <c r="M233" i="8"/>
  <c r="R233" i="8"/>
  <c r="AA233" i="8"/>
  <c r="T180" i="8"/>
  <c r="AC180" i="8"/>
  <c r="O186" i="9"/>
  <c r="U186" i="9"/>
  <c r="P101" i="9"/>
  <c r="V101" i="9"/>
  <c r="N186" i="9"/>
  <c r="T186" i="9"/>
  <c r="Y153" i="9"/>
  <c r="AB153" i="9"/>
  <c r="AZ156" i="11"/>
  <c r="T127" i="11"/>
  <c r="AC127" i="11"/>
  <c r="S199" i="8"/>
  <c r="AB199" i="8"/>
  <c r="T125" i="8"/>
  <c r="AC125" i="8"/>
  <c r="U125" i="8"/>
  <c r="AD125" i="8"/>
  <c r="W247" i="8"/>
  <c r="AF247" i="8"/>
  <c r="R247" i="8"/>
  <c r="AA247" i="8"/>
  <c r="Q247" i="8"/>
  <c r="Z247" i="8"/>
  <c r="U37" i="8"/>
  <c r="AD37" i="8"/>
  <c r="S37" i="8"/>
  <c r="AB37" i="8"/>
  <c r="R37" i="8"/>
  <c r="AA37" i="8"/>
  <c r="X37" i="8"/>
  <c r="AG37" i="8"/>
  <c r="W37" i="8"/>
  <c r="AF37" i="8"/>
  <c r="V37" i="8"/>
  <c r="AE37" i="8"/>
  <c r="S126" i="8"/>
  <c r="AB126" i="8"/>
  <c r="X126" i="8"/>
  <c r="AG126" i="8"/>
  <c r="T237" i="8"/>
  <c r="AC237" i="8"/>
  <c r="AN307" i="8"/>
  <c r="O142" i="9"/>
  <c r="U142" i="9"/>
  <c r="Q82" i="9"/>
  <c r="W82" i="9"/>
  <c r="S181" i="8"/>
  <c r="AB181" i="8"/>
  <c r="Q181" i="8"/>
  <c r="Z181" i="8"/>
  <c r="T250" i="8"/>
  <c r="AC250" i="8"/>
  <c r="R140" i="8"/>
  <c r="AA140" i="8"/>
  <c r="O70" i="9"/>
  <c r="U70" i="9"/>
  <c r="N191" i="9"/>
  <c r="T191" i="9"/>
  <c r="R48" i="8"/>
  <c r="AA48" i="8"/>
  <c r="S262" i="8"/>
  <c r="AB262" i="8"/>
  <c r="Q156" i="11"/>
  <c r="Z156" i="11"/>
  <c r="Q250" i="8"/>
  <c r="Z250" i="8"/>
  <c r="U241" i="8"/>
  <c r="AD241" i="8"/>
  <c r="T241" i="8"/>
  <c r="AC241" i="8"/>
  <c r="W241" i="8"/>
  <c r="AF241" i="8"/>
  <c r="R241" i="8"/>
  <c r="AA241" i="8"/>
  <c r="N258" i="9"/>
  <c r="T258" i="9"/>
  <c r="M258" i="9"/>
  <c r="S258" i="9"/>
  <c r="O258" i="9"/>
  <c r="U258" i="9"/>
  <c r="Q258" i="9"/>
  <c r="W258" i="9"/>
  <c r="P258" i="9"/>
  <c r="V258" i="9"/>
  <c r="Z178" i="9"/>
  <c r="AB178" i="9"/>
  <c r="X73" i="13"/>
  <c r="AG73" i="13"/>
  <c r="V73" i="13"/>
  <c r="AE73" i="13"/>
  <c r="U73" i="13"/>
  <c r="AD73" i="13"/>
  <c r="R73" i="13"/>
  <c r="AA73" i="13"/>
  <c r="AZ73" i="13"/>
  <c r="S73" i="13"/>
  <c r="AB73" i="13"/>
  <c r="W73" i="13"/>
  <c r="AF73" i="13"/>
  <c r="Q73" i="13"/>
  <c r="Z73" i="13"/>
  <c r="T73" i="13"/>
  <c r="AC73" i="13"/>
  <c r="T28" i="10"/>
  <c r="J28" i="10"/>
  <c r="U28" i="10"/>
  <c r="O133" i="9"/>
  <c r="U133" i="9"/>
  <c r="Q133" i="9"/>
  <c r="W133" i="9"/>
  <c r="P133" i="9"/>
  <c r="V133" i="9"/>
  <c r="N133" i="9"/>
  <c r="T133" i="9"/>
  <c r="M133" i="9"/>
  <c r="S133" i="9"/>
  <c r="M70" i="13"/>
  <c r="AM70" i="13"/>
  <c r="AJ70" i="13"/>
  <c r="AI70" i="13"/>
  <c r="AL70" i="13"/>
  <c r="AY14" i="12"/>
  <c r="AX14" i="12"/>
  <c r="W98" i="8"/>
  <c r="AF98" i="8"/>
  <c r="X287" i="8"/>
  <c r="AG287" i="8"/>
  <c r="AI55" i="12"/>
  <c r="AQ55" i="12"/>
  <c r="X250" i="8"/>
  <c r="AG250" i="8"/>
  <c r="S250" i="8"/>
  <c r="AB250" i="8"/>
  <c r="Y207" i="9"/>
  <c r="N131" i="9"/>
  <c r="T131" i="9"/>
  <c r="M282" i="9"/>
  <c r="S282" i="9"/>
  <c r="V48" i="8"/>
  <c r="AE48" i="8"/>
  <c r="W48" i="8"/>
  <c r="AF48" i="8"/>
  <c r="BA14" i="12"/>
  <c r="BA80" i="12"/>
  <c r="AK91" i="12"/>
  <c r="AK93" i="12"/>
  <c r="Q221" i="9"/>
  <c r="W221" i="9"/>
  <c r="O221" i="9"/>
  <c r="U221" i="9"/>
  <c r="P221" i="9"/>
  <c r="V221" i="9"/>
  <c r="M221" i="9"/>
  <c r="S221" i="9"/>
  <c r="N221" i="9"/>
  <c r="T221" i="9"/>
  <c r="Q232" i="9"/>
  <c r="W232" i="9"/>
  <c r="M232" i="9"/>
  <c r="S232" i="9"/>
  <c r="AK60" i="12"/>
  <c r="AS60" i="12"/>
  <c r="AL60" i="12"/>
  <c r="AT60" i="12"/>
  <c r="S85" i="13"/>
  <c r="AB85" i="13"/>
  <c r="X85" i="13"/>
  <c r="AG85" i="13"/>
  <c r="T85" i="13"/>
  <c r="AC85" i="13"/>
  <c r="AZ85" i="13"/>
  <c r="V85" i="13"/>
  <c r="AE85" i="13"/>
  <c r="W163" i="11"/>
  <c r="AF163" i="11"/>
  <c r="R163" i="11"/>
  <c r="AA163" i="11"/>
  <c r="T163" i="11"/>
  <c r="AC163" i="11"/>
  <c r="S163" i="11"/>
  <c r="AB163" i="11"/>
  <c r="X163" i="11"/>
  <c r="AG163" i="11"/>
  <c r="Q163" i="11"/>
  <c r="Z163" i="11"/>
  <c r="V163" i="11"/>
  <c r="AE163" i="11"/>
  <c r="AZ163" i="11"/>
  <c r="U163" i="11"/>
  <c r="AD163" i="11"/>
  <c r="V126" i="8"/>
  <c r="AE126" i="8"/>
  <c r="R261" i="8"/>
  <c r="AA261" i="8"/>
  <c r="V181" i="8"/>
  <c r="AE181" i="8"/>
  <c r="U250" i="8"/>
  <c r="AD250" i="8"/>
  <c r="O131" i="9"/>
  <c r="U131" i="9"/>
  <c r="P131" i="9"/>
  <c r="V131" i="9"/>
  <c r="U48" i="8"/>
  <c r="AD48" i="8"/>
  <c r="AL307" i="8"/>
  <c r="W162" i="11"/>
  <c r="AF162" i="11"/>
  <c r="V162" i="11"/>
  <c r="AE162" i="11"/>
  <c r="R162" i="11"/>
  <c r="AA162" i="11"/>
  <c r="Q162" i="11"/>
  <c r="Z162" i="11"/>
  <c r="AZ162" i="11"/>
  <c r="U162" i="11"/>
  <c r="AD162" i="11"/>
  <c r="X162" i="11"/>
  <c r="AG162" i="11"/>
  <c r="P52" i="9"/>
  <c r="V52" i="9"/>
  <c r="M52" i="9"/>
  <c r="S52" i="9"/>
  <c r="Q52" i="9"/>
  <c r="W52" i="9"/>
  <c r="O52" i="9"/>
  <c r="U52" i="9"/>
  <c r="N52" i="9"/>
  <c r="T52" i="9"/>
  <c r="O51" i="9"/>
  <c r="U51" i="9"/>
  <c r="Q51" i="9"/>
  <c r="W51" i="9"/>
  <c r="P51" i="9"/>
  <c r="V51" i="9"/>
  <c r="N51" i="9"/>
  <c r="T51" i="9"/>
  <c r="M51" i="9"/>
  <c r="S51" i="9"/>
  <c r="N149" i="10"/>
  <c r="Q149" i="10"/>
  <c r="Q237" i="8"/>
  <c r="Z237" i="8"/>
  <c r="W126" i="8"/>
  <c r="AF126" i="8"/>
  <c r="R98" i="8"/>
  <c r="AA98" i="8"/>
  <c r="U287" i="8"/>
  <c r="AD287" i="8"/>
  <c r="U237" i="8"/>
  <c r="AD237" i="8"/>
  <c r="AL55" i="12"/>
  <c r="AT55" i="12"/>
  <c r="AK55" i="12"/>
  <c r="AS55" i="12"/>
  <c r="T181" i="8"/>
  <c r="AC181" i="8"/>
  <c r="M57" i="9"/>
  <c r="S57" i="9"/>
  <c r="Q233" i="9"/>
  <c r="W233" i="9"/>
  <c r="M139" i="9"/>
  <c r="S139" i="9"/>
  <c r="O271" i="9"/>
  <c r="U271" i="9"/>
  <c r="P271" i="9"/>
  <c r="V271" i="9"/>
  <c r="N271" i="9"/>
  <c r="T271" i="9"/>
  <c r="M100" i="9"/>
  <c r="S100" i="9"/>
  <c r="M140" i="9"/>
  <c r="S140" i="9"/>
  <c r="P282" i="9"/>
  <c r="V282" i="9"/>
  <c r="Q140" i="9"/>
  <c r="W140" i="9"/>
  <c r="O282" i="9"/>
  <c r="U282" i="9"/>
  <c r="S48" i="8"/>
  <c r="AB48" i="8"/>
  <c r="Q48" i="8"/>
  <c r="Z48" i="8"/>
  <c r="R156" i="11"/>
  <c r="AA156" i="11"/>
  <c r="P217" i="9"/>
  <c r="V217" i="9"/>
  <c r="AA185" i="9"/>
  <c r="O111" i="9"/>
  <c r="U111" i="9"/>
  <c r="O281" i="9"/>
  <c r="U281" i="9"/>
  <c r="M281" i="9"/>
  <c r="S281" i="9"/>
  <c r="N281" i="9"/>
  <c r="T281" i="9"/>
  <c r="P250" i="9"/>
  <c r="V250" i="9"/>
  <c r="O250" i="9"/>
  <c r="U250" i="9"/>
  <c r="M250" i="9"/>
  <c r="S250" i="9"/>
  <c r="N250" i="9"/>
  <c r="T250" i="9"/>
  <c r="Q250" i="9"/>
  <c r="W250" i="9"/>
  <c r="AZ39" i="16"/>
  <c r="W39" i="16"/>
  <c r="AO39" i="16"/>
  <c r="S39" i="16"/>
  <c r="AK39" i="16"/>
  <c r="T39" i="16"/>
  <c r="AL39" i="16"/>
  <c r="U39" i="16"/>
  <c r="AM39" i="16"/>
  <c r="Q39" i="16"/>
  <c r="AI39" i="16"/>
  <c r="V39" i="16"/>
  <c r="AN39" i="16"/>
  <c r="R39" i="16"/>
  <c r="AJ39" i="16"/>
  <c r="X39" i="16"/>
  <c r="AP39" i="16"/>
  <c r="O140" i="10"/>
  <c r="R140" i="10"/>
  <c r="U126" i="8"/>
  <c r="AD126" i="8"/>
  <c r="S98" i="8"/>
  <c r="AB98" i="8"/>
  <c r="S287" i="8"/>
  <c r="AB287" i="8"/>
  <c r="V261" i="8"/>
  <c r="AE261" i="8"/>
  <c r="Q261" i="8"/>
  <c r="Z261" i="8"/>
  <c r="U181" i="8"/>
  <c r="AD181" i="8"/>
  <c r="X181" i="8"/>
  <c r="AG181" i="8"/>
  <c r="V250" i="8"/>
  <c r="AE250" i="8"/>
  <c r="W140" i="8"/>
  <c r="AF140" i="8"/>
  <c r="M271" i="9"/>
  <c r="S271" i="9"/>
  <c r="M131" i="9"/>
  <c r="S131" i="9"/>
  <c r="T48" i="8"/>
  <c r="AC48" i="8"/>
  <c r="X262" i="8"/>
  <c r="AG262" i="8"/>
  <c r="Q217" i="9"/>
  <c r="W217" i="9"/>
  <c r="P111" i="9"/>
  <c r="V111" i="9"/>
  <c r="S27" i="13"/>
  <c r="AB27" i="13"/>
  <c r="W27" i="13"/>
  <c r="AF27" i="13"/>
  <c r="Q27" i="13"/>
  <c r="Z27" i="13"/>
  <c r="R27" i="13"/>
  <c r="AA27" i="13"/>
  <c r="X27" i="13"/>
  <c r="AG27" i="13"/>
  <c r="T27" i="13"/>
  <c r="AC27" i="13"/>
  <c r="V27" i="13"/>
  <c r="AE27" i="13"/>
  <c r="U27" i="13"/>
  <c r="AD27" i="13"/>
  <c r="AZ27" i="13"/>
  <c r="Q245" i="8"/>
  <c r="Z245" i="8"/>
  <c r="W245" i="8"/>
  <c r="AF245" i="8"/>
  <c r="R245" i="8"/>
  <c r="AA245" i="8"/>
  <c r="S36" i="8"/>
  <c r="AB36" i="8"/>
  <c r="V36" i="8"/>
  <c r="AE36" i="8"/>
  <c r="U36" i="8"/>
  <c r="AD36" i="8"/>
  <c r="Q31" i="13"/>
  <c r="Z31" i="13"/>
  <c r="X31" i="13"/>
  <c r="AG31" i="13"/>
  <c r="O35" i="9"/>
  <c r="U35" i="9"/>
  <c r="N35" i="9"/>
  <c r="T35" i="9"/>
  <c r="Q35" i="9"/>
  <c r="W35" i="9"/>
  <c r="P35" i="9"/>
  <c r="V35" i="9"/>
  <c r="M35" i="9"/>
  <c r="S35" i="9"/>
  <c r="S169" i="11"/>
  <c r="AB169" i="11"/>
  <c r="U169" i="11"/>
  <c r="AD169" i="11"/>
  <c r="Q169" i="11"/>
  <c r="Z169" i="11"/>
  <c r="X169" i="11"/>
  <c r="AG169" i="11"/>
  <c r="T169" i="11"/>
  <c r="AC169" i="11"/>
  <c r="V169" i="11"/>
  <c r="AE169" i="11"/>
  <c r="AZ169" i="11"/>
  <c r="W169" i="11"/>
  <c r="AF169" i="11"/>
  <c r="M110" i="9"/>
  <c r="S110" i="9"/>
  <c r="O110" i="9"/>
  <c r="U110" i="9"/>
  <c r="N110" i="9"/>
  <c r="T110" i="9"/>
  <c r="Q110" i="9"/>
  <c r="W110" i="9"/>
  <c r="P110" i="9"/>
  <c r="V110" i="9"/>
  <c r="W287" i="8"/>
  <c r="AF287" i="8"/>
  <c r="T261" i="8"/>
  <c r="AC261" i="8"/>
  <c r="M82" i="9"/>
  <c r="S82" i="9"/>
  <c r="T140" i="8"/>
  <c r="AC140" i="8"/>
  <c r="AK70" i="13"/>
  <c r="AV14" i="12"/>
  <c r="O225" i="9"/>
  <c r="U225" i="9"/>
  <c r="Q225" i="9"/>
  <c r="W225" i="9"/>
  <c r="M225" i="9"/>
  <c r="S225" i="9"/>
  <c r="N225" i="9"/>
  <c r="T225" i="9"/>
  <c r="P225" i="9"/>
  <c r="V225" i="9"/>
  <c r="O124" i="9"/>
  <c r="U124" i="9"/>
  <c r="N124" i="9"/>
  <c r="T124" i="9"/>
  <c r="Q124" i="9"/>
  <c r="W124" i="9"/>
  <c r="M124" i="9"/>
  <c r="S124" i="9"/>
  <c r="P124" i="9"/>
  <c r="V124" i="9"/>
  <c r="AG63" i="12"/>
  <c r="AO63" i="12"/>
  <c r="AI63" i="12"/>
  <c r="AQ63" i="12"/>
  <c r="S197" i="8"/>
  <c r="AB197" i="8"/>
  <c r="W197" i="8"/>
  <c r="AF197" i="8"/>
  <c r="U197" i="8"/>
  <c r="AD197" i="8"/>
  <c r="Q197" i="8"/>
  <c r="Z197" i="8"/>
  <c r="T197" i="8"/>
  <c r="AC197" i="8"/>
  <c r="V197" i="8"/>
  <c r="AE197" i="8"/>
  <c r="X197" i="8"/>
  <c r="AG197" i="8"/>
  <c r="R197" i="8"/>
  <c r="AA197" i="8"/>
  <c r="Q126" i="8"/>
  <c r="Z126" i="8"/>
  <c r="AO307" i="8"/>
  <c r="R287" i="8"/>
  <c r="AA287" i="8"/>
  <c r="T287" i="8"/>
  <c r="AC287" i="8"/>
  <c r="N82" i="9"/>
  <c r="T82" i="9"/>
  <c r="X140" i="8"/>
  <c r="AG140" i="8"/>
  <c r="W181" i="8"/>
  <c r="AF181" i="8"/>
  <c r="AK307" i="8"/>
  <c r="AI307" i="8"/>
  <c r="AN70" i="13"/>
  <c r="AC63" i="9"/>
  <c r="AZ14" i="12"/>
  <c r="R167" i="11"/>
  <c r="AA167" i="11"/>
  <c r="X167" i="11"/>
  <c r="AG167" i="11"/>
  <c r="U167" i="11"/>
  <c r="AD167" i="11"/>
  <c r="AZ167" i="11"/>
  <c r="T167" i="11"/>
  <c r="AC167" i="11"/>
  <c r="S167" i="11"/>
  <c r="AB167" i="11"/>
  <c r="W167" i="11"/>
  <c r="AF167" i="11"/>
  <c r="Q167" i="11"/>
  <c r="Z167" i="11"/>
  <c r="V167" i="11"/>
  <c r="AE167" i="11"/>
  <c r="Q186" i="8"/>
  <c r="Z186" i="8"/>
  <c r="R186" i="8"/>
  <c r="AA186" i="8"/>
  <c r="V186" i="8"/>
  <c r="AE186" i="8"/>
  <c r="W139" i="8"/>
  <c r="AF139" i="8"/>
  <c r="AL38" i="8"/>
  <c r="N139" i="9"/>
  <c r="T139" i="9"/>
  <c r="N223" i="9"/>
  <c r="T223" i="9"/>
  <c r="O142" i="10"/>
  <c r="R142" i="10"/>
  <c r="M233" i="9"/>
  <c r="S233" i="9"/>
  <c r="I185" i="9"/>
  <c r="O185" i="9"/>
  <c r="U185" i="9"/>
  <c r="AO92" i="8"/>
  <c r="AM92" i="8"/>
  <c r="AK92" i="8"/>
  <c r="AP92" i="8"/>
  <c r="AJ92" i="8"/>
  <c r="M92" i="8"/>
  <c r="AN92" i="8"/>
  <c r="AI92" i="8"/>
  <c r="AL92" i="8"/>
  <c r="AP174" i="8"/>
  <c r="M174" i="8"/>
  <c r="AN174" i="8"/>
  <c r="AJ174" i="8"/>
  <c r="AI174" i="8"/>
  <c r="AL174" i="8"/>
  <c r="AO174" i="8"/>
  <c r="AM174" i="8"/>
  <c r="AK174" i="8"/>
  <c r="N175" i="8"/>
  <c r="Y293" i="9"/>
  <c r="I293" i="9"/>
  <c r="M274" i="9"/>
  <c r="S274" i="9"/>
  <c r="N274" i="9"/>
  <c r="T274" i="9"/>
  <c r="O274" i="9"/>
  <c r="U274" i="9"/>
  <c r="Q274" i="9"/>
  <c r="W274" i="9"/>
  <c r="P274" i="9"/>
  <c r="V274" i="9"/>
  <c r="T51" i="8"/>
  <c r="AC51" i="8"/>
  <c r="Q51" i="8"/>
  <c r="Z51" i="8"/>
  <c r="V51" i="8"/>
  <c r="AE51" i="8"/>
  <c r="U51" i="8"/>
  <c r="AD51" i="8"/>
  <c r="X51" i="8"/>
  <c r="AG51" i="8"/>
  <c r="S51" i="8"/>
  <c r="AB51" i="8"/>
  <c r="R51" i="8"/>
  <c r="AA51" i="8"/>
  <c r="W51" i="8"/>
  <c r="AF51" i="8"/>
  <c r="R155" i="11"/>
  <c r="AA155" i="11"/>
  <c r="T155" i="11"/>
  <c r="AC155" i="11"/>
  <c r="Q155" i="11"/>
  <c r="Z155" i="11"/>
  <c r="W155" i="11"/>
  <c r="AF155" i="11"/>
  <c r="X155" i="11"/>
  <c r="AG155" i="11"/>
  <c r="AZ155" i="11"/>
  <c r="U155" i="11"/>
  <c r="AD155" i="11"/>
  <c r="V155" i="11"/>
  <c r="AE155" i="11"/>
  <c r="S155" i="11"/>
  <c r="AB155" i="11"/>
  <c r="O73" i="9"/>
  <c r="U73" i="9"/>
  <c r="Q73" i="9"/>
  <c r="W73" i="9"/>
  <c r="AH27" i="12"/>
  <c r="AP27" i="12"/>
  <c r="AI27" i="12"/>
  <c r="AQ27" i="12"/>
  <c r="AK27" i="12"/>
  <c r="AS27" i="12"/>
  <c r="AL27" i="12"/>
  <c r="AT27" i="12"/>
  <c r="AJ27" i="12"/>
  <c r="AR27" i="12"/>
  <c r="AF27" i="12"/>
  <c r="AN27" i="12"/>
  <c r="I146" i="9"/>
  <c r="Y146" i="9"/>
  <c r="AA146" i="9"/>
  <c r="Z146" i="9"/>
  <c r="M293" i="8"/>
  <c r="AM293" i="8"/>
  <c r="AK293" i="8"/>
  <c r="AL293" i="8"/>
  <c r="AP293" i="8"/>
  <c r="AN293" i="8"/>
  <c r="AJ293" i="8"/>
  <c r="AO293" i="8"/>
  <c r="M335" i="9"/>
  <c r="M336" i="9"/>
  <c r="M337" i="9"/>
  <c r="M338" i="9"/>
  <c r="Y91" i="9"/>
  <c r="N73" i="9"/>
  <c r="T73" i="9"/>
  <c r="N181" i="9"/>
  <c r="T181" i="9"/>
  <c r="X29" i="13"/>
  <c r="AG29" i="13"/>
  <c r="V29" i="13"/>
  <c r="AE29" i="13"/>
  <c r="AZ29" i="13"/>
  <c r="Q29" i="13"/>
  <c r="Z29" i="13"/>
  <c r="S29" i="13"/>
  <c r="AB29" i="13"/>
  <c r="U29" i="13"/>
  <c r="AD29" i="13"/>
  <c r="T29" i="13"/>
  <c r="AC29" i="13"/>
  <c r="R29" i="13"/>
  <c r="AA29" i="13"/>
  <c r="I205" i="9"/>
  <c r="AB205" i="9"/>
  <c r="Y205" i="9"/>
  <c r="AC205" i="9"/>
  <c r="AA205" i="9"/>
  <c r="Z205" i="9"/>
  <c r="AJ176" i="8"/>
  <c r="AM176" i="8"/>
  <c r="AI176" i="8"/>
  <c r="AK176" i="8"/>
  <c r="M176" i="8"/>
  <c r="AL176" i="8"/>
  <c r="AO176" i="8"/>
  <c r="AN176" i="8"/>
  <c r="AP176" i="8"/>
  <c r="AB26" i="9"/>
  <c r="I26" i="9"/>
  <c r="Z26" i="9"/>
  <c r="AB92" i="9"/>
  <c r="AA92" i="9"/>
  <c r="I92" i="9"/>
  <c r="AC92" i="9"/>
  <c r="Z92" i="9"/>
  <c r="Y92" i="9"/>
  <c r="O223" i="9"/>
  <c r="U223" i="9"/>
  <c r="M223" i="9"/>
  <c r="S223" i="9"/>
  <c r="AC146" i="9"/>
  <c r="AI293" i="8"/>
  <c r="P283" i="9"/>
  <c r="V283" i="9"/>
  <c r="Q283" i="9"/>
  <c r="W283" i="9"/>
  <c r="N283" i="9"/>
  <c r="T283" i="9"/>
  <c r="O283" i="9"/>
  <c r="U283" i="9"/>
  <c r="M283" i="9"/>
  <c r="S283" i="9"/>
  <c r="U40" i="16"/>
  <c r="AM40" i="16"/>
  <c r="R40" i="16"/>
  <c r="AJ40" i="16"/>
  <c r="T40" i="16"/>
  <c r="AL40" i="16"/>
  <c r="S40" i="16"/>
  <c r="AK40" i="16"/>
  <c r="AZ40" i="16"/>
  <c r="X40" i="16"/>
  <c r="AP40" i="16"/>
  <c r="W40" i="16"/>
  <c r="AO40" i="16"/>
  <c r="V40" i="16"/>
  <c r="AN40" i="16"/>
  <c r="Q40" i="16"/>
  <c r="AI40" i="16"/>
  <c r="P235" i="9"/>
  <c r="V235" i="9"/>
  <c r="M235" i="9"/>
  <c r="S235" i="9"/>
  <c r="O235" i="9"/>
  <c r="U235" i="9"/>
  <c r="N235" i="9"/>
  <c r="T235" i="9"/>
  <c r="Q235" i="9"/>
  <c r="W235" i="9"/>
  <c r="AL79" i="13"/>
  <c r="AP79" i="13"/>
  <c r="AM79" i="13"/>
  <c r="AK79" i="13"/>
  <c r="AJ79" i="13"/>
  <c r="AI79" i="13"/>
  <c r="AO79" i="13"/>
  <c r="AN79" i="13"/>
  <c r="M79" i="13"/>
  <c r="AB307" i="9"/>
  <c r="I307" i="9"/>
  <c r="Z307" i="9"/>
  <c r="Y307" i="9"/>
  <c r="U160" i="11"/>
  <c r="AD160" i="11"/>
  <c r="W160" i="11"/>
  <c r="AF160" i="11"/>
  <c r="T160" i="11"/>
  <c r="AC160" i="11"/>
  <c r="S160" i="11"/>
  <c r="AB160" i="11"/>
  <c r="W74" i="13"/>
  <c r="AF74" i="13"/>
  <c r="T74" i="13"/>
  <c r="AC74" i="13"/>
  <c r="X74" i="13"/>
  <c r="AG74" i="13"/>
  <c r="AA307" i="9"/>
  <c r="Q177" i="11"/>
  <c r="Z177" i="11"/>
  <c r="V177" i="11"/>
  <c r="AE177" i="11"/>
  <c r="R177" i="11"/>
  <c r="AA177" i="11"/>
  <c r="X177" i="11"/>
  <c r="AG177" i="11"/>
  <c r="S177" i="11"/>
  <c r="AB177" i="11"/>
  <c r="W177" i="11"/>
  <c r="AF177" i="11"/>
  <c r="T177" i="11"/>
  <c r="AC177" i="11"/>
  <c r="M86" i="8"/>
  <c r="AJ86" i="8"/>
  <c r="AB174" i="9"/>
  <c r="I174" i="9"/>
  <c r="Z174" i="9"/>
  <c r="AC174" i="9"/>
  <c r="AA174" i="9"/>
  <c r="J175" i="9"/>
  <c r="Q275" i="9"/>
  <c r="W275" i="9"/>
  <c r="N275" i="9"/>
  <c r="T275" i="9"/>
  <c r="P275" i="9"/>
  <c r="V275" i="9"/>
  <c r="O275" i="9"/>
  <c r="U275" i="9"/>
  <c r="M275" i="9"/>
  <c r="S275" i="9"/>
  <c r="S186" i="8"/>
  <c r="AB186" i="8"/>
  <c r="W226" i="8"/>
  <c r="AF226" i="8"/>
  <c r="T139" i="8"/>
  <c r="AC139" i="8"/>
  <c r="S256" i="8"/>
  <c r="AB256" i="8"/>
  <c r="M302" i="9"/>
  <c r="S302" i="9"/>
  <c r="AM38" i="8"/>
  <c r="AC207" i="9"/>
  <c r="AB207" i="9"/>
  <c r="M207" i="9"/>
  <c r="S207" i="9"/>
  <c r="AF48" i="12"/>
  <c r="AN48" i="12"/>
  <c r="T256" i="8"/>
  <c r="AC256" i="8"/>
  <c r="Q160" i="11"/>
  <c r="Z160" i="11"/>
  <c r="O217" i="9"/>
  <c r="U217" i="9"/>
  <c r="P204" i="9"/>
  <c r="V204" i="9"/>
  <c r="X244" i="8"/>
  <c r="AG244" i="8"/>
  <c r="V244" i="8"/>
  <c r="AE244" i="8"/>
  <c r="R244" i="8"/>
  <c r="AA244" i="8"/>
  <c r="S244" i="8"/>
  <c r="AB244" i="8"/>
  <c r="U244" i="8"/>
  <c r="AD244" i="8"/>
  <c r="Q244" i="8"/>
  <c r="Z244" i="8"/>
  <c r="T244" i="8"/>
  <c r="AC244" i="8"/>
  <c r="W244" i="8"/>
  <c r="AF244" i="8"/>
  <c r="AF52" i="12"/>
  <c r="AN52" i="12"/>
  <c r="AJ52" i="12"/>
  <c r="AR52" i="12"/>
  <c r="AI52" i="12"/>
  <c r="AQ52" i="12"/>
  <c r="AH52" i="12"/>
  <c r="AP52" i="12"/>
  <c r="AL52" i="12"/>
  <c r="AT52" i="12"/>
  <c r="AG52" i="12"/>
  <c r="AO52" i="12"/>
  <c r="AK52" i="12"/>
  <c r="AS52" i="12"/>
  <c r="AL14" i="12"/>
  <c r="AT14" i="12"/>
  <c r="AJ14" i="12"/>
  <c r="AR14" i="12"/>
  <c r="AI14" i="12"/>
  <c r="AQ14" i="12"/>
  <c r="AH14" i="12"/>
  <c r="AP14" i="12"/>
  <c r="AG14" i="12"/>
  <c r="AO14" i="12"/>
  <c r="AK14" i="12"/>
  <c r="AS14" i="12"/>
  <c r="AF14" i="12"/>
  <c r="AN14" i="12"/>
  <c r="T173" i="11"/>
  <c r="AC173" i="11"/>
  <c r="S173" i="11"/>
  <c r="AB173" i="11"/>
  <c r="U173" i="11"/>
  <c r="AD173" i="11"/>
  <c r="V173" i="11"/>
  <c r="AE173" i="11"/>
  <c r="R173" i="11"/>
  <c r="AA173" i="11"/>
  <c r="W173" i="11"/>
  <c r="AF173" i="11"/>
  <c r="AZ173" i="11"/>
  <c r="X173" i="11"/>
  <c r="AG173" i="11"/>
  <c r="Q173" i="11"/>
  <c r="Z173" i="11"/>
  <c r="AP179" i="8"/>
  <c r="AO179" i="8"/>
  <c r="AM179" i="8"/>
  <c r="AJ179" i="8"/>
  <c r="AI179" i="8"/>
  <c r="AL179" i="8"/>
  <c r="AN179" i="8"/>
  <c r="AK179" i="8"/>
  <c r="M77" i="9"/>
  <c r="S77" i="9"/>
  <c r="P77" i="9"/>
  <c r="V77" i="9"/>
  <c r="Q77" i="9"/>
  <c r="W77" i="9"/>
  <c r="O77" i="9"/>
  <c r="U77" i="9"/>
  <c r="N77" i="9"/>
  <c r="T77" i="9"/>
  <c r="I86" i="9"/>
  <c r="Z86" i="9"/>
  <c r="AB86" i="9"/>
  <c r="AK63" i="8"/>
  <c r="N64" i="8"/>
  <c r="AJ63" i="8"/>
  <c r="M63" i="8"/>
  <c r="W186" i="8"/>
  <c r="AF186" i="8"/>
  <c r="U186" i="8"/>
  <c r="AD186" i="8"/>
  <c r="T226" i="8"/>
  <c r="AC226" i="8"/>
  <c r="S139" i="8"/>
  <c r="AB139" i="8"/>
  <c r="R160" i="11"/>
  <c r="AA160" i="11"/>
  <c r="V237" i="8"/>
  <c r="AE237" i="8"/>
  <c r="X237" i="8"/>
  <c r="AG237" i="8"/>
  <c r="U98" i="8"/>
  <c r="AD98" i="8"/>
  <c r="T98" i="8"/>
  <c r="AC98" i="8"/>
  <c r="M307" i="8"/>
  <c r="AP307" i="8"/>
  <c r="U158" i="8"/>
  <c r="AD158" i="8"/>
  <c r="T158" i="8"/>
  <c r="AC158" i="8"/>
  <c r="R158" i="8"/>
  <c r="AA158" i="8"/>
  <c r="X158" i="8"/>
  <c r="AG158" i="8"/>
  <c r="V158" i="8"/>
  <c r="AE158" i="8"/>
  <c r="Q158" i="8"/>
  <c r="Z158" i="8"/>
  <c r="W158" i="8"/>
  <c r="AF158" i="8"/>
  <c r="S158" i="8"/>
  <c r="AB158" i="8"/>
  <c r="T46" i="11"/>
  <c r="AC46" i="11"/>
  <c r="V46" i="11"/>
  <c r="AE46" i="11"/>
  <c r="U46" i="11"/>
  <c r="AD46" i="11"/>
  <c r="R46" i="11"/>
  <c r="AA46" i="11"/>
  <c r="AZ46" i="11"/>
  <c r="X46" i="11"/>
  <c r="AG46" i="11"/>
  <c r="W46" i="11"/>
  <c r="AF46" i="11"/>
  <c r="Q46" i="11"/>
  <c r="Z46" i="11"/>
  <c r="S46" i="11"/>
  <c r="AB46" i="11"/>
  <c r="AM146" i="8"/>
  <c r="AP146" i="8"/>
  <c r="AJ146" i="8"/>
  <c r="AL146" i="8"/>
  <c r="AI146" i="8"/>
  <c r="M146" i="8"/>
  <c r="AO146" i="8"/>
  <c r="AK146" i="8"/>
  <c r="AN146" i="8"/>
  <c r="AL209" i="8"/>
  <c r="AJ209" i="8"/>
  <c r="AP209" i="8"/>
  <c r="AN209" i="8"/>
  <c r="AM209" i="8"/>
  <c r="AI209" i="8"/>
  <c r="N210" i="8"/>
  <c r="M209" i="8"/>
  <c r="AK209" i="8"/>
  <c r="AO209" i="8"/>
  <c r="AA112" i="16"/>
  <c r="R122" i="16"/>
  <c r="R124" i="16"/>
  <c r="AB146" i="9"/>
  <c r="Q44" i="8"/>
  <c r="Z44" i="8"/>
  <c r="W44" i="8"/>
  <c r="AF44" i="8"/>
  <c r="S44" i="8"/>
  <c r="AB44" i="8"/>
  <c r="S157" i="11"/>
  <c r="AB157" i="11"/>
  <c r="T157" i="11"/>
  <c r="AC157" i="11"/>
  <c r="V157" i="11"/>
  <c r="AE157" i="11"/>
  <c r="AZ157" i="11"/>
  <c r="R157" i="11"/>
  <c r="AA157" i="11"/>
  <c r="U157" i="11"/>
  <c r="AD157" i="11"/>
  <c r="W157" i="11"/>
  <c r="AF157" i="11"/>
  <c r="Q157" i="11"/>
  <c r="Z157" i="11"/>
  <c r="X157" i="11"/>
  <c r="AG157" i="11"/>
  <c r="V61" i="11"/>
  <c r="AE61" i="11"/>
  <c r="AZ61" i="11"/>
  <c r="R61" i="11"/>
  <c r="AA61" i="11"/>
  <c r="U61" i="11"/>
  <c r="AD61" i="11"/>
  <c r="W61" i="11"/>
  <c r="AF61" i="11"/>
  <c r="Q61" i="11"/>
  <c r="Z61" i="11"/>
  <c r="X61" i="11"/>
  <c r="AG61" i="11"/>
  <c r="T61" i="11"/>
  <c r="AC61" i="11"/>
  <c r="S61" i="11"/>
  <c r="AB61" i="11"/>
  <c r="S156" i="11"/>
  <c r="AB156" i="11"/>
  <c r="T156" i="11"/>
  <c r="AC156" i="11"/>
  <c r="W156" i="11"/>
  <c r="AF156" i="11"/>
  <c r="AC179" i="9"/>
  <c r="AB179" i="9"/>
  <c r="Y179" i="9"/>
  <c r="AA179" i="9"/>
  <c r="I179" i="9"/>
  <c r="Z179" i="9"/>
  <c r="Q285" i="9"/>
  <c r="W285" i="9"/>
  <c r="N285" i="9"/>
  <c r="T285" i="9"/>
  <c r="P285" i="9"/>
  <c r="V285" i="9"/>
  <c r="O285" i="9"/>
  <c r="U285" i="9"/>
  <c r="M285" i="9"/>
  <c r="S285" i="9"/>
  <c r="T43" i="11"/>
  <c r="AC43" i="11"/>
  <c r="S43" i="11"/>
  <c r="AB43" i="11"/>
  <c r="U43" i="11"/>
  <c r="AD43" i="11"/>
  <c r="R43" i="11"/>
  <c r="AA43" i="11"/>
  <c r="Q43" i="11"/>
  <c r="Z43" i="11"/>
  <c r="X43" i="11"/>
  <c r="AG43" i="11"/>
  <c r="W43" i="11"/>
  <c r="AF43" i="11"/>
  <c r="AL81" i="13"/>
  <c r="AK81" i="13"/>
  <c r="M81" i="13"/>
  <c r="AJ81" i="13"/>
  <c r="AP81" i="13"/>
  <c r="AM81" i="13"/>
  <c r="AN81" i="13"/>
  <c r="AO81" i="13"/>
  <c r="AC176" i="9"/>
  <c r="Y176" i="9"/>
  <c r="I176" i="9"/>
  <c r="AA176" i="9"/>
  <c r="Z176" i="9"/>
  <c r="I63" i="9"/>
  <c r="J64" i="9"/>
  <c r="Y63" i="9"/>
  <c r="AA63" i="9"/>
  <c r="AB63" i="9"/>
  <c r="Q223" i="9"/>
  <c r="W223" i="9"/>
  <c r="M73" i="9"/>
  <c r="S73" i="9"/>
  <c r="P73" i="9"/>
  <c r="V73" i="9"/>
  <c r="T34" i="8"/>
  <c r="AC34" i="8"/>
  <c r="V34" i="8"/>
  <c r="AE34" i="8"/>
  <c r="V242" i="8"/>
  <c r="AE242" i="8"/>
  <c r="W242" i="8"/>
  <c r="AF242" i="8"/>
  <c r="AP38" i="13"/>
  <c r="AK38" i="13"/>
  <c r="AN38" i="13"/>
  <c r="M38" i="13"/>
  <c r="AJ38" i="13"/>
  <c r="AL38" i="13"/>
  <c r="AO38" i="13"/>
  <c r="AM38" i="13"/>
  <c r="AI38" i="13"/>
  <c r="P29" i="9"/>
  <c r="V29" i="9"/>
  <c r="Q29" i="9"/>
  <c r="W29" i="9"/>
  <c r="M29" i="9"/>
  <c r="S29" i="9"/>
  <c r="G37" i="19"/>
  <c r="K37" i="19"/>
  <c r="M37" i="19"/>
  <c r="O37" i="19"/>
  <c r="AM26" i="8"/>
  <c r="AO26" i="8"/>
  <c r="AL26" i="8"/>
  <c r="AJ26" i="8"/>
  <c r="M26" i="8"/>
  <c r="N27" i="8"/>
  <c r="AK26" i="8"/>
  <c r="AN26" i="8"/>
  <c r="AP26" i="8"/>
  <c r="AI26" i="8"/>
  <c r="I209" i="9"/>
  <c r="J210" i="9"/>
  <c r="Y209" i="9"/>
  <c r="AB209" i="9"/>
  <c r="AA209" i="9"/>
  <c r="AC209" i="9"/>
  <c r="Z209" i="9"/>
  <c r="G8" i="14"/>
  <c r="O8" i="14"/>
  <c r="U81" i="8"/>
  <c r="AD81" i="8"/>
  <c r="W81" i="8"/>
  <c r="AF81" i="8"/>
  <c r="R81" i="8"/>
  <c r="AA81" i="8"/>
  <c r="Q81" i="8"/>
  <c r="Z81" i="8"/>
  <c r="S81" i="8"/>
  <c r="AB81" i="8"/>
  <c r="M46" i="17"/>
  <c r="M44" i="17"/>
  <c r="Q158" i="9"/>
  <c r="W158" i="9"/>
  <c r="O158" i="9"/>
  <c r="U158" i="9"/>
  <c r="N158" i="9"/>
  <c r="T158" i="9"/>
  <c r="M158" i="9"/>
  <c r="S158" i="9"/>
  <c r="O112" i="9"/>
  <c r="U112" i="9"/>
  <c r="Q112" i="9"/>
  <c r="W112" i="9"/>
  <c r="M112" i="9"/>
  <c r="S112" i="9"/>
  <c r="N112" i="9"/>
  <c r="T112" i="9"/>
  <c r="P112" i="9"/>
  <c r="V112" i="9"/>
  <c r="N229" i="9"/>
  <c r="T229" i="9"/>
  <c r="O229" i="9"/>
  <c r="U229" i="9"/>
  <c r="Q229" i="9"/>
  <c r="W229" i="9"/>
  <c r="M229" i="9"/>
  <c r="S229" i="9"/>
  <c r="P229" i="9"/>
  <c r="V229" i="9"/>
  <c r="Q59" i="13"/>
  <c r="Z59" i="13"/>
  <c r="T59" i="13"/>
  <c r="AC59" i="13"/>
  <c r="X59" i="13"/>
  <c r="AG59" i="13"/>
  <c r="S59" i="13"/>
  <c r="AB59" i="13"/>
  <c r="W59" i="13"/>
  <c r="AF59" i="13"/>
  <c r="R59" i="13"/>
  <c r="AA59" i="13"/>
  <c r="AZ59" i="13"/>
  <c r="U59" i="13"/>
  <c r="AD59" i="13"/>
  <c r="V59" i="13"/>
  <c r="AE59" i="13"/>
  <c r="P37" i="17"/>
  <c r="P36" i="17"/>
  <c r="P38" i="17"/>
  <c r="Q106" i="9"/>
  <c r="W106" i="9"/>
  <c r="O106" i="9"/>
  <c r="U106" i="9"/>
  <c r="V239" i="8"/>
  <c r="AE239" i="8"/>
  <c r="W239" i="8"/>
  <c r="AF239" i="8"/>
  <c r="T239" i="8"/>
  <c r="AC239" i="8"/>
  <c r="Q239" i="8"/>
  <c r="Z239" i="8"/>
  <c r="U239" i="8"/>
  <c r="AD239" i="8"/>
  <c r="S239" i="8"/>
  <c r="AB239" i="8"/>
  <c r="R239" i="8"/>
  <c r="AA239" i="8"/>
  <c r="X239" i="8"/>
  <c r="AG239" i="8"/>
  <c r="AY80" i="12"/>
  <c r="AI91" i="12"/>
  <c r="AI93" i="12"/>
  <c r="Q240" i="9"/>
  <c r="W240" i="9"/>
  <c r="T263" i="8"/>
  <c r="AC263" i="8"/>
  <c r="Q191" i="8"/>
  <c r="Z191" i="8"/>
  <c r="Q71" i="9"/>
  <c r="W71" i="9"/>
  <c r="M71" i="9"/>
  <c r="S71" i="9"/>
  <c r="O100" i="9"/>
  <c r="U100" i="9"/>
  <c r="M242" i="9"/>
  <c r="S242" i="9"/>
  <c r="N159" i="10"/>
  <c r="Q159" i="10"/>
  <c r="O159" i="10"/>
  <c r="R159" i="10"/>
  <c r="AF55" i="12"/>
  <c r="AN55" i="12"/>
  <c r="AG55" i="12"/>
  <c r="AO55" i="12"/>
  <c r="AJ55" i="12"/>
  <c r="AR55" i="12"/>
  <c r="AB8" i="12"/>
  <c r="AW8" i="12"/>
  <c r="AW80" i="12"/>
  <c r="AG91" i="12"/>
  <c r="AG93" i="12"/>
  <c r="S146" i="11"/>
  <c r="AB146" i="11"/>
  <c r="W146" i="11"/>
  <c r="AF146" i="11"/>
  <c r="R146" i="11"/>
  <c r="AA146" i="11"/>
  <c r="Q146" i="11"/>
  <c r="Z146" i="11"/>
  <c r="X146" i="11"/>
  <c r="AG146" i="11"/>
  <c r="T146" i="11"/>
  <c r="AC146" i="11"/>
  <c r="U146" i="11"/>
  <c r="AD146" i="11"/>
  <c r="V146" i="11"/>
  <c r="AE146" i="11"/>
  <c r="AZ146" i="11"/>
  <c r="R38" i="16"/>
  <c r="M112" i="16"/>
  <c r="AZ38" i="16"/>
  <c r="Q38" i="16"/>
  <c r="S38" i="16"/>
  <c r="T38" i="16"/>
  <c r="U38" i="16"/>
  <c r="X38" i="16"/>
  <c r="W38" i="16"/>
  <c r="V38" i="16"/>
  <c r="W240" i="8"/>
  <c r="AF240" i="8"/>
  <c r="R240" i="8"/>
  <c r="AA240" i="8"/>
  <c r="X281" i="8"/>
  <c r="AG281" i="8"/>
  <c r="W281" i="8"/>
  <c r="AF281" i="8"/>
  <c r="T281" i="8"/>
  <c r="AC281" i="8"/>
  <c r="R281" i="8"/>
  <c r="AA281" i="8"/>
  <c r="Q281" i="8"/>
  <c r="Z281" i="8"/>
  <c r="U281" i="8"/>
  <c r="AD281" i="8"/>
  <c r="O8" i="19"/>
  <c r="G8" i="19"/>
  <c r="N116" i="9"/>
  <c r="T116" i="9"/>
  <c r="P116" i="9"/>
  <c r="V116" i="9"/>
  <c r="M116" i="9"/>
  <c r="S116" i="9"/>
  <c r="O116" i="9"/>
  <c r="U116" i="9"/>
  <c r="Q116" i="9"/>
  <c r="W116" i="9"/>
  <c r="Q56" i="9"/>
  <c r="W56" i="9"/>
  <c r="P56" i="9"/>
  <c r="V56" i="9"/>
  <c r="M56" i="9"/>
  <c r="S56" i="9"/>
  <c r="N56" i="9"/>
  <c r="T56" i="9"/>
  <c r="O56" i="9"/>
  <c r="U56" i="9"/>
  <c r="P180" i="9"/>
  <c r="V180" i="9"/>
  <c r="M240" i="9"/>
  <c r="S240" i="9"/>
  <c r="T81" i="8"/>
  <c r="AC81" i="8"/>
  <c r="T191" i="8"/>
  <c r="AC191" i="8"/>
  <c r="S29" i="8"/>
  <c r="AB29" i="8"/>
  <c r="X29" i="8"/>
  <c r="AG29" i="8"/>
  <c r="N71" i="9"/>
  <c r="T71" i="9"/>
  <c r="W78" i="13"/>
  <c r="AF78" i="13"/>
  <c r="V78" i="13"/>
  <c r="AE78" i="13"/>
  <c r="R78" i="13"/>
  <c r="AA78" i="13"/>
  <c r="U78" i="13"/>
  <c r="AD78" i="13"/>
  <c r="T78" i="13"/>
  <c r="AC78" i="13"/>
  <c r="AZ78" i="13"/>
  <c r="Q78" i="13"/>
  <c r="Z78" i="13"/>
  <c r="X78" i="13"/>
  <c r="AG78" i="13"/>
  <c r="S78" i="13"/>
  <c r="AB78" i="13"/>
  <c r="T179" i="11"/>
  <c r="AC179" i="11"/>
  <c r="S179" i="11"/>
  <c r="AB179" i="11"/>
  <c r="Q179" i="11"/>
  <c r="Z179" i="11"/>
  <c r="AZ179" i="11"/>
  <c r="V179" i="11"/>
  <c r="AE179" i="11"/>
  <c r="W179" i="11"/>
  <c r="AF179" i="11"/>
  <c r="R179" i="11"/>
  <c r="AA179" i="11"/>
  <c r="U179" i="11"/>
  <c r="AD179" i="11"/>
  <c r="X179" i="11"/>
  <c r="AG179" i="11"/>
  <c r="R47" i="11"/>
  <c r="AA47" i="11"/>
  <c r="Q47" i="11"/>
  <c r="Z47" i="11"/>
  <c r="V47" i="11"/>
  <c r="AE47" i="11"/>
  <c r="U47" i="11"/>
  <c r="AD47" i="11"/>
  <c r="AZ47" i="11"/>
  <c r="X47" i="11"/>
  <c r="AG47" i="11"/>
  <c r="S47" i="11"/>
  <c r="AB47" i="11"/>
  <c r="T47" i="11"/>
  <c r="AC47" i="11"/>
  <c r="W47" i="11"/>
  <c r="AF47" i="11"/>
  <c r="AH68" i="12"/>
  <c r="AP68" i="12"/>
  <c r="AG68" i="12"/>
  <c r="AO68" i="12"/>
  <c r="AK68" i="12"/>
  <c r="AS68" i="12"/>
  <c r="AL68" i="12"/>
  <c r="AT68" i="12"/>
  <c r="AF68" i="12"/>
  <c r="AN68" i="12"/>
  <c r="AJ68" i="12"/>
  <c r="AR68" i="12"/>
  <c r="AI68" i="12"/>
  <c r="AQ68" i="12"/>
  <c r="AZ168" i="11"/>
  <c r="X168" i="11"/>
  <c r="AG168" i="11"/>
  <c r="U168" i="11"/>
  <c r="AD168" i="11"/>
  <c r="R168" i="11"/>
  <c r="AA168" i="11"/>
  <c r="Q168" i="11"/>
  <c r="Z168" i="11"/>
  <c r="V168" i="11"/>
  <c r="AE168" i="11"/>
  <c r="W168" i="11"/>
  <c r="AF168" i="11"/>
  <c r="S168" i="11"/>
  <c r="AB168" i="11"/>
  <c r="T168" i="11"/>
  <c r="AC168" i="11"/>
  <c r="G32" i="14"/>
  <c r="K32" i="14"/>
  <c r="M32" i="14"/>
  <c r="O32" i="14"/>
  <c r="Z112" i="16"/>
  <c r="Q122" i="16"/>
  <c r="N219" i="9"/>
  <c r="T219" i="9"/>
  <c r="O219" i="9"/>
  <c r="U219" i="9"/>
  <c r="M219" i="9"/>
  <c r="S219" i="9"/>
  <c r="W166" i="11"/>
  <c r="AF166" i="11"/>
  <c r="T166" i="11"/>
  <c r="AC166" i="11"/>
  <c r="S166" i="11"/>
  <c r="AB166" i="11"/>
  <c r="R166" i="11"/>
  <c r="AA166" i="11"/>
  <c r="X166" i="11"/>
  <c r="AG166" i="11"/>
  <c r="AZ166" i="11"/>
  <c r="U166" i="11"/>
  <c r="AD166" i="11"/>
  <c r="V166" i="11"/>
  <c r="AE166" i="11"/>
  <c r="Q166" i="11"/>
  <c r="Z166" i="11"/>
  <c r="O184" i="9"/>
  <c r="U184" i="9"/>
  <c r="Q184" i="9"/>
  <c r="W184" i="9"/>
  <c r="M184" i="9"/>
  <c r="S184" i="9"/>
  <c r="N184" i="9"/>
  <c r="T184" i="9"/>
  <c r="P184" i="9"/>
  <c r="V184" i="9"/>
  <c r="V77" i="8"/>
  <c r="AE77" i="8"/>
  <c r="X77" i="8"/>
  <c r="AG77" i="8"/>
  <c r="S165" i="11"/>
  <c r="AB165" i="11"/>
  <c r="R165" i="11"/>
  <c r="AA165" i="11"/>
  <c r="W165" i="11"/>
  <c r="AF165" i="11"/>
  <c r="T165" i="11"/>
  <c r="AC165" i="11"/>
  <c r="AZ165" i="11"/>
  <c r="U165" i="11"/>
  <c r="AD165" i="11"/>
  <c r="V165" i="11"/>
  <c r="AE165" i="11"/>
  <c r="Q165" i="11"/>
  <c r="Z165" i="11"/>
  <c r="X165" i="11"/>
  <c r="AG165" i="11"/>
  <c r="AO67" i="13"/>
  <c r="AK67" i="13"/>
  <c r="M67" i="13"/>
  <c r="AM67" i="13"/>
  <c r="AJ67" i="13"/>
  <c r="AN67" i="13"/>
  <c r="AP67" i="13"/>
  <c r="AL67" i="13"/>
  <c r="AI67" i="13"/>
  <c r="AG71" i="12"/>
  <c r="AO71" i="12"/>
  <c r="AF71" i="12"/>
  <c r="AN71" i="12"/>
  <c r="AI71" i="12"/>
  <c r="AQ71" i="12"/>
  <c r="AH71" i="12"/>
  <c r="AP71" i="12"/>
  <c r="AJ71" i="12"/>
  <c r="AR71" i="12"/>
  <c r="AL71" i="12"/>
  <c r="AT71" i="12"/>
  <c r="AK71" i="12"/>
  <c r="AS71" i="12"/>
  <c r="Q263" i="8"/>
  <c r="Z263" i="8"/>
  <c r="M180" i="9"/>
  <c r="S180" i="9"/>
  <c r="Q269" i="9"/>
  <c r="W269" i="9"/>
  <c r="X81" i="8"/>
  <c r="AG81" i="8"/>
  <c r="X191" i="8"/>
  <c r="AG191" i="8"/>
  <c r="R29" i="8"/>
  <c r="AA29" i="8"/>
  <c r="N106" i="9"/>
  <c r="T106" i="9"/>
  <c r="W191" i="8"/>
  <c r="AF191" i="8"/>
  <c r="T186" i="8"/>
  <c r="AC186" i="8"/>
  <c r="O242" i="9"/>
  <c r="U242" i="9"/>
  <c r="V77" i="13"/>
  <c r="AE77" i="13"/>
  <c r="S77" i="13"/>
  <c r="AB77" i="13"/>
  <c r="AZ77" i="13"/>
  <c r="Q77" i="13"/>
  <c r="Z77" i="13"/>
  <c r="T77" i="13"/>
  <c r="AC77" i="13"/>
  <c r="R77" i="13"/>
  <c r="AA77" i="13"/>
  <c r="W77" i="13"/>
  <c r="AF77" i="13"/>
  <c r="U77" i="13"/>
  <c r="AD77" i="13"/>
  <c r="X77" i="13"/>
  <c r="AG77" i="13"/>
  <c r="Q236" i="9"/>
  <c r="W236" i="9"/>
  <c r="O236" i="9"/>
  <c r="U236" i="9"/>
  <c r="P236" i="9"/>
  <c r="V236" i="9"/>
  <c r="M236" i="9"/>
  <c r="S236" i="9"/>
  <c r="N236" i="9"/>
  <c r="T236" i="9"/>
  <c r="U166" i="10"/>
  <c r="T166" i="10"/>
  <c r="J166" i="10"/>
  <c r="AZ79" i="11"/>
  <c r="X79" i="11"/>
  <c r="AG79" i="11"/>
  <c r="U79" i="11"/>
  <c r="AD79" i="11"/>
  <c r="R79" i="11"/>
  <c r="AA79" i="11"/>
  <c r="Q79" i="11"/>
  <c r="Z79" i="11"/>
  <c r="V79" i="11"/>
  <c r="AE79" i="11"/>
  <c r="S79" i="11"/>
  <c r="AB79" i="11"/>
  <c r="W79" i="11"/>
  <c r="AF79" i="11"/>
  <c r="T79" i="11"/>
  <c r="AC79" i="11"/>
  <c r="N57" i="9"/>
  <c r="T57" i="9"/>
  <c r="O57" i="9"/>
  <c r="U57" i="9"/>
  <c r="P57" i="9"/>
  <c r="V57" i="9"/>
  <c r="M32" i="13"/>
  <c r="AN32" i="13"/>
  <c r="AL32" i="13"/>
  <c r="N33" i="13"/>
  <c r="AK32" i="13"/>
  <c r="AO32" i="13"/>
  <c r="AJ32" i="13"/>
  <c r="AM32" i="13"/>
  <c r="AI32" i="13"/>
  <c r="AP32" i="13"/>
  <c r="W185" i="8"/>
  <c r="AF185" i="8"/>
  <c r="X185" i="8"/>
  <c r="AG185" i="8"/>
  <c r="O180" i="9"/>
  <c r="U180" i="9"/>
  <c r="N269" i="9"/>
  <c r="T269" i="9"/>
  <c r="V191" i="8"/>
  <c r="AE191" i="8"/>
  <c r="T178" i="8"/>
  <c r="AC178" i="8"/>
  <c r="P158" i="9"/>
  <c r="V158" i="9"/>
  <c r="Q100" i="9"/>
  <c r="W100" i="9"/>
  <c r="Q242" i="9"/>
  <c r="W242" i="9"/>
  <c r="P243" i="9"/>
  <c r="V243" i="9"/>
  <c r="Q243" i="9"/>
  <c r="W243" i="9"/>
  <c r="O243" i="9"/>
  <c r="U243" i="9"/>
  <c r="M243" i="9"/>
  <c r="S243" i="9"/>
  <c r="N243" i="9"/>
  <c r="T243" i="9"/>
  <c r="O288" i="9"/>
  <c r="U288" i="9"/>
  <c r="N288" i="9"/>
  <c r="T288" i="9"/>
  <c r="Q288" i="9"/>
  <c r="W288" i="9"/>
  <c r="P288" i="9"/>
  <c r="V288" i="9"/>
  <c r="AP17" i="11"/>
  <c r="N8" i="13"/>
  <c r="N116" i="11"/>
  <c r="AO17" i="11"/>
  <c r="AL17" i="11"/>
  <c r="AK17" i="11"/>
  <c r="M17" i="11"/>
  <c r="AN17" i="11"/>
  <c r="AJ17" i="11"/>
  <c r="AM17" i="11"/>
  <c r="AI17" i="11"/>
  <c r="N140" i="11"/>
  <c r="M44" i="9"/>
  <c r="S44" i="9"/>
  <c r="Q44" i="9"/>
  <c r="W44" i="9"/>
  <c r="N44" i="9"/>
  <c r="T44" i="9"/>
  <c r="P44" i="9"/>
  <c r="V44" i="9"/>
  <c r="O44" i="9"/>
  <c r="U44" i="9"/>
  <c r="O269" i="9"/>
  <c r="U269" i="9"/>
  <c r="U191" i="8"/>
  <c r="AD191" i="8"/>
  <c r="S178" i="8"/>
  <c r="AB178" i="8"/>
  <c r="M106" i="9"/>
  <c r="S106" i="9"/>
  <c r="N284" i="9"/>
  <c r="T284" i="9"/>
  <c r="M284" i="9"/>
  <c r="S284" i="9"/>
  <c r="Q284" i="9"/>
  <c r="W284" i="9"/>
  <c r="O284" i="9"/>
  <c r="U284" i="9"/>
  <c r="P284" i="9"/>
  <c r="V284" i="9"/>
  <c r="AJ62" i="12"/>
  <c r="AR62" i="12"/>
  <c r="AK62" i="12"/>
  <c r="AS62" i="12"/>
  <c r="AF62" i="12"/>
  <c r="AN62" i="12"/>
  <c r="AL62" i="12"/>
  <c r="AT62" i="12"/>
  <c r="AI62" i="12"/>
  <c r="AQ62" i="12"/>
  <c r="AG62" i="12"/>
  <c r="AO62" i="12"/>
  <c r="AH62" i="12"/>
  <c r="AP62" i="12"/>
  <c r="X28" i="13"/>
  <c r="AG28" i="13"/>
  <c r="AZ28" i="13"/>
  <c r="U28" i="13"/>
  <c r="AD28" i="13"/>
  <c r="T28" i="13"/>
  <c r="AC28" i="13"/>
  <c r="Q28" i="13"/>
  <c r="Z28" i="13"/>
  <c r="W28" i="13"/>
  <c r="AF28" i="13"/>
  <c r="V28" i="13"/>
  <c r="AE28" i="13"/>
  <c r="S28" i="13"/>
  <c r="AB28" i="13"/>
  <c r="R28" i="13"/>
  <c r="AA28" i="13"/>
  <c r="AH48" i="12"/>
  <c r="AP48" i="12"/>
  <c r="AK48" i="12"/>
  <c r="AS48" i="12"/>
  <c r="J15" i="10"/>
  <c r="U15" i="10"/>
  <c r="T15" i="10"/>
  <c r="AH51" i="12"/>
  <c r="AP51" i="12"/>
  <c r="AK51" i="12"/>
  <c r="AS51" i="12"/>
  <c r="AL51" i="12"/>
  <c r="AT51" i="12"/>
  <c r="AI51" i="12"/>
  <c r="AQ51" i="12"/>
  <c r="AJ51" i="12"/>
  <c r="AR51" i="12"/>
  <c r="N127" i="9"/>
  <c r="T127" i="9"/>
  <c r="P127" i="9"/>
  <c r="V127" i="9"/>
  <c r="M127" i="9"/>
  <c r="S127" i="9"/>
  <c r="O127" i="9"/>
  <c r="U127" i="9"/>
  <c r="Q127" i="9"/>
  <c r="W127" i="9"/>
  <c r="AZ75" i="13"/>
  <c r="V75" i="13"/>
  <c r="AE75" i="13"/>
  <c r="S75" i="13"/>
  <c r="AB75" i="13"/>
  <c r="U75" i="13"/>
  <c r="AD75" i="13"/>
  <c r="R75" i="13"/>
  <c r="AA75" i="13"/>
  <c r="W75" i="13"/>
  <c r="AF75" i="13"/>
  <c r="Q75" i="13"/>
  <c r="Z75" i="13"/>
  <c r="T75" i="13"/>
  <c r="AC75" i="13"/>
  <c r="X75" i="13"/>
  <c r="AG75" i="13"/>
  <c r="M35" i="17"/>
  <c r="N173" i="10"/>
  <c r="Q173" i="10"/>
  <c r="O173" i="10"/>
  <c r="R173" i="10"/>
  <c r="N144" i="10"/>
  <c r="Q144" i="10"/>
  <c r="S137" i="8"/>
  <c r="AB137" i="8"/>
  <c r="P269" i="9"/>
  <c r="V269" i="9"/>
  <c r="W29" i="8"/>
  <c r="AF29" i="8"/>
  <c r="P71" i="9"/>
  <c r="V71" i="9"/>
  <c r="X154" i="11"/>
  <c r="AG154" i="11"/>
  <c r="S154" i="11"/>
  <c r="AB154" i="11"/>
  <c r="AZ154" i="11"/>
  <c r="U154" i="11"/>
  <c r="AD154" i="11"/>
  <c r="Q154" i="11"/>
  <c r="Z154" i="11"/>
  <c r="V154" i="11"/>
  <c r="AE154" i="11"/>
  <c r="R154" i="11"/>
  <c r="AA154" i="11"/>
  <c r="W154" i="11"/>
  <c r="AF154" i="11"/>
  <c r="T154" i="11"/>
  <c r="AC154" i="11"/>
  <c r="R98" i="16"/>
  <c r="AJ98" i="16"/>
  <c r="Q98" i="16"/>
  <c r="AI98" i="16"/>
  <c r="AZ98" i="16"/>
  <c r="S98" i="16"/>
  <c r="AK98" i="16"/>
  <c r="V98" i="16"/>
  <c r="AN98" i="16"/>
  <c r="W98" i="16"/>
  <c r="AO98" i="16"/>
  <c r="U98" i="16"/>
  <c r="AM98" i="16"/>
  <c r="T98" i="16"/>
  <c r="AL98" i="16"/>
  <c r="X98" i="16"/>
  <c r="AP98" i="16"/>
  <c r="T127" i="10"/>
  <c r="J127" i="10"/>
  <c r="U127" i="10"/>
  <c r="AZ100" i="16"/>
  <c r="R100" i="16"/>
  <c r="AJ100" i="16"/>
  <c r="Q100" i="16"/>
  <c r="AI100" i="16"/>
  <c r="T100" i="16"/>
  <c r="AL100" i="16"/>
  <c r="S100" i="16"/>
  <c r="AK100" i="16"/>
  <c r="U100" i="16"/>
  <c r="AM100" i="16"/>
  <c r="X100" i="16"/>
  <c r="AP100" i="16"/>
  <c r="V100" i="16"/>
  <c r="AN100" i="16"/>
  <c r="W100" i="16"/>
  <c r="AO100" i="16"/>
  <c r="P105" i="9"/>
  <c r="V105" i="9"/>
  <c r="N105" i="9"/>
  <c r="T105" i="9"/>
  <c r="O105" i="9"/>
  <c r="U105" i="9"/>
  <c r="Q105" i="9"/>
  <c r="W105" i="9"/>
  <c r="M105" i="9"/>
  <c r="S105" i="9"/>
  <c r="O81" i="9"/>
  <c r="U81" i="9"/>
  <c r="P81" i="9"/>
  <c r="V81" i="9"/>
  <c r="M81" i="9"/>
  <c r="S81" i="9"/>
  <c r="Q49" i="8"/>
  <c r="Z49" i="8"/>
  <c r="W49" i="8"/>
  <c r="AF49" i="8"/>
  <c r="V49" i="8"/>
  <c r="AE49" i="8"/>
  <c r="P46" i="17"/>
  <c r="P44" i="17"/>
  <c r="Q212" i="8"/>
  <c r="Z212" i="8"/>
  <c r="U252" i="8"/>
  <c r="AD252" i="8"/>
  <c r="Q137" i="9"/>
  <c r="W137" i="9"/>
  <c r="T255" i="8"/>
  <c r="AC255" i="8"/>
  <c r="U255" i="8"/>
  <c r="AD255" i="8"/>
  <c r="T29" i="8"/>
  <c r="AC29" i="8"/>
  <c r="P48" i="9"/>
  <c r="V48" i="9"/>
  <c r="Q207" i="9"/>
  <c r="W207" i="9"/>
  <c r="P254" i="9"/>
  <c r="V254" i="9"/>
  <c r="P137" i="9"/>
  <c r="V137" i="9"/>
  <c r="O137" i="9"/>
  <c r="U137" i="9"/>
  <c r="U139" i="8"/>
  <c r="AD139" i="8"/>
  <c r="X139" i="8"/>
  <c r="AG139" i="8"/>
  <c r="M137" i="9"/>
  <c r="S137" i="9"/>
  <c r="P30" i="9"/>
  <c r="V30" i="9"/>
  <c r="M30" i="9"/>
  <c r="S30" i="9"/>
  <c r="Q30" i="9"/>
  <c r="W30" i="9"/>
  <c r="N30" i="9"/>
  <c r="T30" i="9"/>
  <c r="O30" i="9"/>
  <c r="U30" i="9"/>
  <c r="X212" i="8"/>
  <c r="AG212" i="8"/>
  <c r="S91" i="8"/>
  <c r="AB91" i="8"/>
  <c r="W91" i="8"/>
  <c r="AF91" i="8"/>
  <c r="V91" i="8"/>
  <c r="AE91" i="8"/>
  <c r="T91" i="8"/>
  <c r="AC91" i="8"/>
  <c r="R91" i="8"/>
  <c r="AA91" i="8"/>
  <c r="X91" i="8"/>
  <c r="AG91" i="8"/>
  <c r="U91" i="8"/>
  <c r="AD91" i="8"/>
  <c r="Q91" i="8"/>
  <c r="Z91" i="8"/>
  <c r="U212" i="8"/>
  <c r="AD212" i="8"/>
  <c r="R252" i="8"/>
  <c r="AA252" i="8"/>
  <c r="V252" i="8"/>
  <c r="AE252" i="8"/>
  <c r="W212" i="8"/>
  <c r="AF212" i="8"/>
  <c r="Q255" i="8"/>
  <c r="Z255" i="8"/>
  <c r="W137" i="8"/>
  <c r="AF137" i="8"/>
  <c r="M38" i="8"/>
  <c r="S38" i="8"/>
  <c r="AB38" i="8"/>
  <c r="AA207" i="9"/>
  <c r="T252" i="8"/>
  <c r="AC252" i="8"/>
  <c r="S252" i="8"/>
  <c r="AB252" i="8"/>
  <c r="Q139" i="8"/>
  <c r="Z139" i="8"/>
  <c r="AK38" i="8"/>
  <c r="N48" i="9"/>
  <c r="T48" i="9"/>
  <c r="P207" i="9"/>
  <c r="V207" i="9"/>
  <c r="O226" i="9"/>
  <c r="U226" i="9"/>
  <c r="P226" i="9"/>
  <c r="V226" i="9"/>
  <c r="N226" i="9"/>
  <c r="T226" i="9"/>
  <c r="Q226" i="9"/>
  <c r="W226" i="9"/>
  <c r="M226" i="9"/>
  <c r="S226" i="9"/>
  <c r="I91" i="9"/>
  <c r="AC91" i="9"/>
  <c r="AB91" i="9"/>
  <c r="AA91" i="9"/>
  <c r="S212" i="8"/>
  <c r="AB212" i="8"/>
  <c r="X252" i="8"/>
  <c r="AG252" i="8"/>
  <c r="R139" i="8"/>
  <c r="AA139" i="8"/>
  <c r="AI30" i="8"/>
  <c r="AK30" i="8"/>
  <c r="AP30" i="8"/>
  <c r="AO30" i="8"/>
  <c r="AL30" i="8"/>
  <c r="AJ30" i="8"/>
  <c r="AN30" i="8"/>
  <c r="M30" i="8"/>
  <c r="AM30" i="8"/>
  <c r="X261" i="8"/>
  <c r="AG261" i="8"/>
  <c r="S261" i="8"/>
  <c r="AB261" i="8"/>
  <c r="P187" i="9"/>
  <c r="V187" i="9"/>
  <c r="N187" i="9"/>
  <c r="T187" i="9"/>
  <c r="Q187" i="9"/>
  <c r="W187" i="9"/>
  <c r="M187" i="9"/>
  <c r="S187" i="9"/>
  <c r="N261" i="9"/>
  <c r="T261" i="9"/>
  <c r="O261" i="9"/>
  <c r="U261" i="9"/>
  <c r="M261" i="9"/>
  <c r="S261" i="9"/>
  <c r="Q261" i="9"/>
  <c r="W261" i="9"/>
  <c r="O207" i="9"/>
  <c r="U207" i="9"/>
  <c r="Q181" i="9"/>
  <c r="W181" i="9"/>
  <c r="O181" i="9"/>
  <c r="U181" i="9"/>
  <c r="M181" i="9"/>
  <c r="S181" i="9"/>
  <c r="U259" i="8"/>
  <c r="AD259" i="8"/>
  <c r="Q259" i="8"/>
  <c r="Z259" i="8"/>
  <c r="P139" i="9"/>
  <c r="V139" i="9"/>
  <c r="Q139" i="9"/>
  <c r="W139" i="9"/>
  <c r="W259" i="8"/>
  <c r="AF259" i="8"/>
  <c r="M262" i="9"/>
  <c r="S262" i="9"/>
  <c r="Q262" i="9"/>
  <c r="W262" i="9"/>
  <c r="P262" i="9"/>
  <c r="V262" i="9"/>
  <c r="O262" i="9"/>
  <c r="U262" i="9"/>
  <c r="N262" i="9"/>
  <c r="T262" i="9"/>
  <c r="X259" i="8"/>
  <c r="AG259" i="8"/>
  <c r="V259" i="8"/>
  <c r="AE259" i="8"/>
  <c r="V226" i="8"/>
  <c r="AE226" i="8"/>
  <c r="P142" i="9"/>
  <c r="V142" i="9"/>
  <c r="AN213" i="8"/>
  <c r="M213" i="8"/>
  <c r="R213" i="8"/>
  <c r="AA213" i="8"/>
  <c r="O69" i="9"/>
  <c r="U69" i="9"/>
  <c r="N180" i="9"/>
  <c r="T180" i="9"/>
  <c r="M207" i="8"/>
  <c r="AN207" i="8"/>
  <c r="AL207" i="8"/>
  <c r="AP207" i="8"/>
  <c r="AK207" i="8"/>
  <c r="AO207" i="8"/>
  <c r="AI207" i="8"/>
  <c r="AJ207" i="8"/>
  <c r="AM207" i="8"/>
  <c r="T262" i="8"/>
  <c r="AC262" i="8"/>
  <c r="Q262" i="8"/>
  <c r="Z262" i="8"/>
  <c r="W262" i="8"/>
  <c r="AF262" i="8"/>
  <c r="V263" i="8"/>
  <c r="AE263" i="8"/>
  <c r="AM213" i="8"/>
  <c r="W263" i="8"/>
  <c r="AF263" i="8"/>
  <c r="W255" i="8"/>
  <c r="AF255" i="8"/>
  <c r="AP213" i="8"/>
  <c r="Z207" i="9"/>
  <c r="N143" i="9"/>
  <c r="T143" i="9"/>
  <c r="P143" i="9"/>
  <c r="V143" i="9"/>
  <c r="M143" i="9"/>
  <c r="S143" i="9"/>
  <c r="Q143" i="9"/>
  <c r="W143" i="9"/>
  <c r="O143" i="9"/>
  <c r="U143" i="9"/>
  <c r="AL213" i="8"/>
  <c r="AK213" i="8"/>
  <c r="AI213" i="8"/>
  <c r="AO38" i="8"/>
  <c r="AN38" i="8"/>
  <c r="AJ38" i="8"/>
  <c r="AP38" i="8"/>
  <c r="P138" i="9"/>
  <c r="V138" i="9"/>
  <c r="O138" i="9"/>
  <c r="U138" i="9"/>
  <c r="M48" i="9"/>
  <c r="S48" i="9"/>
  <c r="O48" i="9"/>
  <c r="U48" i="9"/>
  <c r="AO213" i="8"/>
  <c r="Q40" i="9"/>
  <c r="W40" i="9"/>
  <c r="N40" i="9"/>
  <c r="T40" i="9"/>
  <c r="O40" i="9"/>
  <c r="U40" i="9"/>
  <c r="P40" i="9"/>
  <c r="V40" i="9"/>
  <c r="N259" i="9"/>
  <c r="T259" i="9"/>
  <c r="O259" i="9"/>
  <c r="U259" i="9"/>
  <c r="Q259" i="9"/>
  <c r="W259" i="9"/>
  <c r="P259" i="9"/>
  <c r="V259" i="9"/>
  <c r="M259" i="9"/>
  <c r="S259" i="9"/>
  <c r="O39" i="9"/>
  <c r="U39" i="9"/>
  <c r="M39" i="9"/>
  <c r="S39" i="9"/>
  <c r="N39" i="9"/>
  <c r="T39" i="9"/>
  <c r="Q39" i="9"/>
  <c r="W39" i="9"/>
  <c r="P39" i="9"/>
  <c r="V39" i="9"/>
  <c r="M142" i="9"/>
  <c r="S142" i="9"/>
  <c r="M69" i="9"/>
  <c r="S69" i="9"/>
  <c r="U262" i="8"/>
  <c r="AD262" i="8"/>
  <c r="V262" i="8"/>
  <c r="AE262" i="8"/>
  <c r="Z212" i="9"/>
  <c r="I212" i="9"/>
  <c r="J213" i="9"/>
  <c r="AC212" i="9"/>
  <c r="Y212" i="9"/>
  <c r="AA212" i="9"/>
  <c r="AB212" i="9"/>
  <c r="S140" i="8"/>
  <c r="AB140" i="8"/>
  <c r="V140" i="8"/>
  <c r="AE140" i="8"/>
  <c r="I19" i="15"/>
  <c r="I28" i="15"/>
  <c r="I29" i="15"/>
  <c r="AJ8" i="12"/>
  <c r="AR8" i="12"/>
  <c r="AZ8" i="12"/>
  <c r="AZ80" i="12"/>
  <c r="AJ91" i="12"/>
  <c r="AJ93" i="12"/>
  <c r="N115" i="10"/>
  <c r="Q115" i="10"/>
  <c r="R263" i="8"/>
  <c r="AA263" i="8"/>
  <c r="T137" i="8"/>
  <c r="AC137" i="8"/>
  <c r="V137" i="8"/>
  <c r="AE137" i="8"/>
  <c r="N69" i="9"/>
  <c r="T69" i="9"/>
  <c r="N142" i="9"/>
  <c r="T142" i="9"/>
  <c r="O38" i="9"/>
  <c r="U38" i="9"/>
  <c r="Q38" i="9"/>
  <c r="W38" i="9"/>
  <c r="N38" i="9"/>
  <c r="T38" i="9"/>
  <c r="P38" i="9"/>
  <c r="V38" i="9"/>
  <c r="M38" i="9"/>
  <c r="S38" i="9"/>
  <c r="V70" i="8"/>
  <c r="AE70" i="8"/>
  <c r="W70" i="8"/>
  <c r="AF70" i="8"/>
  <c r="X70" i="8"/>
  <c r="AG70" i="8"/>
  <c r="S70" i="8"/>
  <c r="AB70" i="8"/>
  <c r="R70" i="8"/>
  <c r="AA70" i="8"/>
  <c r="U70" i="8"/>
  <c r="AD70" i="8"/>
  <c r="Q70" i="8"/>
  <c r="Z70" i="8"/>
  <c r="M170" i="9"/>
  <c r="S170" i="9"/>
  <c r="Q170" i="9"/>
  <c r="W170" i="9"/>
  <c r="N170" i="9"/>
  <c r="T170" i="9"/>
  <c r="O170" i="9"/>
  <c r="U170" i="9"/>
  <c r="P170" i="9"/>
  <c r="V170" i="9"/>
  <c r="Q260" i="9"/>
  <c r="W260" i="9"/>
  <c r="O260" i="9"/>
  <c r="U260" i="9"/>
  <c r="M260" i="9"/>
  <c r="S260" i="9"/>
  <c r="N260" i="9"/>
  <c r="T260" i="9"/>
  <c r="P260" i="9"/>
  <c r="V260" i="9"/>
  <c r="W71" i="8"/>
  <c r="AF71" i="8"/>
  <c r="X255" i="8"/>
  <c r="AG255" i="8"/>
  <c r="S255" i="8"/>
  <c r="AB255" i="8"/>
  <c r="V255" i="8"/>
  <c r="AE255" i="8"/>
  <c r="P255" i="9"/>
  <c r="V255" i="9"/>
  <c r="N255" i="9"/>
  <c r="T255" i="9"/>
  <c r="Q255" i="9"/>
  <c r="W255" i="9"/>
  <c r="O255" i="9"/>
  <c r="U255" i="9"/>
  <c r="M255" i="9"/>
  <c r="S255" i="9"/>
  <c r="AL153" i="8"/>
  <c r="AJ153" i="8"/>
  <c r="AN153" i="8"/>
  <c r="AI153" i="8"/>
  <c r="AM153" i="8"/>
  <c r="AO153" i="8"/>
  <c r="M153" i="8"/>
  <c r="AP153" i="8"/>
  <c r="AK153" i="8"/>
  <c r="T71" i="8"/>
  <c r="AC71" i="8"/>
  <c r="U71" i="8"/>
  <c r="AD71" i="8"/>
  <c r="R259" i="8"/>
  <c r="AA259" i="8"/>
  <c r="T259" i="8"/>
  <c r="AC259" i="8"/>
  <c r="U263" i="8"/>
  <c r="AD263" i="8"/>
  <c r="X263" i="8"/>
  <c r="AG263" i="8"/>
  <c r="R71" i="8"/>
  <c r="AA71" i="8"/>
  <c r="P253" i="9"/>
  <c r="V253" i="9"/>
  <c r="O253" i="9"/>
  <c r="U253" i="9"/>
  <c r="M253" i="9"/>
  <c r="S253" i="9"/>
  <c r="N253" i="9"/>
  <c r="T253" i="9"/>
  <c r="Q253" i="9"/>
  <c r="W253" i="9"/>
  <c r="N178" i="9"/>
  <c r="T178" i="9"/>
  <c r="R137" i="8"/>
  <c r="AA137" i="8"/>
  <c r="U137" i="8"/>
  <c r="AD137" i="8"/>
  <c r="Q39" i="8"/>
  <c r="Z39" i="8"/>
  <c r="X39" i="8"/>
  <c r="AG39" i="8"/>
  <c r="S39" i="8"/>
  <c r="AB39" i="8"/>
  <c r="U39" i="8"/>
  <c r="AD39" i="8"/>
  <c r="V39" i="8"/>
  <c r="AE39" i="8"/>
  <c r="R39" i="8"/>
  <c r="AA39" i="8"/>
  <c r="W39" i="8"/>
  <c r="AF39" i="8"/>
  <c r="T39" i="8"/>
  <c r="AC39" i="8"/>
  <c r="V196" i="8"/>
  <c r="AE196" i="8"/>
  <c r="W196" i="8"/>
  <c r="AF196" i="8"/>
  <c r="U196" i="8"/>
  <c r="AD196" i="8"/>
  <c r="X196" i="8"/>
  <c r="AG196" i="8"/>
  <c r="Q196" i="8"/>
  <c r="Z196" i="8"/>
  <c r="T196" i="8"/>
  <c r="AC196" i="8"/>
  <c r="R196" i="8"/>
  <c r="AA196" i="8"/>
  <c r="S196" i="8"/>
  <c r="AB196" i="8"/>
  <c r="R226" i="8"/>
  <c r="AA226" i="8"/>
  <c r="U226" i="8"/>
  <c r="AD226" i="8"/>
  <c r="O178" i="9"/>
  <c r="U178" i="9"/>
  <c r="M178" i="9"/>
  <c r="S178" i="9"/>
  <c r="P178" i="9"/>
  <c r="V178" i="9"/>
  <c r="O264" i="9"/>
  <c r="U264" i="9"/>
  <c r="N264" i="9"/>
  <c r="T264" i="9"/>
  <c r="M264" i="9"/>
  <c r="S264" i="9"/>
  <c r="P264" i="9"/>
  <c r="V264" i="9"/>
  <c r="Q264" i="9"/>
  <c r="W264" i="9"/>
  <c r="T230" i="8"/>
  <c r="AC230" i="8"/>
  <c r="S230" i="8"/>
  <c r="AB230" i="8"/>
  <c r="N335" i="9"/>
  <c r="T212" i="8"/>
  <c r="AC212" i="8"/>
  <c r="R212" i="8"/>
  <c r="AA212" i="8"/>
  <c r="S142" i="8"/>
  <c r="AB142" i="8"/>
  <c r="U142" i="8"/>
  <c r="AD142" i="8"/>
  <c r="W142" i="8"/>
  <c r="AF142" i="8"/>
  <c r="R142" i="8"/>
  <c r="AA142" i="8"/>
  <c r="T142" i="8"/>
  <c r="AC142" i="8"/>
  <c r="Q142" i="8"/>
  <c r="Z142" i="8"/>
  <c r="V142" i="8"/>
  <c r="AE142" i="8"/>
  <c r="X142" i="8"/>
  <c r="AG142" i="8"/>
  <c r="S332" i="8"/>
  <c r="S333" i="8"/>
  <c r="O47" i="17"/>
  <c r="O48" i="17"/>
  <c r="O49" i="17"/>
  <c r="W233" i="8"/>
  <c r="AF233" i="8"/>
  <c r="R332" i="8"/>
  <c r="R333" i="8"/>
  <c r="T213" i="8"/>
  <c r="AC213" i="8"/>
  <c r="P335" i="9"/>
  <c r="Q335" i="9"/>
  <c r="O335" i="9"/>
  <c r="I12" i="15"/>
  <c r="I22" i="15"/>
  <c r="I30" i="15"/>
  <c r="AV8" i="12"/>
  <c r="AF8" i="12"/>
  <c r="AX8" i="12"/>
  <c r="AX80" i="12"/>
  <c r="AH91" i="12"/>
  <c r="AH93" i="12"/>
  <c r="AH8" i="12"/>
  <c r="W332" i="8"/>
  <c r="W333" i="8"/>
  <c r="W334" i="8"/>
  <c r="X332" i="8"/>
  <c r="X333" i="8"/>
  <c r="X334" i="8"/>
  <c r="U332" i="8"/>
  <c r="U333" i="8"/>
  <c r="V332" i="8"/>
  <c r="V333" i="8"/>
  <c r="Q332" i="8"/>
  <c r="T332" i="8"/>
  <c r="U116" i="10"/>
  <c r="J116" i="10"/>
  <c r="K117" i="10"/>
  <c r="T116" i="10"/>
  <c r="N102" i="10"/>
  <c r="Q102" i="10"/>
  <c r="O102" i="10"/>
  <c r="R102" i="10"/>
  <c r="P48" i="17"/>
  <c r="P49" i="17"/>
  <c r="N50" i="17"/>
  <c r="AB27" i="9"/>
  <c r="Y27" i="9"/>
  <c r="AC27" i="9"/>
  <c r="N190" i="9"/>
  <c r="T190" i="9"/>
  <c r="O190" i="9"/>
  <c r="U190" i="9"/>
  <c r="M190" i="9"/>
  <c r="S190" i="9"/>
  <c r="AA74" i="9"/>
  <c r="Q190" i="9"/>
  <c r="W190" i="9"/>
  <c r="X233" i="8"/>
  <c r="AG233" i="8"/>
  <c r="U233" i="8"/>
  <c r="AD233" i="8"/>
  <c r="V233" i="8"/>
  <c r="AE233" i="8"/>
  <c r="T233" i="8"/>
  <c r="AC233" i="8"/>
  <c r="P39" i="17"/>
  <c r="P40" i="17"/>
  <c r="Q213" i="8"/>
  <c r="Z213" i="8"/>
  <c r="U213" i="8"/>
  <c r="AD213" i="8"/>
  <c r="V213" i="8"/>
  <c r="AE213" i="8"/>
  <c r="Q178" i="8"/>
  <c r="Z178" i="8"/>
  <c r="X190" i="8"/>
  <c r="AG190" i="8"/>
  <c r="Q190" i="8"/>
  <c r="Z190" i="8"/>
  <c r="W190" i="8"/>
  <c r="AF190" i="8"/>
  <c r="S190" i="8"/>
  <c r="AB190" i="8"/>
  <c r="T190" i="8"/>
  <c r="AC190" i="8"/>
  <c r="V190" i="8"/>
  <c r="AE190" i="8"/>
  <c r="U190" i="8"/>
  <c r="AD190" i="8"/>
  <c r="R190" i="8"/>
  <c r="AA190" i="8"/>
  <c r="AC74" i="9"/>
  <c r="U42" i="8"/>
  <c r="AD42" i="8"/>
  <c r="S42" i="8"/>
  <c r="AB42" i="8"/>
  <c r="R42" i="8"/>
  <c r="AA42" i="8"/>
  <c r="V42" i="8"/>
  <c r="AE42" i="8"/>
  <c r="T42" i="8"/>
  <c r="AC42" i="8"/>
  <c r="W42" i="8"/>
  <c r="AF42" i="8"/>
  <c r="Q42" i="8"/>
  <c r="Z42" i="8"/>
  <c r="X42" i="8"/>
  <c r="AG42" i="8"/>
  <c r="N172" i="10"/>
  <c r="Q172" i="10"/>
  <c r="O172" i="10"/>
  <c r="R172" i="10"/>
  <c r="G16" i="19"/>
  <c r="K16" i="19"/>
  <c r="M16" i="19"/>
  <c r="O16" i="19"/>
  <c r="P42" i="9"/>
  <c r="V42" i="9"/>
  <c r="N42" i="9"/>
  <c r="T42" i="9"/>
  <c r="O42" i="9"/>
  <c r="U42" i="9"/>
  <c r="Q42" i="9"/>
  <c r="W42" i="9"/>
  <c r="M42" i="9"/>
  <c r="S42" i="9"/>
  <c r="Y74" i="9"/>
  <c r="T204" i="8"/>
  <c r="AC204" i="8"/>
  <c r="V204" i="8"/>
  <c r="AE204" i="8"/>
  <c r="S204" i="8"/>
  <c r="AB204" i="8"/>
  <c r="Q204" i="8"/>
  <c r="Z204" i="8"/>
  <c r="R204" i="8"/>
  <c r="AA204" i="8"/>
  <c r="X204" i="8"/>
  <c r="AG204" i="8"/>
  <c r="W204" i="8"/>
  <c r="AF204" i="8"/>
  <c r="U204" i="8"/>
  <c r="AD204" i="8"/>
  <c r="S73" i="8"/>
  <c r="AB73" i="8"/>
  <c r="Q73" i="8"/>
  <c r="Z73" i="8"/>
  <c r="U73" i="8"/>
  <c r="AD73" i="8"/>
  <c r="T73" i="8"/>
  <c r="AC73" i="8"/>
  <c r="W73" i="8"/>
  <c r="AF73" i="8"/>
  <c r="X73" i="8"/>
  <c r="AG73" i="8"/>
  <c r="V73" i="8"/>
  <c r="AE73" i="8"/>
  <c r="R73" i="8"/>
  <c r="AA73" i="8"/>
  <c r="AP43" i="8"/>
  <c r="AO43" i="8"/>
  <c r="M43" i="8"/>
  <c r="AM43" i="8"/>
  <c r="AL43" i="8"/>
  <c r="AI43" i="8"/>
  <c r="AJ43" i="8"/>
  <c r="AN43" i="8"/>
  <c r="AK43" i="8"/>
  <c r="O36" i="17"/>
  <c r="O37" i="17"/>
  <c r="O38" i="17"/>
  <c r="AV80" i="12"/>
  <c r="AF91" i="12"/>
  <c r="AF93" i="12"/>
  <c r="AB74" i="9"/>
  <c r="Z27" i="9"/>
  <c r="I27" i="9"/>
  <c r="AM74" i="8"/>
  <c r="AN74" i="8"/>
  <c r="AL74" i="8"/>
  <c r="AO74" i="8"/>
  <c r="AI74" i="8"/>
  <c r="AK74" i="8"/>
  <c r="AP74" i="8"/>
  <c r="AJ74" i="8"/>
  <c r="M74" i="8"/>
  <c r="Z74" i="9"/>
  <c r="AI205" i="8"/>
  <c r="AK205" i="8"/>
  <c r="AN205" i="8"/>
  <c r="AM205" i="8"/>
  <c r="M205" i="8"/>
  <c r="AO205" i="8"/>
  <c r="AL205" i="8"/>
  <c r="AP205" i="8"/>
  <c r="AJ205" i="8"/>
  <c r="O16" i="14"/>
  <c r="G16" i="14"/>
  <c r="K16" i="14"/>
  <c r="M16" i="14"/>
  <c r="Y43" i="9"/>
  <c r="AA43" i="9"/>
  <c r="Z43" i="9"/>
  <c r="AB43" i="9"/>
  <c r="I43" i="9"/>
  <c r="AC43" i="9"/>
  <c r="Q233" i="8"/>
  <c r="Z233" i="8"/>
  <c r="X178" i="8"/>
  <c r="AG178" i="8"/>
  <c r="U178" i="8"/>
  <c r="AD178" i="8"/>
  <c r="R178" i="8"/>
  <c r="AA178" i="8"/>
  <c r="Q38" i="8"/>
  <c r="Z38" i="8"/>
  <c r="S233" i="8"/>
  <c r="AB233" i="8"/>
  <c r="W178" i="8"/>
  <c r="AF178" i="8"/>
  <c r="AP88" i="8"/>
  <c r="AI88" i="8"/>
  <c r="M88" i="8"/>
  <c r="AL88" i="8"/>
  <c r="AJ88" i="8"/>
  <c r="AO88" i="8"/>
  <c r="N89" i="8"/>
  <c r="AN88" i="8"/>
  <c r="AM88" i="8"/>
  <c r="AK88" i="8"/>
  <c r="Q185" i="9"/>
  <c r="W185" i="9"/>
  <c r="AJ15" i="13"/>
  <c r="M15" i="13"/>
  <c r="AL15" i="13"/>
  <c r="AI15" i="13"/>
  <c r="AK15" i="13"/>
  <c r="AP15" i="13"/>
  <c r="AO15" i="13"/>
  <c r="AM15" i="13"/>
  <c r="AN15" i="13"/>
  <c r="O32" i="19"/>
  <c r="G32" i="19"/>
  <c r="K32" i="19"/>
  <c r="M32" i="19"/>
  <c r="P185" i="9"/>
  <c r="V185" i="9"/>
  <c r="S128" i="11"/>
  <c r="AB128" i="11"/>
  <c r="W128" i="11"/>
  <c r="AF128" i="11"/>
  <c r="R128" i="11"/>
  <c r="AA128" i="11"/>
  <c r="AZ128" i="11"/>
  <c r="U128" i="11"/>
  <c r="AD128" i="11"/>
  <c r="V128" i="11"/>
  <c r="AE128" i="11"/>
  <c r="T128" i="11"/>
  <c r="AC128" i="11"/>
  <c r="X128" i="11"/>
  <c r="AG128" i="11"/>
  <c r="Q128" i="11"/>
  <c r="Z128" i="11"/>
  <c r="M185" i="9"/>
  <c r="S185" i="9"/>
  <c r="AL129" i="11"/>
  <c r="AP129" i="11"/>
  <c r="AO129" i="11"/>
  <c r="AM129" i="11"/>
  <c r="AN129" i="11"/>
  <c r="AK129" i="11"/>
  <c r="AJ129" i="11"/>
  <c r="AI129" i="11"/>
  <c r="N130" i="11"/>
  <c r="M129" i="11"/>
  <c r="N149" i="8"/>
  <c r="M148" i="8"/>
  <c r="AK148" i="8"/>
  <c r="AL148" i="8"/>
  <c r="AI148" i="8"/>
  <c r="AM148" i="8"/>
  <c r="AJ148" i="8"/>
  <c r="AN148" i="8"/>
  <c r="AO148" i="8"/>
  <c r="AP148" i="8"/>
  <c r="N185" i="9"/>
  <c r="T185" i="9"/>
  <c r="AN149" i="11"/>
  <c r="AO149" i="11"/>
  <c r="AJ149" i="11"/>
  <c r="AP149" i="11"/>
  <c r="AL149" i="11"/>
  <c r="N150" i="11"/>
  <c r="AI149" i="11"/>
  <c r="M149" i="11"/>
  <c r="AK149" i="11"/>
  <c r="AM149" i="11"/>
  <c r="Z202" i="9"/>
  <c r="AC202" i="9"/>
  <c r="AA202" i="9"/>
  <c r="J203" i="9"/>
  <c r="AB202" i="9"/>
  <c r="Y202" i="9"/>
  <c r="I202" i="9"/>
  <c r="I88" i="9"/>
  <c r="Y88" i="9"/>
  <c r="AA88" i="9"/>
  <c r="Z88" i="9"/>
  <c r="J89" i="9"/>
  <c r="AC88" i="9"/>
  <c r="AB88" i="9"/>
  <c r="AK202" i="8"/>
  <c r="AN202" i="8"/>
  <c r="AP202" i="8"/>
  <c r="AL202" i="8"/>
  <c r="AO202" i="8"/>
  <c r="N203" i="8"/>
  <c r="AI202" i="8"/>
  <c r="M202" i="8"/>
  <c r="AM202" i="8"/>
  <c r="AJ202" i="8"/>
  <c r="J149" i="9"/>
  <c r="Z148" i="9"/>
  <c r="I148" i="9"/>
  <c r="AA148" i="9"/>
  <c r="AC148" i="9"/>
  <c r="AB148" i="9"/>
  <c r="Y148" i="9"/>
  <c r="O28" i="10"/>
  <c r="R28" i="10"/>
  <c r="N28" i="10"/>
  <c r="Q28" i="10"/>
  <c r="U70" i="13"/>
  <c r="AD70" i="13"/>
  <c r="W70" i="13"/>
  <c r="AF70" i="13"/>
  <c r="R70" i="13"/>
  <c r="AA70" i="13"/>
  <c r="X70" i="13"/>
  <c r="AG70" i="13"/>
  <c r="AZ70" i="13"/>
  <c r="V70" i="13"/>
  <c r="AE70" i="13"/>
  <c r="Q70" i="13"/>
  <c r="Z70" i="13"/>
  <c r="S70" i="13"/>
  <c r="AB70" i="13"/>
  <c r="T70" i="13"/>
  <c r="AC70" i="13"/>
  <c r="O48" i="19"/>
  <c r="K59" i="19"/>
  <c r="K61" i="19"/>
  <c r="Q209" i="9"/>
  <c r="W209" i="9"/>
  <c r="O209" i="9"/>
  <c r="U209" i="9"/>
  <c r="M209" i="9"/>
  <c r="S209" i="9"/>
  <c r="N209" i="9"/>
  <c r="T209" i="9"/>
  <c r="P209" i="9"/>
  <c r="V209" i="9"/>
  <c r="N307" i="9"/>
  <c r="T307" i="9"/>
  <c r="O307" i="9"/>
  <c r="U307" i="9"/>
  <c r="M307" i="9"/>
  <c r="S307" i="9"/>
  <c r="P307" i="9"/>
  <c r="V307" i="9"/>
  <c r="Q307" i="9"/>
  <c r="W307" i="9"/>
  <c r="T176" i="8"/>
  <c r="AC176" i="8"/>
  <c r="S176" i="8"/>
  <c r="AB176" i="8"/>
  <c r="Q176" i="8"/>
  <c r="Z176" i="8"/>
  <c r="V176" i="8"/>
  <c r="AE176" i="8"/>
  <c r="W176" i="8"/>
  <c r="AF176" i="8"/>
  <c r="X176" i="8"/>
  <c r="AG176" i="8"/>
  <c r="R176" i="8"/>
  <c r="AA176" i="8"/>
  <c r="U176" i="8"/>
  <c r="AD176" i="8"/>
  <c r="Q92" i="8"/>
  <c r="Z92" i="8"/>
  <c r="S92" i="8"/>
  <c r="AB92" i="8"/>
  <c r="T92" i="8"/>
  <c r="AC92" i="8"/>
  <c r="W92" i="8"/>
  <c r="AF92" i="8"/>
  <c r="V92" i="8"/>
  <c r="AE92" i="8"/>
  <c r="U92" i="8"/>
  <c r="AD92" i="8"/>
  <c r="X92" i="8"/>
  <c r="AG92" i="8"/>
  <c r="R92" i="8"/>
  <c r="AA92" i="8"/>
  <c r="AP210" i="8"/>
  <c r="AN210" i="8"/>
  <c r="AJ210" i="8"/>
  <c r="AL210" i="8"/>
  <c r="AI210" i="8"/>
  <c r="AM210" i="8"/>
  <c r="AO210" i="8"/>
  <c r="AK210" i="8"/>
  <c r="M210" i="8"/>
  <c r="Q79" i="13"/>
  <c r="Z79" i="13"/>
  <c r="R79" i="13"/>
  <c r="AA79" i="13"/>
  <c r="W79" i="13"/>
  <c r="AF79" i="13"/>
  <c r="S79" i="13"/>
  <c r="AB79" i="13"/>
  <c r="X79" i="13"/>
  <c r="AG79" i="13"/>
  <c r="AZ79" i="13"/>
  <c r="T79" i="13"/>
  <c r="AC79" i="13"/>
  <c r="V79" i="13"/>
  <c r="AE79" i="13"/>
  <c r="U79" i="13"/>
  <c r="AD79" i="13"/>
  <c r="O205" i="9"/>
  <c r="U205" i="9"/>
  <c r="M205" i="9"/>
  <c r="S205" i="9"/>
  <c r="N205" i="9"/>
  <c r="T205" i="9"/>
  <c r="Q205" i="9"/>
  <c r="W205" i="9"/>
  <c r="P205" i="9"/>
  <c r="V205" i="9"/>
  <c r="O293" i="9"/>
  <c r="U293" i="9"/>
  <c r="N293" i="9"/>
  <c r="T293" i="9"/>
  <c r="Q293" i="9"/>
  <c r="W293" i="9"/>
  <c r="M293" i="9"/>
  <c r="S293" i="9"/>
  <c r="P293" i="9"/>
  <c r="V293" i="9"/>
  <c r="Z64" i="9"/>
  <c r="AC64" i="9"/>
  <c r="AA64" i="9"/>
  <c r="I64" i="9"/>
  <c r="Y64" i="9"/>
  <c r="AB64" i="9"/>
  <c r="O174" i="9"/>
  <c r="U174" i="9"/>
  <c r="Q174" i="9"/>
  <c r="W174" i="9"/>
  <c r="M174" i="9"/>
  <c r="S174" i="9"/>
  <c r="N174" i="9"/>
  <c r="T174" i="9"/>
  <c r="P174" i="9"/>
  <c r="V174" i="9"/>
  <c r="M26" i="9"/>
  <c r="S26" i="9"/>
  <c r="N26" i="9"/>
  <c r="T26" i="9"/>
  <c r="Q26" i="9"/>
  <c r="W26" i="9"/>
  <c r="P26" i="9"/>
  <c r="V26" i="9"/>
  <c r="O26" i="9"/>
  <c r="U26" i="9"/>
  <c r="Q146" i="9"/>
  <c r="W146" i="9"/>
  <c r="O146" i="9"/>
  <c r="U146" i="9"/>
  <c r="P146" i="9"/>
  <c r="V146" i="9"/>
  <c r="N146" i="9"/>
  <c r="T146" i="9"/>
  <c r="M146" i="9"/>
  <c r="S146" i="9"/>
  <c r="AR80" i="12"/>
  <c r="AJ90" i="12"/>
  <c r="AJ94" i="12"/>
  <c r="N63" i="9"/>
  <c r="T63" i="9"/>
  <c r="M63" i="9"/>
  <c r="S63" i="9"/>
  <c r="P63" i="9"/>
  <c r="V63" i="9"/>
  <c r="O63" i="9"/>
  <c r="U63" i="9"/>
  <c r="Q63" i="9"/>
  <c r="W63" i="9"/>
  <c r="U146" i="8"/>
  <c r="AD146" i="8"/>
  <c r="T146" i="8"/>
  <c r="AC146" i="8"/>
  <c r="X146" i="8"/>
  <c r="AG146" i="8"/>
  <c r="Q146" i="8"/>
  <c r="Z146" i="8"/>
  <c r="R146" i="8"/>
  <c r="AA146" i="8"/>
  <c r="S146" i="8"/>
  <c r="AB146" i="8"/>
  <c r="V146" i="8"/>
  <c r="AE146" i="8"/>
  <c r="W146" i="8"/>
  <c r="AF146" i="8"/>
  <c r="X307" i="8"/>
  <c r="AG307" i="8"/>
  <c r="T307" i="8"/>
  <c r="AC307" i="8"/>
  <c r="U307" i="8"/>
  <c r="AD307" i="8"/>
  <c r="R307" i="8"/>
  <c r="AA307" i="8"/>
  <c r="V307" i="8"/>
  <c r="AE307" i="8"/>
  <c r="Q307" i="8"/>
  <c r="Z307" i="8"/>
  <c r="W307" i="8"/>
  <c r="AF307" i="8"/>
  <c r="S307" i="8"/>
  <c r="AB307" i="8"/>
  <c r="AN175" i="8"/>
  <c r="AO175" i="8"/>
  <c r="AL175" i="8"/>
  <c r="AI175" i="8"/>
  <c r="AJ175" i="8"/>
  <c r="AK175" i="8"/>
  <c r="M175" i="8"/>
  <c r="AM175" i="8"/>
  <c r="AP175" i="8"/>
  <c r="T174" i="8"/>
  <c r="AC174" i="8"/>
  <c r="U174" i="8"/>
  <c r="AD174" i="8"/>
  <c r="W174" i="8"/>
  <c r="AF174" i="8"/>
  <c r="V174" i="8"/>
  <c r="AE174" i="8"/>
  <c r="S174" i="8"/>
  <c r="AB174" i="8"/>
  <c r="Q174" i="8"/>
  <c r="Z174" i="8"/>
  <c r="R174" i="8"/>
  <c r="AA174" i="8"/>
  <c r="X174" i="8"/>
  <c r="AG174" i="8"/>
  <c r="M74" i="9"/>
  <c r="S74" i="9"/>
  <c r="O74" i="9"/>
  <c r="U74" i="9"/>
  <c r="N74" i="9"/>
  <c r="T74" i="9"/>
  <c r="P74" i="9"/>
  <c r="V74" i="9"/>
  <c r="Q74" i="9"/>
  <c r="W74" i="9"/>
  <c r="AP27" i="8"/>
  <c r="AI27" i="8"/>
  <c r="AN27" i="8"/>
  <c r="AJ27" i="8"/>
  <c r="M27" i="8"/>
  <c r="AM27" i="8"/>
  <c r="AL27" i="8"/>
  <c r="AK27" i="8"/>
  <c r="AO27" i="8"/>
  <c r="V38" i="13"/>
  <c r="AE38" i="13"/>
  <c r="T38" i="13"/>
  <c r="AC38" i="13"/>
  <c r="W38" i="13"/>
  <c r="AF38" i="13"/>
  <c r="AZ38" i="13"/>
  <c r="Q38" i="13"/>
  <c r="Z38" i="13"/>
  <c r="U38" i="13"/>
  <c r="AD38" i="13"/>
  <c r="R38" i="13"/>
  <c r="AA38" i="13"/>
  <c r="X38" i="13"/>
  <c r="AG38" i="13"/>
  <c r="S38" i="13"/>
  <c r="AB38" i="13"/>
  <c r="N86" i="9"/>
  <c r="T86" i="9"/>
  <c r="O86" i="9"/>
  <c r="U86" i="9"/>
  <c r="P86" i="9"/>
  <c r="V86" i="9"/>
  <c r="M86" i="9"/>
  <c r="S86" i="9"/>
  <c r="Q86" i="9"/>
  <c r="W86" i="9"/>
  <c r="R209" i="8"/>
  <c r="AA209" i="8"/>
  <c r="X209" i="8"/>
  <c r="AG209" i="8"/>
  <c r="U209" i="8"/>
  <c r="AD209" i="8"/>
  <c r="V209" i="8"/>
  <c r="AE209" i="8"/>
  <c r="W209" i="8"/>
  <c r="AF209" i="8"/>
  <c r="S209" i="8"/>
  <c r="AB209" i="8"/>
  <c r="T209" i="8"/>
  <c r="AC209" i="8"/>
  <c r="Q209" i="8"/>
  <c r="Z209" i="8"/>
  <c r="M64" i="8"/>
  <c r="AN64" i="8"/>
  <c r="AL64" i="8"/>
  <c r="AI64" i="8"/>
  <c r="AP64" i="8"/>
  <c r="AJ64" i="8"/>
  <c r="AM64" i="8"/>
  <c r="AK64" i="8"/>
  <c r="AO64" i="8"/>
  <c r="S26" i="8"/>
  <c r="AB26" i="8"/>
  <c r="Q26" i="8"/>
  <c r="Z26" i="8"/>
  <c r="R26" i="8"/>
  <c r="AA26" i="8"/>
  <c r="W26" i="8"/>
  <c r="AF26" i="8"/>
  <c r="T26" i="8"/>
  <c r="AC26" i="8"/>
  <c r="U26" i="8"/>
  <c r="AD26" i="8"/>
  <c r="V26" i="8"/>
  <c r="AE26" i="8"/>
  <c r="X26" i="8"/>
  <c r="AG26" i="8"/>
  <c r="S86" i="8"/>
  <c r="AB86" i="8"/>
  <c r="V86" i="8"/>
  <c r="AE86" i="8"/>
  <c r="X86" i="8"/>
  <c r="AG86" i="8"/>
  <c r="U86" i="8"/>
  <c r="AD86" i="8"/>
  <c r="R86" i="8"/>
  <c r="AA86" i="8"/>
  <c r="Q86" i="8"/>
  <c r="Z86" i="8"/>
  <c r="T86" i="8"/>
  <c r="AC86" i="8"/>
  <c r="W86" i="8"/>
  <c r="AF86" i="8"/>
  <c r="Z210" i="9"/>
  <c r="I210" i="9"/>
  <c r="Y210" i="9"/>
  <c r="AC210" i="9"/>
  <c r="AA210" i="9"/>
  <c r="AB210" i="9"/>
  <c r="P176" i="9"/>
  <c r="V176" i="9"/>
  <c r="M176" i="9"/>
  <c r="S176" i="9"/>
  <c r="O176" i="9"/>
  <c r="U176" i="9"/>
  <c r="N176" i="9"/>
  <c r="T176" i="9"/>
  <c r="Q176" i="9"/>
  <c r="W176" i="9"/>
  <c r="S81" i="13"/>
  <c r="AB81" i="13"/>
  <c r="AZ81" i="13"/>
  <c r="W81" i="13"/>
  <c r="AF81" i="13"/>
  <c r="X81" i="13"/>
  <c r="AG81" i="13"/>
  <c r="U81" i="13"/>
  <c r="AD81" i="13"/>
  <c r="V81" i="13"/>
  <c r="AE81" i="13"/>
  <c r="T81" i="13"/>
  <c r="AC81" i="13"/>
  <c r="Q81" i="13"/>
  <c r="Z81" i="13"/>
  <c r="R81" i="13"/>
  <c r="AA81" i="13"/>
  <c r="M179" i="9"/>
  <c r="S179" i="9"/>
  <c r="N179" i="9"/>
  <c r="T179" i="9"/>
  <c r="O179" i="9"/>
  <c r="U179" i="9"/>
  <c r="P179" i="9"/>
  <c r="V179" i="9"/>
  <c r="Q179" i="9"/>
  <c r="W179" i="9"/>
  <c r="X63" i="8"/>
  <c r="AG63" i="8"/>
  <c r="V63" i="8"/>
  <c r="AE63" i="8"/>
  <c r="T63" i="8"/>
  <c r="AC63" i="8"/>
  <c r="U63" i="8"/>
  <c r="AD63" i="8"/>
  <c r="R63" i="8"/>
  <c r="AA63" i="8"/>
  <c r="Q63" i="8"/>
  <c r="Z63" i="8"/>
  <c r="S63" i="8"/>
  <c r="AB63" i="8"/>
  <c r="W63" i="8"/>
  <c r="AF63" i="8"/>
  <c r="AB175" i="9"/>
  <c r="Y175" i="9"/>
  <c r="Z175" i="9"/>
  <c r="I175" i="9"/>
  <c r="AA175" i="9"/>
  <c r="AC175" i="9"/>
  <c r="P92" i="9"/>
  <c r="V92" i="9"/>
  <c r="M92" i="9"/>
  <c r="S92" i="9"/>
  <c r="N92" i="9"/>
  <c r="T92" i="9"/>
  <c r="O92" i="9"/>
  <c r="U92" i="9"/>
  <c r="Q92" i="9"/>
  <c r="W92" i="9"/>
  <c r="R293" i="8"/>
  <c r="AA293" i="8"/>
  <c r="U293" i="8"/>
  <c r="AD293" i="8"/>
  <c r="X293" i="8"/>
  <c r="AG293" i="8"/>
  <c r="W293" i="8"/>
  <c r="AF293" i="8"/>
  <c r="T293" i="8"/>
  <c r="AC293" i="8"/>
  <c r="S293" i="8"/>
  <c r="AB293" i="8"/>
  <c r="V293" i="8"/>
  <c r="AE293" i="8"/>
  <c r="Q293" i="8"/>
  <c r="Z293" i="8"/>
  <c r="N15" i="10"/>
  <c r="Q15" i="10"/>
  <c r="O15" i="10"/>
  <c r="R15" i="10"/>
  <c r="M36" i="17"/>
  <c r="M37" i="17"/>
  <c r="M38" i="17"/>
  <c r="S213" i="8"/>
  <c r="AB213" i="8"/>
  <c r="T17" i="11"/>
  <c r="R17" i="11"/>
  <c r="W17" i="11"/>
  <c r="AZ17" i="11"/>
  <c r="Q17" i="11"/>
  <c r="S17" i="11"/>
  <c r="V17" i="11"/>
  <c r="U17" i="11"/>
  <c r="X17" i="11"/>
  <c r="AJ33" i="13"/>
  <c r="AO33" i="13"/>
  <c r="AI33" i="13"/>
  <c r="M33" i="13"/>
  <c r="AP33" i="13"/>
  <c r="AM33" i="13"/>
  <c r="AL33" i="13"/>
  <c r="N34" i="13"/>
  <c r="AK33" i="13"/>
  <c r="AN33" i="13"/>
  <c r="AP38" i="16"/>
  <c r="AP112" i="16"/>
  <c r="X121" i="16"/>
  <c r="X112" i="16"/>
  <c r="AM38" i="16"/>
  <c r="AM112" i="16"/>
  <c r="U121" i="16"/>
  <c r="U112" i="16"/>
  <c r="N55" i="13"/>
  <c r="AM8" i="13"/>
  <c r="AI8" i="13"/>
  <c r="AO8" i="13"/>
  <c r="AL8" i="13"/>
  <c r="AK8" i="13"/>
  <c r="AJ8" i="13"/>
  <c r="AP8" i="13"/>
  <c r="M8" i="13"/>
  <c r="AN8" i="13"/>
  <c r="O127" i="10"/>
  <c r="R127" i="10"/>
  <c r="N127" i="10"/>
  <c r="Q127" i="10"/>
  <c r="AL38" i="16"/>
  <c r="AL112" i="16"/>
  <c r="T121" i="16"/>
  <c r="T112" i="16"/>
  <c r="AG8" i="12"/>
  <c r="AK8" i="12"/>
  <c r="AI8" i="12"/>
  <c r="AL8" i="12"/>
  <c r="X32" i="13"/>
  <c r="AG32" i="13"/>
  <c r="AZ32" i="13"/>
  <c r="S32" i="13"/>
  <c r="AB32" i="13"/>
  <c r="U32" i="13"/>
  <c r="AD32" i="13"/>
  <c r="W32" i="13"/>
  <c r="AF32" i="13"/>
  <c r="R32" i="13"/>
  <c r="AA32" i="13"/>
  <c r="Q32" i="13"/>
  <c r="Z32" i="13"/>
  <c r="T32" i="13"/>
  <c r="AC32" i="13"/>
  <c r="V32" i="13"/>
  <c r="AE32" i="13"/>
  <c r="O166" i="10"/>
  <c r="R166" i="10"/>
  <c r="N166" i="10"/>
  <c r="Q166" i="10"/>
  <c r="Q124" i="16"/>
  <c r="AR124" i="16"/>
  <c r="AR122" i="16"/>
  <c r="AK38" i="16"/>
  <c r="AK112" i="16"/>
  <c r="S121" i="16"/>
  <c r="S112" i="16"/>
  <c r="AL140" i="11"/>
  <c r="AK140" i="11"/>
  <c r="AP140" i="11"/>
  <c r="AN140" i="11"/>
  <c r="AJ140" i="11"/>
  <c r="AI140" i="11"/>
  <c r="AM140" i="11"/>
  <c r="AO140" i="11"/>
  <c r="M140" i="11"/>
  <c r="W213" i="8"/>
  <c r="AF213" i="8"/>
  <c r="AN116" i="11"/>
  <c r="AM116" i="11"/>
  <c r="AK116" i="11"/>
  <c r="AL116" i="11"/>
  <c r="AI116" i="11"/>
  <c r="AO116" i="11"/>
  <c r="M116" i="11"/>
  <c r="AJ116" i="11"/>
  <c r="AP116" i="11"/>
  <c r="T67" i="13"/>
  <c r="AC67" i="13"/>
  <c r="AZ67" i="13"/>
  <c r="Q67" i="13"/>
  <c r="Z67" i="13"/>
  <c r="U67" i="13"/>
  <c r="AD67" i="13"/>
  <c r="S67" i="13"/>
  <c r="AB67" i="13"/>
  <c r="R67" i="13"/>
  <c r="AA67" i="13"/>
  <c r="V67" i="13"/>
  <c r="AE67" i="13"/>
  <c r="X67" i="13"/>
  <c r="AG67" i="13"/>
  <c r="W67" i="13"/>
  <c r="AF67" i="13"/>
  <c r="K8" i="19"/>
  <c r="AI38" i="16"/>
  <c r="AI112" i="16"/>
  <c r="Q121" i="16"/>
  <c r="Q112" i="16"/>
  <c r="O35" i="14"/>
  <c r="K46" i="14"/>
  <c r="K48" i="14"/>
  <c r="V112" i="16"/>
  <c r="AN38" i="16"/>
  <c r="AN112" i="16"/>
  <c r="V121" i="16"/>
  <c r="K8" i="14"/>
  <c r="AO38" i="16"/>
  <c r="AO112" i="16"/>
  <c r="W121" i="16"/>
  <c r="W112" i="16"/>
  <c r="AJ38" i="16"/>
  <c r="AJ112" i="16"/>
  <c r="R121" i="16"/>
  <c r="R112" i="16"/>
  <c r="R114" i="16"/>
  <c r="M48" i="17"/>
  <c r="M49" i="17"/>
  <c r="S30" i="8"/>
  <c r="AB30" i="8"/>
  <c r="U30" i="8"/>
  <c r="AD30" i="8"/>
  <c r="R30" i="8"/>
  <c r="AA30" i="8"/>
  <c r="V30" i="8"/>
  <c r="AE30" i="8"/>
  <c r="W30" i="8"/>
  <c r="AF30" i="8"/>
  <c r="X30" i="8"/>
  <c r="AG30" i="8"/>
  <c r="Q30" i="8"/>
  <c r="Z30" i="8"/>
  <c r="T30" i="8"/>
  <c r="AC30" i="8"/>
  <c r="U38" i="8"/>
  <c r="AD38" i="8"/>
  <c r="R38" i="8"/>
  <c r="AA38" i="8"/>
  <c r="X38" i="8"/>
  <c r="AG38" i="8"/>
  <c r="V38" i="8"/>
  <c r="AE38" i="8"/>
  <c r="W38" i="8"/>
  <c r="AF38" i="8"/>
  <c r="T38" i="8"/>
  <c r="AC38" i="8"/>
  <c r="O91" i="9"/>
  <c r="U91" i="9"/>
  <c r="N91" i="9"/>
  <c r="T91" i="9"/>
  <c r="Q91" i="9"/>
  <c r="W91" i="9"/>
  <c r="P91" i="9"/>
  <c r="V91" i="9"/>
  <c r="M91" i="9"/>
  <c r="S91" i="9"/>
  <c r="X213" i="8"/>
  <c r="AG213" i="8"/>
  <c r="N212" i="9"/>
  <c r="T212" i="9"/>
  <c r="M212" i="9"/>
  <c r="S212" i="9"/>
  <c r="O212" i="9"/>
  <c r="U212" i="9"/>
  <c r="Q212" i="9"/>
  <c r="W212" i="9"/>
  <c r="P212" i="9"/>
  <c r="V212" i="9"/>
  <c r="Q207" i="8"/>
  <c r="Z207" i="8"/>
  <c r="U207" i="8"/>
  <c r="AD207" i="8"/>
  <c r="W207" i="8"/>
  <c r="AF207" i="8"/>
  <c r="V207" i="8"/>
  <c r="AE207" i="8"/>
  <c r="X207" i="8"/>
  <c r="AG207" i="8"/>
  <c r="S207" i="8"/>
  <c r="AB207" i="8"/>
  <c r="T207" i="8"/>
  <c r="AC207" i="8"/>
  <c r="R207" i="8"/>
  <c r="AA207" i="8"/>
  <c r="I213" i="9"/>
  <c r="Z213" i="9"/>
  <c r="AC213" i="9"/>
  <c r="AA213" i="9"/>
  <c r="AB213" i="9"/>
  <c r="Y213" i="9"/>
  <c r="I31" i="15"/>
  <c r="I32" i="15"/>
  <c r="AJ80" i="12"/>
  <c r="Q153" i="8"/>
  <c r="Z153" i="8"/>
  <c r="R153" i="8"/>
  <c r="AA153" i="8"/>
  <c r="W153" i="8"/>
  <c r="AF153" i="8"/>
  <c r="S153" i="8"/>
  <c r="AB153" i="8"/>
  <c r="U153" i="8"/>
  <c r="AD153" i="8"/>
  <c r="V153" i="8"/>
  <c r="AE153" i="8"/>
  <c r="X153" i="8"/>
  <c r="AG153" i="8"/>
  <c r="T153" i="8"/>
  <c r="AC153" i="8"/>
  <c r="N336" i="9"/>
  <c r="N337" i="9"/>
  <c r="N338" i="9"/>
  <c r="P336" i="9"/>
  <c r="P337" i="9"/>
  <c r="P338" i="9"/>
  <c r="Q336" i="9"/>
  <c r="Q337" i="9"/>
  <c r="Q338" i="9"/>
  <c r="O336" i="9"/>
  <c r="O337" i="9"/>
  <c r="I23" i="15"/>
  <c r="I24" i="15"/>
  <c r="AP8" i="12"/>
  <c r="AP80" i="12"/>
  <c r="AH90" i="12"/>
  <c r="AH80" i="12"/>
  <c r="AN8" i="12"/>
  <c r="AN80" i="12"/>
  <c r="AF90" i="12"/>
  <c r="AF80" i="12"/>
  <c r="V334" i="8"/>
  <c r="V335" i="8"/>
  <c r="Q333" i="8"/>
  <c r="S334" i="8"/>
  <c r="S335" i="8"/>
  <c r="R334" i="8"/>
  <c r="R335" i="8"/>
  <c r="U334" i="8"/>
  <c r="U335" i="8"/>
  <c r="T333" i="8"/>
  <c r="T334" i="8"/>
  <c r="T335" i="8"/>
  <c r="W335" i="8"/>
  <c r="X335" i="8"/>
  <c r="U117" i="10"/>
  <c r="T117" i="10"/>
  <c r="K118" i="10"/>
  <c r="J117" i="10"/>
  <c r="O116" i="10"/>
  <c r="R116" i="10"/>
  <c r="N116" i="10"/>
  <c r="Q116" i="10"/>
  <c r="AJ95" i="12"/>
  <c r="O39" i="17"/>
  <c r="O40" i="17"/>
  <c r="O50" i="17"/>
  <c r="M43" i="9"/>
  <c r="S43" i="9"/>
  <c r="N43" i="9"/>
  <c r="T43" i="9"/>
  <c r="Q43" i="9"/>
  <c r="W43" i="9"/>
  <c r="P43" i="9"/>
  <c r="V43" i="9"/>
  <c r="O43" i="9"/>
  <c r="U43" i="9"/>
  <c r="T43" i="8"/>
  <c r="AC43" i="8"/>
  <c r="R43" i="8"/>
  <c r="AA43" i="8"/>
  <c r="X43" i="8"/>
  <c r="AG43" i="8"/>
  <c r="Q43" i="8"/>
  <c r="Z43" i="8"/>
  <c r="V43" i="8"/>
  <c r="AE43" i="8"/>
  <c r="U43" i="8"/>
  <c r="AD43" i="8"/>
  <c r="W43" i="8"/>
  <c r="AF43" i="8"/>
  <c r="S43" i="8"/>
  <c r="AB43" i="8"/>
  <c r="W114" i="16"/>
  <c r="Q114" i="16"/>
  <c r="W74" i="8"/>
  <c r="AF74" i="8"/>
  <c r="U74" i="8"/>
  <c r="AD74" i="8"/>
  <c r="V74" i="8"/>
  <c r="AE74" i="8"/>
  <c r="Q74" i="8"/>
  <c r="Z74" i="8"/>
  <c r="S74" i="8"/>
  <c r="AB74" i="8"/>
  <c r="X74" i="8"/>
  <c r="AG74" i="8"/>
  <c r="T74" i="8"/>
  <c r="AC74" i="8"/>
  <c r="R74" i="8"/>
  <c r="AA74" i="8"/>
  <c r="N27" i="9"/>
  <c r="T27" i="9"/>
  <c r="P27" i="9"/>
  <c r="V27" i="9"/>
  <c r="M27" i="9"/>
  <c r="S27" i="9"/>
  <c r="O27" i="9"/>
  <c r="U27" i="9"/>
  <c r="Q27" i="9"/>
  <c r="W27" i="9"/>
  <c r="M39" i="17"/>
  <c r="M40" i="17"/>
  <c r="M50" i="17"/>
  <c r="Q205" i="8"/>
  <c r="Z205" i="8"/>
  <c r="T205" i="8"/>
  <c r="AC205" i="8"/>
  <c r="S205" i="8"/>
  <c r="AB205" i="8"/>
  <c r="W205" i="8"/>
  <c r="AF205" i="8"/>
  <c r="U205" i="8"/>
  <c r="AD205" i="8"/>
  <c r="X205" i="8"/>
  <c r="AG205" i="8"/>
  <c r="R205" i="8"/>
  <c r="AA205" i="8"/>
  <c r="V205" i="8"/>
  <c r="AE205" i="8"/>
  <c r="Q202" i="9"/>
  <c r="W202" i="9"/>
  <c r="P202" i="9"/>
  <c r="V202" i="9"/>
  <c r="O202" i="9"/>
  <c r="U202" i="9"/>
  <c r="N202" i="9"/>
  <c r="T202" i="9"/>
  <c r="M202" i="9"/>
  <c r="S202" i="9"/>
  <c r="AM89" i="8"/>
  <c r="AJ89" i="8"/>
  <c r="AN89" i="8"/>
  <c r="AL89" i="8"/>
  <c r="AK89" i="8"/>
  <c r="AP89" i="8"/>
  <c r="AI89" i="8"/>
  <c r="AO89" i="8"/>
  <c r="M89" i="8"/>
  <c r="AJ83" i="12"/>
  <c r="W202" i="8"/>
  <c r="AF202" i="8"/>
  <c r="X202" i="8"/>
  <c r="AG202" i="8"/>
  <c r="R202" i="8"/>
  <c r="AA202" i="8"/>
  <c r="Q202" i="8"/>
  <c r="Z202" i="8"/>
  <c r="T202" i="8"/>
  <c r="AC202" i="8"/>
  <c r="U202" i="8"/>
  <c r="AD202" i="8"/>
  <c r="S202" i="8"/>
  <c r="AB202" i="8"/>
  <c r="V202" i="8"/>
  <c r="AE202" i="8"/>
  <c r="AZ149" i="11"/>
  <c r="V149" i="11"/>
  <c r="AE149" i="11"/>
  <c r="W149" i="11"/>
  <c r="AF149" i="11"/>
  <c r="Q149" i="11"/>
  <c r="Z149" i="11"/>
  <c r="X149" i="11"/>
  <c r="AG149" i="11"/>
  <c r="R149" i="11"/>
  <c r="AA149" i="11"/>
  <c r="U149" i="11"/>
  <c r="AD149" i="11"/>
  <c r="T149" i="11"/>
  <c r="AC149" i="11"/>
  <c r="S149" i="11"/>
  <c r="AB149" i="11"/>
  <c r="U148" i="8"/>
  <c r="AD148" i="8"/>
  <c r="X148" i="8"/>
  <c r="AG148" i="8"/>
  <c r="Q148" i="8"/>
  <c r="Z148" i="8"/>
  <c r="T148" i="8"/>
  <c r="AC148" i="8"/>
  <c r="R148" i="8"/>
  <c r="AA148" i="8"/>
  <c r="V148" i="8"/>
  <c r="AE148" i="8"/>
  <c r="S148" i="8"/>
  <c r="AB148" i="8"/>
  <c r="W148" i="8"/>
  <c r="AF148" i="8"/>
  <c r="X15" i="13"/>
  <c r="AG15" i="13"/>
  <c r="AZ15" i="13"/>
  <c r="T15" i="13"/>
  <c r="AC15" i="13"/>
  <c r="S15" i="13"/>
  <c r="AB15" i="13"/>
  <c r="U15" i="13"/>
  <c r="AD15" i="13"/>
  <c r="W15" i="13"/>
  <c r="AF15" i="13"/>
  <c r="V15" i="13"/>
  <c r="AE15" i="13"/>
  <c r="R15" i="13"/>
  <c r="AA15" i="13"/>
  <c r="Q15" i="13"/>
  <c r="Z15" i="13"/>
  <c r="AJ203" i="8"/>
  <c r="AN203" i="8"/>
  <c r="AK203" i="8"/>
  <c r="AP203" i="8"/>
  <c r="AL203" i="8"/>
  <c r="AI203" i="8"/>
  <c r="AO203" i="8"/>
  <c r="AM203" i="8"/>
  <c r="M203" i="8"/>
  <c r="Z89" i="9"/>
  <c r="Y89" i="9"/>
  <c r="AA89" i="9"/>
  <c r="I89" i="9"/>
  <c r="AC89" i="9"/>
  <c r="AB89" i="9"/>
  <c r="Z203" i="9"/>
  <c r="I203" i="9"/>
  <c r="AB203" i="9"/>
  <c r="AA203" i="9"/>
  <c r="AC203" i="9"/>
  <c r="Y203" i="9"/>
  <c r="AK150" i="11"/>
  <c r="AL150" i="11"/>
  <c r="AO150" i="11"/>
  <c r="AN150" i="11"/>
  <c r="AJ150" i="11"/>
  <c r="M150" i="11"/>
  <c r="AM150" i="11"/>
  <c r="AP150" i="11"/>
  <c r="AI150" i="11"/>
  <c r="AI149" i="8"/>
  <c r="AN149" i="8"/>
  <c r="AL149" i="8"/>
  <c r="AJ149" i="8"/>
  <c r="AM149" i="8"/>
  <c r="AO149" i="8"/>
  <c r="AP149" i="8"/>
  <c r="AK149" i="8"/>
  <c r="M149" i="8"/>
  <c r="AJ92" i="12"/>
  <c r="Q148" i="9"/>
  <c r="W148" i="9"/>
  <c r="O148" i="9"/>
  <c r="U148" i="9"/>
  <c r="M148" i="9"/>
  <c r="S148" i="9"/>
  <c r="N148" i="9"/>
  <c r="T148" i="9"/>
  <c r="P148" i="9"/>
  <c r="V148" i="9"/>
  <c r="AZ129" i="11"/>
  <c r="T129" i="11"/>
  <c r="AC129" i="11"/>
  <c r="R129" i="11"/>
  <c r="AA129" i="11"/>
  <c r="S129" i="11"/>
  <c r="AB129" i="11"/>
  <c r="X129" i="11"/>
  <c r="AG129" i="11"/>
  <c r="U129" i="11"/>
  <c r="AD129" i="11"/>
  <c r="V129" i="11"/>
  <c r="AE129" i="11"/>
  <c r="Q129" i="11"/>
  <c r="Z129" i="11"/>
  <c r="W129" i="11"/>
  <c r="AF129" i="11"/>
  <c r="R88" i="8"/>
  <c r="AA88" i="8"/>
  <c r="Q88" i="8"/>
  <c r="Z88" i="8"/>
  <c r="U88" i="8"/>
  <c r="AD88" i="8"/>
  <c r="T88" i="8"/>
  <c r="AC88" i="8"/>
  <c r="S88" i="8"/>
  <c r="AB88" i="8"/>
  <c r="V88" i="8"/>
  <c r="AE88" i="8"/>
  <c r="W88" i="8"/>
  <c r="AF88" i="8"/>
  <c r="X88" i="8"/>
  <c r="AG88" i="8"/>
  <c r="O88" i="9"/>
  <c r="U88" i="9"/>
  <c r="P88" i="9"/>
  <c r="V88" i="9"/>
  <c r="Q88" i="9"/>
  <c r="W88" i="9"/>
  <c r="M88" i="9"/>
  <c r="S88" i="9"/>
  <c r="N88" i="9"/>
  <c r="T88" i="9"/>
  <c r="M130" i="11"/>
  <c r="AK130" i="11"/>
  <c r="N131" i="11"/>
  <c r="AN130" i="11"/>
  <c r="AJ130" i="11"/>
  <c r="AO130" i="11"/>
  <c r="AM130" i="11"/>
  <c r="AI130" i="11"/>
  <c r="AP130" i="11"/>
  <c r="AL130" i="11"/>
  <c r="I149" i="9"/>
  <c r="Y149" i="9"/>
  <c r="Z149" i="9"/>
  <c r="AC149" i="9"/>
  <c r="AA149" i="9"/>
  <c r="AB149" i="9"/>
  <c r="X27" i="8"/>
  <c r="AG27" i="8"/>
  <c r="U27" i="8"/>
  <c r="AD27" i="8"/>
  <c r="R27" i="8"/>
  <c r="AA27" i="8"/>
  <c r="T27" i="8"/>
  <c r="AC27" i="8"/>
  <c r="S27" i="8"/>
  <c r="AB27" i="8"/>
  <c r="Q27" i="8"/>
  <c r="Z27" i="8"/>
  <c r="W27" i="8"/>
  <c r="AF27" i="8"/>
  <c r="V27" i="8"/>
  <c r="AE27" i="8"/>
  <c r="M210" i="9"/>
  <c r="S210" i="9"/>
  <c r="Q210" i="9"/>
  <c r="W210" i="9"/>
  <c r="N210" i="9"/>
  <c r="T210" i="9"/>
  <c r="P210" i="9"/>
  <c r="V210" i="9"/>
  <c r="O210" i="9"/>
  <c r="U210" i="9"/>
  <c r="V210" i="8"/>
  <c r="AE210" i="8"/>
  <c r="U210" i="8"/>
  <c r="AD210" i="8"/>
  <c r="S210" i="8"/>
  <c r="AB210" i="8"/>
  <c r="Q210" i="8"/>
  <c r="Z210" i="8"/>
  <c r="W210" i="8"/>
  <c r="AF210" i="8"/>
  <c r="X210" i="8"/>
  <c r="AG210" i="8"/>
  <c r="R210" i="8"/>
  <c r="AA210" i="8"/>
  <c r="T210" i="8"/>
  <c r="AC210" i="8"/>
  <c r="P64" i="9"/>
  <c r="V64" i="9"/>
  <c r="O64" i="9"/>
  <c r="U64" i="9"/>
  <c r="N64" i="9"/>
  <c r="T64" i="9"/>
  <c r="M64" i="9"/>
  <c r="S64" i="9"/>
  <c r="Q64" i="9"/>
  <c r="W64" i="9"/>
  <c r="S114" i="16"/>
  <c r="S117" i="16"/>
  <c r="V175" i="8"/>
  <c r="AE175" i="8"/>
  <c r="U175" i="8"/>
  <c r="AD175" i="8"/>
  <c r="S175" i="8"/>
  <c r="AB175" i="8"/>
  <c r="Q175" i="8"/>
  <c r="Z175" i="8"/>
  <c r="W175" i="8"/>
  <c r="AF175" i="8"/>
  <c r="T175" i="8"/>
  <c r="AC175" i="8"/>
  <c r="X175" i="8"/>
  <c r="AG175" i="8"/>
  <c r="R175" i="8"/>
  <c r="AA175" i="8"/>
  <c r="O175" i="9"/>
  <c r="U175" i="9"/>
  <c r="N175" i="9"/>
  <c r="T175" i="9"/>
  <c r="P175" i="9"/>
  <c r="V175" i="9"/>
  <c r="Q175" i="9"/>
  <c r="W175" i="9"/>
  <c r="M175" i="9"/>
  <c r="S175" i="9"/>
  <c r="T64" i="8"/>
  <c r="AC64" i="8"/>
  <c r="Q64" i="8"/>
  <c r="Z64" i="8"/>
  <c r="W64" i="8"/>
  <c r="AF64" i="8"/>
  <c r="R64" i="8"/>
  <c r="AA64" i="8"/>
  <c r="U64" i="8"/>
  <c r="AD64" i="8"/>
  <c r="V64" i="8"/>
  <c r="AE64" i="8"/>
  <c r="X64" i="8"/>
  <c r="AG64" i="8"/>
  <c r="S64" i="8"/>
  <c r="AB64" i="8"/>
  <c r="K35" i="14"/>
  <c r="M8" i="14"/>
  <c r="M35" i="14"/>
  <c r="K45" i="14"/>
  <c r="Q123" i="16"/>
  <c r="Q125" i="16"/>
  <c r="Q126" i="16"/>
  <c r="Q140" i="11"/>
  <c r="Z140" i="11"/>
  <c r="X140" i="11"/>
  <c r="AG140" i="11"/>
  <c r="R140" i="11"/>
  <c r="AA140" i="11"/>
  <c r="S140" i="11"/>
  <c r="AB140" i="11"/>
  <c r="AZ140" i="11"/>
  <c r="U140" i="11"/>
  <c r="AD140" i="11"/>
  <c r="W140" i="11"/>
  <c r="AF140" i="11"/>
  <c r="T140" i="11"/>
  <c r="AC140" i="11"/>
  <c r="V140" i="11"/>
  <c r="AE140" i="11"/>
  <c r="X114" i="16"/>
  <c r="W33" i="13"/>
  <c r="AF33" i="13"/>
  <c r="X33" i="13"/>
  <c r="AG33" i="13"/>
  <c r="AZ33" i="13"/>
  <c r="V33" i="13"/>
  <c r="AE33" i="13"/>
  <c r="T33" i="13"/>
  <c r="AC33" i="13"/>
  <c r="U33" i="13"/>
  <c r="AD33" i="13"/>
  <c r="S33" i="13"/>
  <c r="AB33" i="13"/>
  <c r="Q33" i="13"/>
  <c r="Z33" i="13"/>
  <c r="R33" i="13"/>
  <c r="AA33" i="13"/>
  <c r="AB17" i="11"/>
  <c r="P50" i="17"/>
  <c r="U123" i="16"/>
  <c r="U125" i="16"/>
  <c r="U126" i="16"/>
  <c r="R115" i="16"/>
  <c r="R116" i="16"/>
  <c r="R117" i="16"/>
  <c r="V123" i="16"/>
  <c r="V125" i="16"/>
  <c r="V126" i="16"/>
  <c r="S116" i="16"/>
  <c r="AT8" i="12"/>
  <c r="AT80" i="12"/>
  <c r="AL90" i="12"/>
  <c r="AL80" i="12"/>
  <c r="X123" i="16"/>
  <c r="X125" i="16"/>
  <c r="X126" i="16"/>
  <c r="Z17" i="11"/>
  <c r="R123" i="16"/>
  <c r="R125" i="16"/>
  <c r="R126" i="16"/>
  <c r="V114" i="16"/>
  <c r="M8" i="19"/>
  <c r="M48" i="19"/>
  <c r="K58" i="19"/>
  <c r="K48" i="19"/>
  <c r="S123" i="16"/>
  <c r="S125" i="16"/>
  <c r="S126" i="16"/>
  <c r="AQ8" i="12"/>
  <c r="AQ80" i="12"/>
  <c r="AI90" i="12"/>
  <c r="AI80" i="12"/>
  <c r="T114" i="16"/>
  <c r="AR112" i="16"/>
  <c r="AG17" i="11"/>
  <c r="W115" i="16"/>
  <c r="W117" i="16"/>
  <c r="W116" i="16"/>
  <c r="AS8" i="12"/>
  <c r="AS80" i="12"/>
  <c r="AK90" i="12"/>
  <c r="AK80" i="12"/>
  <c r="AZ8" i="13"/>
  <c r="X8" i="13"/>
  <c r="W8" i="13"/>
  <c r="Q8" i="13"/>
  <c r="V8" i="13"/>
  <c r="U8" i="13"/>
  <c r="S8" i="13"/>
  <c r="R8" i="13"/>
  <c r="T8" i="13"/>
  <c r="AJ55" i="13"/>
  <c r="AI55" i="13"/>
  <c r="AO55" i="13"/>
  <c r="AN55" i="13"/>
  <c r="M55" i="13"/>
  <c r="AK55" i="13"/>
  <c r="AM55" i="13"/>
  <c r="AP55" i="13"/>
  <c r="AL55" i="13"/>
  <c r="AF17" i="11"/>
  <c r="W123" i="16"/>
  <c r="W125" i="16"/>
  <c r="W126" i="16"/>
  <c r="AO8" i="12"/>
  <c r="AO80" i="12"/>
  <c r="AG90" i="12"/>
  <c r="AG80" i="12"/>
  <c r="U114" i="16"/>
  <c r="AL34" i="13"/>
  <c r="AI34" i="13"/>
  <c r="M34" i="13"/>
  <c r="N35" i="13"/>
  <c r="AK34" i="13"/>
  <c r="AJ34" i="13"/>
  <c r="AN34" i="13"/>
  <c r="AM34" i="13"/>
  <c r="AP34" i="13"/>
  <c r="AO34" i="13"/>
  <c r="AA17" i="11"/>
  <c r="AR121" i="16"/>
  <c r="T123" i="16"/>
  <c r="T125" i="16"/>
  <c r="T126" i="16"/>
  <c r="AD17" i="11"/>
  <c r="AC17" i="11"/>
  <c r="Q115" i="16"/>
  <c r="Q117" i="16"/>
  <c r="Q116" i="16"/>
  <c r="S116" i="11"/>
  <c r="AB116" i="11"/>
  <c r="AZ116" i="11"/>
  <c r="Q116" i="11"/>
  <c r="Z116" i="11"/>
  <c r="W116" i="11"/>
  <c r="AF116" i="11"/>
  <c r="U116" i="11"/>
  <c r="AD116" i="11"/>
  <c r="V116" i="11"/>
  <c r="AE116" i="11"/>
  <c r="X116" i="11"/>
  <c r="AG116" i="11"/>
  <c r="T116" i="11"/>
  <c r="AC116" i="11"/>
  <c r="R116" i="11"/>
  <c r="AA116" i="11"/>
  <c r="AE17" i="11"/>
  <c r="M213" i="9"/>
  <c r="O213" i="9"/>
  <c r="Q213" i="9"/>
  <c r="W213" i="9"/>
  <c r="P213" i="9"/>
  <c r="V213" i="9"/>
  <c r="N213" i="9"/>
  <c r="T213" i="9"/>
  <c r="I33" i="15"/>
  <c r="AJ85" i="12"/>
  <c r="AJ84" i="12"/>
  <c r="AJ86" i="12"/>
  <c r="I25" i="15"/>
  <c r="I26" i="15"/>
  <c r="O338" i="9"/>
  <c r="AF83" i="12"/>
  <c r="AF85" i="12"/>
  <c r="AF95" i="12"/>
  <c r="AF94" i="12"/>
  <c r="AF92" i="12"/>
  <c r="AH83" i="12"/>
  <c r="AH92" i="12"/>
  <c r="AH94" i="12"/>
  <c r="AH95" i="12"/>
  <c r="Q334" i="8"/>
  <c r="Q335" i="8"/>
  <c r="O117" i="10"/>
  <c r="R117" i="10"/>
  <c r="N117" i="10"/>
  <c r="Q117" i="10"/>
  <c r="T118" i="10"/>
  <c r="K119" i="10"/>
  <c r="U118" i="10"/>
  <c r="J118" i="10"/>
  <c r="AJ96" i="12"/>
  <c r="AJ97" i="12"/>
  <c r="AL313" i="8"/>
  <c r="T324" i="8"/>
  <c r="T326" i="8"/>
  <c r="AK313" i="8"/>
  <c r="S324" i="8"/>
  <c r="S326" i="8"/>
  <c r="AI313" i="8"/>
  <c r="Q324" i="8"/>
  <c r="Q326" i="8"/>
  <c r="Z316" i="9"/>
  <c r="N327" i="9"/>
  <c r="N329" i="9"/>
  <c r="AA316" i="9"/>
  <c r="O327" i="9"/>
  <c r="O329" i="9"/>
  <c r="AJ313" i="8"/>
  <c r="R324" i="8"/>
  <c r="R326" i="8"/>
  <c r="AB316" i="9"/>
  <c r="P327" i="9"/>
  <c r="P329" i="9"/>
  <c r="Y316" i="9"/>
  <c r="M327" i="9"/>
  <c r="M329" i="9"/>
  <c r="AP313" i="8"/>
  <c r="X324" i="8"/>
  <c r="X326" i="8"/>
  <c r="AN313" i="8"/>
  <c r="V324" i="8"/>
  <c r="V326" i="8"/>
  <c r="AC316" i="9"/>
  <c r="Q327" i="9"/>
  <c r="Q329" i="9"/>
  <c r="AM313" i="8"/>
  <c r="U324" i="8"/>
  <c r="U326" i="8"/>
  <c r="U127" i="16"/>
  <c r="U128" i="16"/>
  <c r="AO313" i="8"/>
  <c r="W324" i="8"/>
  <c r="W326" i="8"/>
  <c r="N149" i="9"/>
  <c r="T149" i="9"/>
  <c r="P149" i="9"/>
  <c r="V149" i="9"/>
  <c r="M149" i="9"/>
  <c r="S149" i="9"/>
  <c r="Q149" i="9"/>
  <c r="W149" i="9"/>
  <c r="O149" i="9"/>
  <c r="U149" i="9"/>
  <c r="Q203" i="9"/>
  <c r="W203" i="9"/>
  <c r="M203" i="9"/>
  <c r="S203" i="9"/>
  <c r="O203" i="9"/>
  <c r="U203" i="9"/>
  <c r="P203" i="9"/>
  <c r="V203" i="9"/>
  <c r="N203" i="9"/>
  <c r="T203" i="9"/>
  <c r="U203" i="8"/>
  <c r="AD203" i="8"/>
  <c r="T203" i="8"/>
  <c r="AC203" i="8"/>
  <c r="W203" i="8"/>
  <c r="AF203" i="8"/>
  <c r="R203" i="8"/>
  <c r="AA203" i="8"/>
  <c r="X203" i="8"/>
  <c r="AG203" i="8"/>
  <c r="V203" i="8"/>
  <c r="AE203" i="8"/>
  <c r="S203" i="8"/>
  <c r="AB203" i="8"/>
  <c r="Q203" i="8"/>
  <c r="Z203" i="8"/>
  <c r="U150" i="11"/>
  <c r="AD150" i="11"/>
  <c r="R150" i="11"/>
  <c r="AA150" i="11"/>
  <c r="Q150" i="11"/>
  <c r="Z150" i="11"/>
  <c r="T150" i="11"/>
  <c r="AC150" i="11"/>
  <c r="AZ150" i="11"/>
  <c r="W150" i="11"/>
  <c r="AF150" i="11"/>
  <c r="X150" i="11"/>
  <c r="AG150" i="11"/>
  <c r="V150" i="11"/>
  <c r="AE150" i="11"/>
  <c r="S150" i="11"/>
  <c r="AB150" i="11"/>
  <c r="X149" i="8"/>
  <c r="AG149" i="8"/>
  <c r="W149" i="8"/>
  <c r="AF149" i="8"/>
  <c r="T149" i="8"/>
  <c r="AC149" i="8"/>
  <c r="S149" i="8"/>
  <c r="AB149" i="8"/>
  <c r="Q149" i="8"/>
  <c r="Z149" i="8"/>
  <c r="R149" i="8"/>
  <c r="AA149" i="8"/>
  <c r="V149" i="8"/>
  <c r="AE149" i="8"/>
  <c r="U149" i="8"/>
  <c r="AD149" i="8"/>
  <c r="AZ130" i="11"/>
  <c r="R130" i="11"/>
  <c r="AA130" i="11"/>
  <c r="V130" i="11"/>
  <c r="AE130" i="11"/>
  <c r="W130" i="11"/>
  <c r="AF130" i="11"/>
  <c r="S130" i="11"/>
  <c r="AB130" i="11"/>
  <c r="X130" i="11"/>
  <c r="AG130" i="11"/>
  <c r="T130" i="11"/>
  <c r="AC130" i="11"/>
  <c r="U130" i="11"/>
  <c r="AD130" i="11"/>
  <c r="Q130" i="11"/>
  <c r="Z130" i="11"/>
  <c r="O89" i="9"/>
  <c r="U89" i="9"/>
  <c r="N89" i="9"/>
  <c r="T89" i="9"/>
  <c r="Q89" i="9"/>
  <c r="W89" i="9"/>
  <c r="P89" i="9"/>
  <c r="V89" i="9"/>
  <c r="M89" i="9"/>
  <c r="S89" i="9"/>
  <c r="W89" i="8"/>
  <c r="Q89" i="8"/>
  <c r="Z89" i="8"/>
  <c r="V89" i="8"/>
  <c r="AE89" i="8"/>
  <c r="R89" i="8"/>
  <c r="AA89" i="8"/>
  <c r="T89" i="8"/>
  <c r="AC89" i="8"/>
  <c r="S89" i="8"/>
  <c r="AB89" i="8"/>
  <c r="AB313" i="8"/>
  <c r="S323" i="8"/>
  <c r="X89" i="8"/>
  <c r="AG89" i="8"/>
  <c r="U89" i="8"/>
  <c r="AD89" i="8"/>
  <c r="AO131" i="11"/>
  <c r="N132" i="11"/>
  <c r="AP131" i="11"/>
  <c r="AN131" i="11"/>
  <c r="AL131" i="11"/>
  <c r="M131" i="11"/>
  <c r="AI131" i="11"/>
  <c r="AJ131" i="11"/>
  <c r="AK131" i="11"/>
  <c r="AM131" i="11"/>
  <c r="K51" i="19"/>
  <c r="K53" i="19"/>
  <c r="AG83" i="12"/>
  <c r="AG86" i="12"/>
  <c r="AK83" i="12"/>
  <c r="AJ87" i="12"/>
  <c r="AJ88" i="12"/>
  <c r="AJ98" i="12"/>
  <c r="F13" i="7"/>
  <c r="H13" i="7"/>
  <c r="G13" i="7"/>
  <c r="W127" i="16"/>
  <c r="W128" i="16"/>
  <c r="AF84" i="12"/>
  <c r="S115" i="16"/>
  <c r="AF86" i="12"/>
  <c r="V127" i="16"/>
  <c r="V128" i="16"/>
  <c r="W118" i="16"/>
  <c r="W119" i="16"/>
  <c r="W316" i="9"/>
  <c r="Q326" i="9"/>
  <c r="Q331" i="9"/>
  <c r="AR126" i="16"/>
  <c r="R118" i="16"/>
  <c r="R119" i="16"/>
  <c r="AG92" i="12"/>
  <c r="AG95" i="12"/>
  <c r="AG94" i="12"/>
  <c r="AF8" i="13"/>
  <c r="K63" i="19"/>
  <c r="K62" i="19"/>
  <c r="K60" i="19"/>
  <c r="X117" i="16"/>
  <c r="X115" i="16"/>
  <c r="X116" i="16"/>
  <c r="K38" i="14"/>
  <c r="AO35" i="13"/>
  <c r="AI35" i="13"/>
  <c r="AN35" i="13"/>
  <c r="AK35" i="13"/>
  <c r="AM35" i="13"/>
  <c r="AL35" i="13"/>
  <c r="AJ35" i="13"/>
  <c r="M35" i="13"/>
  <c r="AP35" i="13"/>
  <c r="N36" i="13"/>
  <c r="AC8" i="13"/>
  <c r="AG8" i="13"/>
  <c r="V115" i="16"/>
  <c r="V116" i="16"/>
  <c r="V117" i="16"/>
  <c r="X127" i="16"/>
  <c r="X128" i="16"/>
  <c r="Q118" i="16"/>
  <c r="Q119" i="16"/>
  <c r="X34" i="13"/>
  <c r="AG34" i="13"/>
  <c r="V34" i="13"/>
  <c r="AE34" i="13"/>
  <c r="R34" i="13"/>
  <c r="AA34" i="13"/>
  <c r="T34" i="13"/>
  <c r="AC34" i="13"/>
  <c r="AZ34" i="13"/>
  <c r="Q34" i="13"/>
  <c r="Z34" i="13"/>
  <c r="W34" i="13"/>
  <c r="AF34" i="13"/>
  <c r="S34" i="13"/>
  <c r="AB34" i="13"/>
  <c r="U34" i="13"/>
  <c r="AD34" i="13"/>
  <c r="AA8" i="13"/>
  <c r="AI83" i="12"/>
  <c r="R127" i="16"/>
  <c r="R128" i="16"/>
  <c r="AB8" i="13"/>
  <c r="AI92" i="12"/>
  <c r="AI94" i="12"/>
  <c r="AI95" i="12"/>
  <c r="AR125" i="16"/>
  <c r="R55" i="13"/>
  <c r="AA55" i="13"/>
  <c r="W55" i="13"/>
  <c r="AF55" i="13"/>
  <c r="Q55" i="13"/>
  <c r="Z55" i="13"/>
  <c r="AZ55" i="13"/>
  <c r="X55" i="13"/>
  <c r="AG55" i="13"/>
  <c r="T55" i="13"/>
  <c r="AC55" i="13"/>
  <c r="U55" i="13"/>
  <c r="AD55" i="13"/>
  <c r="V55" i="13"/>
  <c r="AE55" i="13"/>
  <c r="S55" i="13"/>
  <c r="AB55" i="13"/>
  <c r="AG85" i="12"/>
  <c r="AK92" i="12"/>
  <c r="AK94" i="12"/>
  <c r="AK95" i="12"/>
  <c r="S127" i="16"/>
  <c r="S128" i="16"/>
  <c r="AR123" i="16"/>
  <c r="T127" i="16"/>
  <c r="U115" i="16"/>
  <c r="U117" i="16"/>
  <c r="U116" i="16"/>
  <c r="AD8" i="13"/>
  <c r="AL83" i="12"/>
  <c r="Q127" i="16"/>
  <c r="Q128" i="16"/>
  <c r="AE8" i="13"/>
  <c r="AL92" i="12"/>
  <c r="AL94" i="12"/>
  <c r="AL95" i="12"/>
  <c r="Z8" i="13"/>
  <c r="AR114" i="16"/>
  <c r="T115" i="16"/>
  <c r="T117" i="16"/>
  <c r="AR117" i="16"/>
  <c r="T116" i="16"/>
  <c r="AR116" i="16"/>
  <c r="K49" i="14"/>
  <c r="K50" i="14"/>
  <c r="K47" i="14"/>
  <c r="S213" i="9"/>
  <c r="U213" i="9"/>
  <c r="U316" i="9"/>
  <c r="O326" i="9"/>
  <c r="I34" i="15"/>
  <c r="H23" i="7"/>
  <c r="F14" i="5"/>
  <c r="AF96" i="12"/>
  <c r="AF97" i="12"/>
  <c r="AH96" i="12"/>
  <c r="AH97" i="12"/>
  <c r="AH85" i="12"/>
  <c r="AH86" i="12"/>
  <c r="AH84" i="12"/>
  <c r="O118" i="10"/>
  <c r="N118" i="10"/>
  <c r="U119" i="10"/>
  <c r="K120" i="10"/>
  <c r="J119" i="10"/>
  <c r="T119" i="10"/>
  <c r="Z313" i="8"/>
  <c r="Q323" i="8"/>
  <c r="Q328" i="8"/>
  <c r="T313" i="8"/>
  <c r="V316" i="9"/>
  <c r="P326" i="9"/>
  <c r="P328" i="9"/>
  <c r="T316" i="9"/>
  <c r="N326" i="9"/>
  <c r="N330" i="9"/>
  <c r="AC313" i="8"/>
  <c r="T323" i="8"/>
  <c r="T327" i="8"/>
  <c r="S313" i="8"/>
  <c r="S316" i="8"/>
  <c r="M316" i="9"/>
  <c r="S316" i="9"/>
  <c r="M326" i="9"/>
  <c r="M331" i="9"/>
  <c r="N316" i="9"/>
  <c r="P316" i="9"/>
  <c r="AG313" i="8"/>
  <c r="X323" i="8"/>
  <c r="X325" i="8"/>
  <c r="AD313" i="8"/>
  <c r="U323" i="8"/>
  <c r="U327" i="8"/>
  <c r="W129" i="16"/>
  <c r="AE313" i="8"/>
  <c r="V323" i="8"/>
  <c r="V328" i="8"/>
  <c r="AG84" i="12"/>
  <c r="AG87" i="12"/>
  <c r="AG88" i="12"/>
  <c r="Q313" i="8"/>
  <c r="AF87" i="12"/>
  <c r="AF88" i="12"/>
  <c r="AF98" i="12"/>
  <c r="F9" i="7"/>
  <c r="H9" i="7"/>
  <c r="G9" i="7"/>
  <c r="AA313" i="8"/>
  <c r="R323" i="8"/>
  <c r="R327" i="8"/>
  <c r="N331" i="9"/>
  <c r="K52" i="19"/>
  <c r="K54" i="19"/>
  <c r="S327" i="8"/>
  <c r="S325" i="8"/>
  <c r="AF89" i="8"/>
  <c r="AF313" i="8"/>
  <c r="W323" i="8"/>
  <c r="W313" i="8"/>
  <c r="Q316" i="9"/>
  <c r="Q319" i="9"/>
  <c r="Q320" i="9"/>
  <c r="U313" i="8"/>
  <c r="O316" i="9"/>
  <c r="O319" i="9"/>
  <c r="O320" i="9"/>
  <c r="R131" i="11"/>
  <c r="AA131" i="11"/>
  <c r="Q131" i="11"/>
  <c r="Z131" i="11"/>
  <c r="W131" i="11"/>
  <c r="AF131" i="11"/>
  <c r="T131" i="11"/>
  <c r="AC131" i="11"/>
  <c r="S131" i="11"/>
  <c r="AB131" i="11"/>
  <c r="X131" i="11"/>
  <c r="AG131" i="11"/>
  <c r="U131" i="11"/>
  <c r="AD131" i="11"/>
  <c r="AZ131" i="11"/>
  <c r="V131" i="11"/>
  <c r="AE131" i="11"/>
  <c r="R313" i="8"/>
  <c r="V313" i="8"/>
  <c r="Q328" i="9"/>
  <c r="X313" i="8"/>
  <c r="AM132" i="11"/>
  <c r="AL132" i="11"/>
  <c r="AI132" i="11"/>
  <c r="AK132" i="11"/>
  <c r="M132" i="11"/>
  <c r="AJ132" i="11"/>
  <c r="N133" i="11"/>
  <c r="AN132" i="11"/>
  <c r="AP132" i="11"/>
  <c r="AO132" i="11"/>
  <c r="S328" i="8"/>
  <c r="AK84" i="12"/>
  <c r="AK85" i="12"/>
  <c r="AK86" i="12"/>
  <c r="T118" i="16"/>
  <c r="N328" i="9"/>
  <c r="K51" i="14"/>
  <c r="K52" i="14"/>
  <c r="R129" i="16"/>
  <c r="AL96" i="12"/>
  <c r="AL97" i="12"/>
  <c r="AK96" i="12"/>
  <c r="AK97" i="12"/>
  <c r="S118" i="16"/>
  <c r="S119" i="16"/>
  <c r="S129" i="16"/>
  <c r="Q330" i="9"/>
  <c r="V118" i="16"/>
  <c r="V119" i="16"/>
  <c r="V129" i="16"/>
  <c r="AR115" i="16"/>
  <c r="X118" i="16"/>
  <c r="X119" i="16"/>
  <c r="X129" i="16"/>
  <c r="AI85" i="12"/>
  <c r="AI86" i="12"/>
  <c r="AI84" i="12"/>
  <c r="AG96" i="12"/>
  <c r="AG97" i="12"/>
  <c r="AI96" i="12"/>
  <c r="AI97" i="12"/>
  <c r="AO36" i="13"/>
  <c r="AO94" i="13"/>
  <c r="W105" i="13"/>
  <c r="AN36" i="13"/>
  <c r="AN94" i="13"/>
  <c r="V105" i="13"/>
  <c r="V107" i="13"/>
  <c r="AL36" i="13"/>
  <c r="AL94" i="13"/>
  <c r="T105" i="13"/>
  <c r="AP36" i="13"/>
  <c r="AP94" i="13"/>
  <c r="X105" i="13"/>
  <c r="X107" i="13"/>
  <c r="M36" i="13"/>
  <c r="AI36" i="13"/>
  <c r="AI94" i="13"/>
  <c r="Q105" i="13"/>
  <c r="AK36" i="13"/>
  <c r="AK94" i="13"/>
  <c r="S105" i="13"/>
  <c r="S107" i="13"/>
  <c r="AJ36" i="13"/>
  <c r="AJ94" i="13"/>
  <c r="R105" i="13"/>
  <c r="AM36" i="13"/>
  <c r="AM94" i="13"/>
  <c r="U105" i="13"/>
  <c r="AZ35" i="13"/>
  <c r="R35" i="13"/>
  <c r="U35" i="13"/>
  <c r="AD35" i="13"/>
  <c r="V35" i="13"/>
  <c r="Q35" i="13"/>
  <c r="X35" i="13"/>
  <c r="AG35" i="13"/>
  <c r="T35" i="13"/>
  <c r="W35" i="13"/>
  <c r="AF35" i="13"/>
  <c r="S35" i="13"/>
  <c r="U118" i="16"/>
  <c r="U119" i="16"/>
  <c r="U129" i="16"/>
  <c r="K64" i="19"/>
  <c r="K65" i="19"/>
  <c r="Q129" i="16"/>
  <c r="AL86" i="12"/>
  <c r="AL85" i="12"/>
  <c r="AL84" i="12"/>
  <c r="T128" i="16"/>
  <c r="AR127" i="16"/>
  <c r="K39" i="14"/>
  <c r="K41" i="14"/>
  <c r="K40" i="14"/>
  <c r="O328" i="9"/>
  <c r="O330" i="9"/>
  <c r="O331" i="9"/>
  <c r="AH87" i="12"/>
  <c r="AH88" i="12"/>
  <c r="AH98" i="12"/>
  <c r="F11" i="7"/>
  <c r="H11" i="7"/>
  <c r="G11" i="7"/>
  <c r="R118" i="10"/>
  <c r="Q118" i="10"/>
  <c r="O119" i="10"/>
  <c r="R119" i="10"/>
  <c r="N119" i="10"/>
  <c r="Q119" i="10"/>
  <c r="J120" i="10"/>
  <c r="T120" i="10"/>
  <c r="T191" i="10"/>
  <c r="N202" i="10"/>
  <c r="N204" i="10"/>
  <c r="U120" i="10"/>
  <c r="U191" i="10"/>
  <c r="O202" i="10"/>
  <c r="O204" i="10"/>
  <c r="T328" i="8"/>
  <c r="Q316" i="8"/>
  <c r="Q319" i="8"/>
  <c r="U316" i="8"/>
  <c r="U317" i="8"/>
  <c r="Q327" i="8"/>
  <c r="Q325" i="8"/>
  <c r="Q329" i="8"/>
  <c r="Q330" i="8"/>
  <c r="P319" i="9"/>
  <c r="P322" i="9"/>
  <c r="P330" i="9"/>
  <c r="P331" i="9"/>
  <c r="N319" i="9"/>
  <c r="N320" i="9"/>
  <c r="T325" i="8"/>
  <c r="T316" i="8"/>
  <c r="T319" i="8"/>
  <c r="K55" i="19"/>
  <c r="K56" i="19"/>
  <c r="U325" i="8"/>
  <c r="U328" i="8"/>
  <c r="R316" i="8"/>
  <c r="R317" i="8"/>
  <c r="M319" i="9"/>
  <c r="M321" i="9"/>
  <c r="M328" i="9"/>
  <c r="N332" i="9"/>
  <c r="N333" i="9"/>
  <c r="M330" i="9"/>
  <c r="X328" i="8"/>
  <c r="X327" i="8"/>
  <c r="AR118" i="16"/>
  <c r="R325" i="8"/>
  <c r="X316" i="8"/>
  <c r="X317" i="8"/>
  <c r="AG98" i="12"/>
  <c r="F10" i="7"/>
  <c r="H10" i="7"/>
  <c r="G10" i="7"/>
  <c r="V325" i="8"/>
  <c r="W316" i="8"/>
  <c r="W318" i="8"/>
  <c r="R328" i="8"/>
  <c r="V316" i="8"/>
  <c r="V317" i="8"/>
  <c r="V327" i="8"/>
  <c r="K71" i="19"/>
  <c r="F21" i="7"/>
  <c r="H21" i="7"/>
  <c r="H22" i="7"/>
  <c r="F12" i="5"/>
  <c r="D12" i="5"/>
  <c r="U319" i="8"/>
  <c r="Q318" i="8"/>
  <c r="S329" i="8"/>
  <c r="S330" i="8"/>
  <c r="T119" i="16"/>
  <c r="AR119" i="16"/>
  <c r="Q332" i="9"/>
  <c r="Q333" i="9"/>
  <c r="W325" i="8"/>
  <c r="W328" i="8"/>
  <c r="W327" i="8"/>
  <c r="Q322" i="9"/>
  <c r="AM133" i="11"/>
  <c r="AM189" i="11"/>
  <c r="U200" i="11"/>
  <c r="U202" i="11"/>
  <c r="AJ133" i="11"/>
  <c r="AJ189" i="11"/>
  <c r="R200" i="11"/>
  <c r="R202" i="11"/>
  <c r="AP133" i="11"/>
  <c r="AP189" i="11"/>
  <c r="X200" i="11"/>
  <c r="X202" i="11"/>
  <c r="AO133" i="11"/>
  <c r="AO189" i="11"/>
  <c r="W200" i="11"/>
  <c r="W202" i="11"/>
  <c r="AN133" i="11"/>
  <c r="AN189" i="11"/>
  <c r="V200" i="11"/>
  <c r="V202" i="11"/>
  <c r="AL133" i="11"/>
  <c r="AL189" i="11"/>
  <c r="T200" i="11"/>
  <c r="T202" i="11"/>
  <c r="M133" i="11"/>
  <c r="AK133" i="11"/>
  <c r="AK189" i="11"/>
  <c r="S200" i="11"/>
  <c r="S202" i="11"/>
  <c r="AI133" i="11"/>
  <c r="AI189" i="11"/>
  <c r="Q200" i="11"/>
  <c r="Q202" i="11"/>
  <c r="N321" i="9"/>
  <c r="S132" i="11"/>
  <c r="AB132" i="11"/>
  <c r="AZ132" i="11"/>
  <c r="U132" i="11"/>
  <c r="V132" i="11"/>
  <c r="AE132" i="11"/>
  <c r="Q132" i="11"/>
  <c r="Z132" i="11"/>
  <c r="W132" i="11"/>
  <c r="AF132" i="11"/>
  <c r="R132" i="11"/>
  <c r="AA132" i="11"/>
  <c r="X132" i="11"/>
  <c r="AG132" i="11"/>
  <c r="T132" i="11"/>
  <c r="AC132" i="11"/>
  <c r="Q321" i="9"/>
  <c r="AK87" i="12"/>
  <c r="AK88" i="12"/>
  <c r="AK98" i="12"/>
  <c r="F14" i="7"/>
  <c r="H14" i="7"/>
  <c r="AI87" i="12"/>
  <c r="AI88" i="12"/>
  <c r="AI98" i="12"/>
  <c r="F12" i="7"/>
  <c r="H12" i="7"/>
  <c r="G12" i="7"/>
  <c r="S318" i="8"/>
  <c r="S317" i="8"/>
  <c r="S319" i="8"/>
  <c r="K42" i="14"/>
  <c r="K43" i="14"/>
  <c r="K53" i="14"/>
  <c r="F18" i="7"/>
  <c r="H18" i="7"/>
  <c r="H19" i="7"/>
  <c r="F10" i="5"/>
  <c r="D10" i="5"/>
  <c r="AL87" i="12"/>
  <c r="AL88" i="12"/>
  <c r="AL98" i="12"/>
  <c r="F15" i="7"/>
  <c r="H15" i="7"/>
  <c r="G15" i="7"/>
  <c r="Q107" i="13"/>
  <c r="U107" i="13"/>
  <c r="AR105" i="13"/>
  <c r="T107" i="13"/>
  <c r="AA35" i="13"/>
  <c r="O322" i="9"/>
  <c r="AB35" i="13"/>
  <c r="W107" i="13"/>
  <c r="O321" i="9"/>
  <c r="AR128" i="16"/>
  <c r="AC35" i="13"/>
  <c r="R107" i="13"/>
  <c r="Z35" i="13"/>
  <c r="AE35" i="13"/>
  <c r="Q36" i="13"/>
  <c r="Z36" i="13"/>
  <c r="V36" i="13"/>
  <c r="AE36" i="13"/>
  <c r="R36" i="13"/>
  <c r="AA36" i="13"/>
  <c r="AZ36" i="13"/>
  <c r="U36" i="13"/>
  <c r="W36" i="13"/>
  <c r="AF36" i="13"/>
  <c r="AF94" i="13"/>
  <c r="W104" i="13"/>
  <c r="T36" i="13"/>
  <c r="AC36" i="13"/>
  <c r="S36" i="13"/>
  <c r="AB36" i="13"/>
  <c r="X36" i="13"/>
  <c r="M94" i="13"/>
  <c r="O332" i="9"/>
  <c r="O333" i="9"/>
  <c r="O120" i="10"/>
  <c r="N120" i="10"/>
  <c r="P332" i="9"/>
  <c r="P333" i="9"/>
  <c r="T329" i="8"/>
  <c r="T330" i="8"/>
  <c r="U318" i="8"/>
  <c r="U320" i="8"/>
  <c r="U321" i="8"/>
  <c r="T318" i="8"/>
  <c r="Q317" i="8"/>
  <c r="Q320" i="8"/>
  <c r="Q321" i="8"/>
  <c r="Q336" i="8"/>
  <c r="I4" i="6"/>
  <c r="K4" i="6"/>
  <c r="J4" i="6"/>
  <c r="U329" i="8"/>
  <c r="U330" i="8"/>
  <c r="X329" i="8"/>
  <c r="X330" i="8"/>
  <c r="P321" i="9"/>
  <c r="P320" i="9"/>
  <c r="P323" i="9"/>
  <c r="P324" i="9"/>
  <c r="P339" i="9"/>
  <c r="I7" i="6"/>
  <c r="K7" i="6"/>
  <c r="N322" i="9"/>
  <c r="N323" i="9"/>
  <c r="N324" i="9"/>
  <c r="N339" i="9"/>
  <c r="I14" i="6"/>
  <c r="K14" i="6"/>
  <c r="J14" i="6"/>
  <c r="M322" i="9"/>
  <c r="R318" i="8"/>
  <c r="T317" i="8"/>
  <c r="T320" i="8"/>
  <c r="T321" i="8"/>
  <c r="T336" i="8"/>
  <c r="I8" i="6"/>
  <c r="K8" i="6"/>
  <c r="J8" i="6"/>
  <c r="R329" i="8"/>
  <c r="R330" i="8"/>
  <c r="T129" i="16"/>
  <c r="AR129" i="16"/>
  <c r="X318" i="8"/>
  <c r="R319" i="8"/>
  <c r="X319" i="8"/>
  <c r="M332" i="9"/>
  <c r="M333" i="9"/>
  <c r="M320" i="9"/>
  <c r="G21" i="7"/>
  <c r="V319" i="8"/>
  <c r="V318" i="8"/>
  <c r="V329" i="8"/>
  <c r="V330" i="8"/>
  <c r="W317" i="8"/>
  <c r="W319" i="8"/>
  <c r="Z94" i="13"/>
  <c r="Q104" i="13"/>
  <c r="Q106" i="13"/>
  <c r="W329" i="8"/>
  <c r="W330" i="8"/>
  <c r="O323" i="9"/>
  <c r="O324" i="9"/>
  <c r="O339" i="9"/>
  <c r="I15" i="6"/>
  <c r="K15" i="6"/>
  <c r="J15" i="6"/>
  <c r="Q323" i="9"/>
  <c r="Q324" i="9"/>
  <c r="Q339" i="9"/>
  <c r="I16" i="6"/>
  <c r="K16" i="6"/>
  <c r="J16" i="6"/>
  <c r="S320" i="8"/>
  <c r="S321" i="8"/>
  <c r="S336" i="8"/>
  <c r="I6" i="6"/>
  <c r="K6" i="6"/>
  <c r="J6" i="6"/>
  <c r="AD132" i="11"/>
  <c r="M189" i="11"/>
  <c r="V133" i="11"/>
  <c r="Q133" i="11"/>
  <c r="S133" i="11"/>
  <c r="AB133" i="11"/>
  <c r="AB189" i="11"/>
  <c r="S199" i="11"/>
  <c r="R133" i="11"/>
  <c r="X133" i="11"/>
  <c r="T133" i="11"/>
  <c r="AC133" i="11"/>
  <c r="AC189" i="11"/>
  <c r="T199" i="11"/>
  <c r="T204" i="11"/>
  <c r="U133" i="11"/>
  <c r="AD133" i="11"/>
  <c r="W133" i="11"/>
  <c r="AZ133" i="11"/>
  <c r="S189" i="11"/>
  <c r="S192" i="11"/>
  <c r="S193" i="11"/>
  <c r="G14" i="7"/>
  <c r="H16" i="7"/>
  <c r="F8" i="5"/>
  <c r="D8" i="5"/>
  <c r="G18" i="7"/>
  <c r="AA94" i="13"/>
  <c r="R104" i="13"/>
  <c r="R106" i="13"/>
  <c r="AB94" i="13"/>
  <c r="S104" i="13"/>
  <c r="S106" i="13"/>
  <c r="T94" i="13"/>
  <c r="AD36" i="13"/>
  <c r="AD94" i="13"/>
  <c r="U104" i="13"/>
  <c r="U94" i="13"/>
  <c r="Q94" i="13"/>
  <c r="S94" i="13"/>
  <c r="R94" i="13"/>
  <c r="W94" i="13"/>
  <c r="W97" i="13"/>
  <c r="AG36" i="13"/>
  <c r="AG94" i="13"/>
  <c r="X104" i="13"/>
  <c r="X94" i="13"/>
  <c r="AR107" i="13"/>
  <c r="W108" i="13"/>
  <c r="W106" i="13"/>
  <c r="W109" i="13"/>
  <c r="V94" i="13"/>
  <c r="AE94" i="13"/>
  <c r="V104" i="13"/>
  <c r="AC94" i="13"/>
  <c r="T104" i="13"/>
  <c r="T97" i="13"/>
  <c r="R120" i="10"/>
  <c r="R191" i="10"/>
  <c r="O201" i="10"/>
  <c r="O191" i="10"/>
  <c r="Q120" i="10"/>
  <c r="Q191" i="10"/>
  <c r="N201" i="10"/>
  <c r="N191" i="10"/>
  <c r="U336" i="8"/>
  <c r="I9" i="6"/>
  <c r="K9" i="6"/>
  <c r="J9" i="6"/>
  <c r="R320" i="8"/>
  <c r="R321" i="8"/>
  <c r="R336" i="8"/>
  <c r="I5" i="6"/>
  <c r="K5" i="6"/>
  <c r="J5" i="6"/>
  <c r="M323" i="9"/>
  <c r="M324" i="9"/>
  <c r="M339" i="9"/>
  <c r="I13" i="6"/>
  <c r="K13" i="6"/>
  <c r="J13" i="6"/>
  <c r="X320" i="8"/>
  <c r="X321" i="8"/>
  <c r="X336" i="8"/>
  <c r="I12" i="6"/>
  <c r="K12" i="6"/>
  <c r="J12" i="6"/>
  <c r="V320" i="8"/>
  <c r="V321" i="8"/>
  <c r="V336" i="8"/>
  <c r="I10" i="6"/>
  <c r="K10" i="6"/>
  <c r="J10" i="6"/>
  <c r="W320" i="8"/>
  <c r="W321" i="8"/>
  <c r="W336" i="8"/>
  <c r="I11" i="6"/>
  <c r="K11" i="6"/>
  <c r="J11" i="6"/>
  <c r="J7" i="6"/>
  <c r="AD189" i="11"/>
  <c r="U199" i="11"/>
  <c r="U203" i="11"/>
  <c r="S194" i="11"/>
  <c r="Q97" i="13"/>
  <c r="Q108" i="13"/>
  <c r="Q109" i="13"/>
  <c r="Q110" i="13"/>
  <c r="Q111" i="13"/>
  <c r="T201" i="11"/>
  <c r="AE133" i="11"/>
  <c r="AE189" i="11"/>
  <c r="V199" i="11"/>
  <c r="V189" i="11"/>
  <c r="U189" i="11"/>
  <c r="U192" i="11"/>
  <c r="T203" i="11"/>
  <c r="AF133" i="11"/>
  <c r="AF189" i="11"/>
  <c r="W199" i="11"/>
  <c r="W189" i="11"/>
  <c r="S195" i="11"/>
  <c r="S196" i="11"/>
  <c r="S197" i="11"/>
  <c r="AG133" i="11"/>
  <c r="AG189" i="11"/>
  <c r="X199" i="11"/>
  <c r="X189" i="11"/>
  <c r="R109" i="13"/>
  <c r="R189" i="11"/>
  <c r="AA133" i="11"/>
  <c r="AA189" i="11"/>
  <c r="R199" i="11"/>
  <c r="T189" i="11"/>
  <c r="T192" i="11"/>
  <c r="S201" i="11"/>
  <c r="S203" i="11"/>
  <c r="S204" i="11"/>
  <c r="Z133" i="11"/>
  <c r="Z189" i="11"/>
  <c r="Q199" i="11"/>
  <c r="Q189" i="11"/>
  <c r="Q192" i="11"/>
  <c r="R108" i="13"/>
  <c r="S108" i="13"/>
  <c r="R97" i="13"/>
  <c r="R100" i="13"/>
  <c r="S109" i="13"/>
  <c r="S97" i="13"/>
  <c r="S98" i="13"/>
  <c r="U97" i="13"/>
  <c r="U100" i="13"/>
  <c r="X97" i="13"/>
  <c r="X98" i="13"/>
  <c r="T98" i="13"/>
  <c r="T99" i="13"/>
  <c r="T100" i="13"/>
  <c r="X108" i="13"/>
  <c r="X106" i="13"/>
  <c r="X109" i="13"/>
  <c r="R99" i="13"/>
  <c r="Q98" i="13"/>
  <c r="Q99" i="13"/>
  <c r="Q100" i="13"/>
  <c r="V97" i="13"/>
  <c r="T108" i="13"/>
  <c r="AR104" i="13"/>
  <c r="T106" i="13"/>
  <c r="AR106" i="13"/>
  <c r="T109" i="13"/>
  <c r="W110" i="13"/>
  <c r="W111" i="13"/>
  <c r="W98" i="13"/>
  <c r="W99" i="13"/>
  <c r="W100" i="13"/>
  <c r="V106" i="13"/>
  <c r="V108" i="13"/>
  <c r="V109" i="13"/>
  <c r="U106" i="13"/>
  <c r="U108" i="13"/>
  <c r="U109" i="13"/>
  <c r="N194" i="10"/>
  <c r="N196" i="10"/>
  <c r="O194" i="10"/>
  <c r="O203" i="10"/>
  <c r="O205" i="10"/>
  <c r="O206" i="10"/>
  <c r="N205" i="10"/>
  <c r="N203" i="10"/>
  <c r="N206" i="10"/>
  <c r="K17" i="6"/>
  <c r="J17" i="6"/>
  <c r="D4" i="5"/>
  <c r="V192" i="11"/>
  <c r="S100" i="13"/>
  <c r="AR100" i="13"/>
  <c r="S99" i="13"/>
  <c r="S110" i="13"/>
  <c r="S111" i="13"/>
  <c r="T205" i="11"/>
  <c r="T206" i="11"/>
  <c r="R110" i="13"/>
  <c r="R111" i="13"/>
  <c r="U201" i="11"/>
  <c r="W101" i="13"/>
  <c r="W102" i="13"/>
  <c r="W112" i="13"/>
  <c r="U204" i="11"/>
  <c r="T193" i="11"/>
  <c r="T195" i="11"/>
  <c r="T194" i="11"/>
  <c r="T196" i="11"/>
  <c r="T197" i="11"/>
  <c r="AR97" i="13"/>
  <c r="Q195" i="11"/>
  <c r="Q193" i="11"/>
  <c r="Q194" i="11"/>
  <c r="R98" i="13"/>
  <c r="Q204" i="11"/>
  <c r="Q201" i="11"/>
  <c r="Q203" i="11"/>
  <c r="X192" i="11"/>
  <c r="R192" i="11"/>
  <c r="X203" i="11"/>
  <c r="X204" i="11"/>
  <c r="X201" i="11"/>
  <c r="U194" i="11"/>
  <c r="U193" i="11"/>
  <c r="U195" i="11"/>
  <c r="X99" i="13"/>
  <c r="V193" i="11"/>
  <c r="V194" i="11"/>
  <c r="V195" i="11"/>
  <c r="R204" i="11"/>
  <c r="R203" i="11"/>
  <c r="R201" i="11"/>
  <c r="S205" i="11"/>
  <c r="S206" i="11"/>
  <c r="S207" i="11"/>
  <c r="W192" i="11"/>
  <c r="V204" i="11"/>
  <c r="V203" i="11"/>
  <c r="V201" i="11"/>
  <c r="W203" i="11"/>
  <c r="W201" i="11"/>
  <c r="W204" i="11"/>
  <c r="AR108" i="13"/>
  <c r="U99" i="13"/>
  <c r="R101" i="13"/>
  <c r="R102" i="13"/>
  <c r="X110" i="13"/>
  <c r="X111" i="13"/>
  <c r="AR99" i="13"/>
  <c r="U98" i="13"/>
  <c r="S101" i="13"/>
  <c r="S102" i="13"/>
  <c r="X100" i="13"/>
  <c r="X101" i="13"/>
  <c r="X102" i="13"/>
  <c r="U110" i="13"/>
  <c r="U111" i="13"/>
  <c r="V98" i="13"/>
  <c r="V99" i="13"/>
  <c r="V100" i="13"/>
  <c r="T101" i="13"/>
  <c r="V110" i="13"/>
  <c r="V111" i="13"/>
  <c r="Q101" i="13"/>
  <c r="Q102" i="13"/>
  <c r="Q112" i="13"/>
  <c r="T110" i="13"/>
  <c r="AR109" i="13"/>
  <c r="AR98" i="13"/>
  <c r="N197" i="10"/>
  <c r="N195" i="10"/>
  <c r="N207" i="10"/>
  <c r="N208" i="10"/>
  <c r="O207" i="10"/>
  <c r="O208" i="10"/>
  <c r="O195" i="10"/>
  <c r="O196" i="10"/>
  <c r="O197" i="10"/>
  <c r="U205" i="11"/>
  <c r="U206" i="11"/>
  <c r="X112" i="13"/>
  <c r="T207" i="11"/>
  <c r="S112" i="13"/>
  <c r="F4" i="5"/>
  <c r="AR101" i="13"/>
  <c r="U101" i="13"/>
  <c r="U102" i="13"/>
  <c r="U112" i="13"/>
  <c r="W205" i="11"/>
  <c r="W206" i="11"/>
  <c r="U196" i="11"/>
  <c r="U197" i="11"/>
  <c r="U207" i="11"/>
  <c r="Q205" i="11"/>
  <c r="Q206" i="11"/>
  <c r="V205" i="11"/>
  <c r="V206" i="11"/>
  <c r="R112" i="13"/>
  <c r="V196" i="11"/>
  <c r="V197" i="11"/>
  <c r="Q196" i="11"/>
  <c r="Q197" i="11"/>
  <c r="Q207" i="11"/>
  <c r="R193" i="11"/>
  <c r="R194" i="11"/>
  <c r="R195" i="11"/>
  <c r="X193" i="11"/>
  <c r="X194" i="11"/>
  <c r="X195" i="11"/>
  <c r="R205" i="11"/>
  <c r="R206" i="11"/>
  <c r="W194" i="11"/>
  <c r="W195" i="11"/>
  <c r="W193" i="11"/>
  <c r="X205" i="11"/>
  <c r="X206" i="11"/>
  <c r="T111" i="13"/>
  <c r="AR111" i="13"/>
  <c r="AR110" i="13"/>
  <c r="N198" i="10"/>
  <c r="N199" i="10"/>
  <c r="N209" i="10"/>
  <c r="T102" i="13"/>
  <c r="V101" i="13"/>
  <c r="V102" i="13"/>
  <c r="V112" i="13"/>
  <c r="O198" i="10"/>
  <c r="O199" i="10"/>
  <c r="O209" i="10"/>
  <c r="F6" i="7"/>
  <c r="H6" i="7"/>
  <c r="G6" i="7"/>
  <c r="R196" i="11"/>
  <c r="R197" i="11"/>
  <c r="R207" i="11"/>
  <c r="V207" i="11"/>
  <c r="X196" i="11"/>
  <c r="X197" i="11"/>
  <c r="X207" i="11"/>
  <c r="W196" i="11"/>
  <c r="W197" i="11"/>
  <c r="W207" i="11"/>
  <c r="T112" i="13"/>
  <c r="AR112" i="13"/>
  <c r="AR102" i="13"/>
  <c r="F5" i="7"/>
  <c r="H5" i="7"/>
  <c r="H7" i="7"/>
  <c r="F6" i="5"/>
  <c r="H24" i="7"/>
  <c r="G5" i="7"/>
  <c r="D6" i="5"/>
  <c r="F16" i="5"/>
  <c r="C4" i="3"/>
  <c r="C12" i="3"/>
  <c r="B17" i="5"/>
  <c r="B13" i="3"/>
</calcChain>
</file>

<file path=xl/comments1.xml><?xml version="1.0" encoding="utf-8"?>
<comments xmlns="http://schemas.openxmlformats.org/spreadsheetml/2006/main">
  <authors>
    <author>JonMMx 2000</author>
  </authors>
  <commentList>
    <comment ref="A22" authorId="0" shapeId="0">
      <text>
        <r>
          <rPr>
            <sz val="9"/>
            <color indexed="81"/>
            <rFont val="宋体"/>
            <family val="3"/>
            <charset val="134"/>
          </rPr>
          <t>JonMMx 2000:
注意修改品牌</t>
        </r>
      </text>
    </comment>
  </commentList>
</comments>
</file>

<file path=xl/comments2.xml><?xml version="1.0" encoding="utf-8"?>
<comments xmlns="http://schemas.openxmlformats.org/spreadsheetml/2006/main">
  <authors>
    <author>田乖</author>
  </authors>
  <commentList>
    <comment ref="Q2" authorId="0" shapeId="0">
      <text>
        <r>
          <rPr>
            <sz val="9"/>
            <color indexed="81"/>
            <rFont val="宋体"/>
            <family val="3"/>
            <charset val="134"/>
          </rPr>
          <t>田乖:
发给集团的图纸中，要显示套内面积所框的墙中线。</t>
        </r>
      </text>
    </comment>
    <comment ref="B3" authorId="0" shapeId="0">
      <text>
        <r>
          <rPr>
            <sz val="9"/>
            <color indexed="81"/>
            <rFont val="宋体"/>
            <family val="3"/>
            <charset val="134"/>
          </rPr>
          <t>JonMMx 2000:
若有小楼号，要注明，例如41-1#、41-2#楼</t>
        </r>
      </text>
    </comment>
    <comment ref="L3" authorId="0" shapeId="0">
      <text>
        <r>
          <rPr>
            <sz val="9"/>
            <color indexed="81"/>
            <rFont val="宋体"/>
            <family val="3"/>
            <charset val="134"/>
          </rPr>
          <t>JonMMx 2000:
要注明首层情况，是否有样板房，是否有已定过标预交楼情况</t>
        </r>
      </text>
    </comment>
    <comment ref="P3" authorId="0" shapeId="0">
      <text>
        <r>
          <rPr>
            <sz val="9"/>
            <color indexed="81"/>
            <rFont val="宋体"/>
            <family val="3"/>
            <charset val="134"/>
          </rPr>
          <t>按墙体中心线计算</t>
        </r>
      </text>
    </comment>
    <comment ref="Q3" authorId="0" shapeId="0">
      <text>
        <r>
          <rPr>
            <sz val="9"/>
            <color indexed="81"/>
            <rFont val="宋体"/>
            <family val="3"/>
            <charset val="134"/>
          </rPr>
          <t>按净面积计算</t>
        </r>
      </text>
    </comment>
    <comment ref="B4" authorId="0" shapeId="0">
      <text>
        <r>
          <rPr>
            <sz val="9"/>
            <color indexed="81"/>
            <rFont val="宋体"/>
            <family val="3"/>
            <charset val="134"/>
          </rPr>
          <t>如一个楼栋包含多个单元，需注明。例如本表所示描述方式</t>
        </r>
      </text>
    </comment>
    <comment ref="C4" authorId="0" shapeId="0">
      <text>
        <r>
          <rPr>
            <sz val="9"/>
            <color indexed="81"/>
            <rFont val="宋体"/>
            <family val="3"/>
            <charset val="134"/>
          </rPr>
          <t>此处标明装修的楼层起止数</t>
        </r>
      </text>
    </comment>
    <comment ref="L4" authorId="0" shapeId="0">
      <text>
        <r>
          <rPr>
            <sz val="9"/>
            <color indexed="81"/>
            <rFont val="宋体"/>
            <family val="3"/>
            <charset val="134"/>
          </rPr>
          <t>JonMMx 2000:
备注注明首层及样板房情况，方便计算套数，及后面入户门数量的统计</t>
        </r>
      </text>
    </comment>
    <comment ref="M4" authorId="0" shapeId="0">
      <text>
        <r>
          <rPr>
            <sz val="9"/>
            <color indexed="81"/>
            <rFont val="宋体"/>
            <family val="3"/>
            <charset val="134"/>
          </rPr>
          <t>JonMMx 2000:
需注明户型，方便后面套内的门、洁具等按个数计算的工程量的复核。</t>
        </r>
      </text>
    </comment>
    <comment ref="C5" authorId="0" shapeId="0">
      <text>
        <r>
          <rPr>
            <sz val="9"/>
            <color indexed="81"/>
            <rFont val="宋体"/>
            <family val="3"/>
            <charset val="134"/>
          </rPr>
          <t>此处标明装修的楼层起止数</t>
        </r>
      </text>
    </comment>
    <comment ref="C6" authorId="0" shapeId="0">
      <text>
        <r>
          <rPr>
            <sz val="9"/>
            <color indexed="81"/>
            <rFont val="宋体"/>
            <family val="3"/>
            <charset val="134"/>
          </rPr>
          <t>此处标明装修的楼层起止数</t>
        </r>
      </text>
    </comment>
    <comment ref="C7" authorId="0" shapeId="0">
      <text>
        <r>
          <rPr>
            <sz val="9"/>
            <color indexed="81"/>
            <rFont val="宋体"/>
            <family val="3"/>
            <charset val="134"/>
          </rPr>
          <t>此处标明装修的楼层起止数</t>
        </r>
      </text>
    </comment>
    <comment ref="C8" authorId="0" shapeId="0">
      <text>
        <r>
          <rPr>
            <sz val="9"/>
            <color indexed="81"/>
            <rFont val="宋体"/>
            <family val="3"/>
            <charset val="134"/>
          </rPr>
          <t>此处标明装修的楼层起止数</t>
        </r>
      </text>
    </comment>
    <comment ref="C10" authorId="0" shapeId="0">
      <text>
        <r>
          <rPr>
            <sz val="9"/>
            <color indexed="81"/>
            <rFont val="宋体"/>
            <family val="3"/>
            <charset val="134"/>
          </rPr>
          <t>此处标明装修的楼层起止数</t>
        </r>
      </text>
    </comment>
    <comment ref="C12" authorId="0" shapeId="0">
      <text>
        <r>
          <rPr>
            <sz val="9"/>
            <color indexed="81"/>
            <rFont val="宋体"/>
            <family val="3"/>
            <charset val="134"/>
          </rPr>
          <t>此处标明装修的楼层起止数</t>
        </r>
      </text>
    </comment>
    <comment ref="M12" authorId="0" shapeId="0">
      <text>
        <r>
          <rPr>
            <sz val="9"/>
            <color indexed="81"/>
            <rFont val="宋体"/>
            <family val="3"/>
            <charset val="134"/>
          </rPr>
          <t>JonMMx 2000:
需注明户型，方便后面套内的门、洁具等按个数计算的工程量的复核。</t>
        </r>
      </text>
    </comment>
    <comment ref="C13" authorId="0" shapeId="0">
      <text>
        <r>
          <rPr>
            <sz val="9"/>
            <color indexed="81"/>
            <rFont val="宋体"/>
            <family val="3"/>
            <charset val="134"/>
          </rPr>
          <t>此处标明装修的楼层起止数</t>
        </r>
      </text>
    </comment>
    <comment ref="F17" authorId="0" shapeId="0">
      <text>
        <r>
          <rPr>
            <sz val="9"/>
            <color indexed="81"/>
            <rFont val="宋体"/>
            <family val="3"/>
            <charset val="134"/>
          </rPr>
          <t>JonMMx 2000:
装修套数一定要认真检查，最好与营销核对落实。</t>
        </r>
      </text>
    </comment>
  </commentList>
</comments>
</file>

<file path=xl/comments3.xml><?xml version="1.0" encoding="utf-8"?>
<comments xmlns="http://schemas.openxmlformats.org/spreadsheetml/2006/main">
  <authors>
    <author>JonMMx 2000</author>
  </authors>
  <commentList>
    <comment ref="K4" authorId="0" shapeId="0">
      <text>
        <r>
          <rPr>
            <sz val="9"/>
            <color indexed="81"/>
            <rFont val="宋体"/>
            <family val="3"/>
            <charset val="134"/>
          </rPr>
          <t>显示大堂面积计算过程</t>
        </r>
      </text>
    </comment>
  </commentList>
</comments>
</file>

<file path=xl/comments4.xml><?xml version="1.0" encoding="utf-8"?>
<comments xmlns="http://schemas.openxmlformats.org/spreadsheetml/2006/main">
  <authors>
    <author>田乖</author>
  </authors>
  <commentList>
    <comment ref="C2" authorId="0" shapeId="0">
      <text>
        <r>
          <rPr>
            <sz val="9"/>
            <color indexed="81"/>
            <rFont val="宋体"/>
            <family val="3"/>
            <charset val="134"/>
          </rPr>
          <t>不含工人房及储藏间门。此两种门直接填入工程量清单表</t>
        </r>
      </text>
    </comment>
    <comment ref="E12" authorId="0" shapeId="0">
      <text>
        <r>
          <rPr>
            <sz val="9"/>
            <color indexed="81"/>
            <rFont val="宋体"/>
            <family val="3"/>
            <charset val="134"/>
          </rPr>
          <t xml:space="preserve">楼栋情况描述
</t>
        </r>
      </text>
    </comment>
    <comment ref="F12" authorId="0" shapeId="0">
      <text>
        <r>
          <rPr>
            <sz val="9"/>
            <color indexed="81"/>
            <rFont val="宋体"/>
            <family val="3"/>
            <charset val="134"/>
          </rPr>
          <t xml:space="preserve">楼栋情况描述
</t>
        </r>
      </text>
    </comment>
    <comment ref="E16" authorId="0" shapeId="0">
      <text>
        <r>
          <rPr>
            <sz val="9"/>
            <color indexed="81"/>
            <rFont val="宋体"/>
            <family val="3"/>
            <charset val="134"/>
          </rPr>
          <t xml:space="preserve">走廊位平级
</t>
        </r>
      </text>
    </comment>
    <comment ref="E17" authorId="0" shapeId="0">
      <text>
        <r>
          <rPr>
            <sz val="9"/>
            <color indexed="81"/>
            <rFont val="宋体"/>
            <family val="3"/>
            <charset val="134"/>
          </rPr>
          <t xml:space="preserve">走廊位平级
</t>
        </r>
      </text>
    </comment>
    <comment ref="E31" authorId="0" shapeId="0">
      <text>
        <r>
          <rPr>
            <sz val="9"/>
            <color indexed="81"/>
            <rFont val="宋体"/>
            <family val="3"/>
            <charset val="134"/>
          </rPr>
          <t xml:space="preserve">所有空间的门槛石在客厅计算。按具体的磨边情况在此处套用相应子目
</t>
        </r>
      </text>
    </comment>
    <comment ref="E42" authorId="0" shapeId="0">
      <text>
        <r>
          <rPr>
            <sz val="9"/>
            <color indexed="81"/>
            <rFont val="宋体"/>
            <family val="3"/>
            <charset val="134"/>
          </rPr>
          <t>计算过程要求：客厅、餐厅长度*高度+玄关长度*高度-门窗洞口-电视背景</t>
        </r>
      </text>
    </comment>
    <comment ref="E43" authorId="0" shapeId="0">
      <text>
        <r>
          <rPr>
            <sz val="9"/>
            <color indexed="81"/>
            <rFont val="宋体"/>
            <family val="3"/>
            <charset val="134"/>
          </rPr>
          <t>计算过程要求：客厅、餐厅长度*高度+玄关长度*高度-门窗洞口-电视背景</t>
        </r>
      </text>
    </comment>
    <comment ref="E48" authorId="0" shapeId="0">
      <text>
        <r>
          <rPr>
            <sz val="9"/>
            <color indexed="81"/>
            <rFont val="宋体"/>
            <family val="3"/>
            <charset val="134"/>
          </rPr>
          <t xml:space="preserve">计算过程要求：客厅、餐厅长度+玄关长度-门窗洞口
</t>
        </r>
      </text>
    </comment>
    <comment ref="E51" authorId="0" shapeId="0">
      <text>
        <r>
          <rPr>
            <sz val="9"/>
            <color indexed="81"/>
            <rFont val="宋体"/>
            <family val="3"/>
            <charset val="134"/>
          </rPr>
          <t xml:space="preserve">注意此处工程量的计算，不要漏算。平窗台也是有加厚边的。
</t>
        </r>
      </text>
    </comment>
    <comment ref="E55" authorId="0" shapeId="0">
      <text>
        <r>
          <rPr>
            <sz val="9"/>
            <color indexed="81"/>
            <rFont val="宋体"/>
            <family val="3"/>
            <charset val="134"/>
          </rPr>
          <t>一个窗一个窗列明计算过程，不要一个整数。</t>
        </r>
      </text>
    </comment>
    <comment ref="E57" authorId="0" shapeId="0">
      <text>
        <r>
          <rPr>
            <sz val="9"/>
            <color indexed="81"/>
            <rFont val="宋体"/>
            <family val="3"/>
            <charset val="134"/>
          </rPr>
          <t xml:space="preserve">注意此处工程量的计算，不要漏算。平窗台也是有加厚边的。
</t>
        </r>
      </text>
    </comment>
    <comment ref="E62" authorId="0" shapeId="0">
      <text>
        <r>
          <rPr>
            <sz val="9"/>
            <color indexed="81"/>
            <rFont val="宋体"/>
            <family val="3"/>
            <charset val="134"/>
          </rPr>
          <t>要求从CAD图纸上量出每个房间的长度，列计算式时一个房间一个数字</t>
        </r>
      </text>
    </comment>
    <comment ref="E81" authorId="0" shapeId="0">
      <text>
        <r>
          <rPr>
            <sz val="9"/>
            <color indexed="81"/>
            <rFont val="宋体"/>
            <family val="3"/>
            <charset val="134"/>
          </rPr>
          <t>一个窗一个窗列明计算过程，不要一个整数。</t>
        </r>
      </text>
    </comment>
    <comment ref="E83" authorId="0" shapeId="0">
      <text>
        <r>
          <rPr>
            <sz val="9"/>
            <color indexed="81"/>
            <rFont val="宋体"/>
            <family val="3"/>
            <charset val="134"/>
          </rPr>
          <t xml:space="preserve">注意此处工程量的计算，不要漏算。平窗台也是有加厚边的。
</t>
        </r>
      </text>
    </comment>
    <comment ref="E87" authorId="0" shapeId="0">
      <text>
        <r>
          <rPr>
            <sz val="9"/>
            <color indexed="81"/>
            <rFont val="宋体"/>
            <family val="3"/>
            <charset val="134"/>
          </rPr>
          <t xml:space="preserve">一般情况下此项目由主体施工，不在装修施工范围。
</t>
        </r>
      </text>
    </comment>
    <comment ref="E92" authorId="0" shapeId="0">
      <text>
        <r>
          <rPr>
            <sz val="9"/>
            <color indexed="81"/>
            <rFont val="宋体"/>
            <family val="3"/>
            <charset val="134"/>
          </rPr>
          <t xml:space="preserve">一般情况下此项目由主体施工，不在装修施工范围。
</t>
        </r>
      </text>
    </comment>
    <comment ref="E102" authorId="0" shapeId="0">
      <text>
        <r>
          <rPr>
            <sz val="9"/>
            <color indexed="81"/>
            <rFont val="宋体"/>
            <family val="3"/>
            <charset val="134"/>
          </rPr>
          <t xml:space="preserve">计算过程要求：各卫生间的周长*高度-门窗洞口+窗侧边贴砖面积
</t>
        </r>
      </text>
    </comment>
    <comment ref="E105" authorId="0" shapeId="0">
      <text>
        <r>
          <rPr>
            <sz val="9"/>
            <color indexed="81"/>
            <rFont val="宋体"/>
            <family val="3"/>
            <charset val="134"/>
          </rPr>
          <t xml:space="preserve">套用序号7-12项子目的不需要再计算打孔费。长度增减在50mm内的（含50mm）综合考虑。（900mm按850mm计价，1000mm按950计价、1100mm按1050计价，800mm按850mm计价）
</t>
        </r>
      </text>
    </comment>
    <comment ref="I111" authorId="0" shapeId="0">
      <text>
        <r>
          <rPr>
            <sz val="9"/>
            <color indexed="81"/>
            <rFont val="宋体"/>
            <family val="3"/>
            <charset val="134"/>
          </rPr>
          <t>带飘板的洗手台都需按洗手台和飘板的展开面积之和套用此子目，不带飘板的洗手台长度800mm以下，1100以上的属于非标尺寸，也按展开面积套用此子目。套用此子目的，需视台上、台下盆具体情况套用序号14、15的开孔费。</t>
        </r>
      </text>
    </comment>
    <comment ref="K111" authorId="0" shapeId="0">
      <text>
        <r>
          <rPr>
            <sz val="9"/>
            <color indexed="81"/>
            <rFont val="宋体"/>
            <family val="3"/>
            <charset val="134"/>
          </rPr>
          <t>带飘板的洗手台都需按洗手台和飘板的展开面积之和套用此子目，不带飘板的洗手台长度800mm以下，1100以上的属于非标尺寸，也按展开面积套用此子目。套用此子目的，需视台上、台下盆具体情况套用序号14、15的开孔费。</t>
        </r>
      </text>
    </comment>
    <comment ref="E150" authorId="0" shapeId="0">
      <text>
        <r>
          <rPr>
            <sz val="9"/>
            <color indexed="81"/>
            <rFont val="宋体"/>
            <family val="3"/>
            <charset val="134"/>
          </rPr>
          <t xml:space="preserve">此项目主要指硅酸钙板天花的成品铝合金检修口。铝扣天花的检修口不单独计算的。
</t>
        </r>
      </text>
    </comment>
    <comment ref="E155" authorId="0" shapeId="0">
      <text>
        <r>
          <rPr>
            <sz val="9"/>
            <color indexed="81"/>
            <rFont val="宋体"/>
            <family val="3"/>
            <charset val="134"/>
          </rPr>
          <t xml:space="preserve">计算过程要求：厨房的周长*高度-门窗洞口-厨柜背水泥砂找平+窗侧边贴砖面积
</t>
        </r>
      </text>
    </comment>
    <comment ref="E167" authorId="0" shapeId="0">
      <text>
        <r>
          <rPr>
            <sz val="9"/>
            <color indexed="81"/>
            <rFont val="宋体"/>
            <family val="3"/>
            <charset val="134"/>
          </rPr>
          <t xml:space="preserve">一般情况下都为 1
</t>
        </r>
      </text>
    </comment>
  </commentList>
</comments>
</file>

<file path=xl/comments5.xml><?xml version="1.0" encoding="utf-8"?>
<comments xmlns="http://schemas.openxmlformats.org/spreadsheetml/2006/main">
  <authors>
    <author>田乖</author>
  </authors>
  <commentList>
    <comment ref="B2" authorId="0" shapeId="0">
      <text>
        <r>
          <rPr>
            <sz val="9"/>
            <color indexed="81"/>
            <rFont val="宋体"/>
            <family val="3"/>
            <charset val="134"/>
          </rPr>
          <t>不含工人房及储藏间门。此两种门直接填入工程量清单表</t>
        </r>
      </text>
    </comment>
    <comment ref="D31" authorId="0" shapeId="0">
      <text>
        <r>
          <rPr>
            <sz val="9"/>
            <color indexed="81"/>
            <rFont val="宋体"/>
            <family val="3"/>
            <charset val="134"/>
          </rPr>
          <t xml:space="preserve">所有空间的门槛石在客厅计算。按具体的磨边情况在此处套用相应子目
</t>
        </r>
      </text>
    </comment>
    <comment ref="H31" authorId="0" shapeId="0">
      <text>
        <r>
          <rPr>
            <sz val="9"/>
            <color indexed="81"/>
            <rFont val="宋体"/>
            <family val="3"/>
            <charset val="134"/>
          </rPr>
          <t xml:space="preserve">所有空间的门槛石在客厅计算。按具体的磨边情况在此处套用相应子目
</t>
        </r>
      </text>
    </comment>
    <comment ref="D42" authorId="0" shapeId="0">
      <text>
        <r>
          <rPr>
            <sz val="9"/>
            <color indexed="81"/>
            <rFont val="宋体"/>
            <family val="3"/>
            <charset val="134"/>
          </rPr>
          <t>计算过程要求：客厅、餐厅长度*高度+玄关长度*高度-门窗洞口-电视背景</t>
        </r>
      </text>
    </comment>
    <comment ref="H42" authorId="0" shapeId="0">
      <text>
        <r>
          <rPr>
            <sz val="9"/>
            <color indexed="81"/>
            <rFont val="宋体"/>
            <family val="3"/>
            <charset val="134"/>
          </rPr>
          <t>计算过程要求：客厅、餐厅长度*高度+玄关长度*高度-门窗洞口-电视背景</t>
        </r>
      </text>
    </comment>
    <comment ref="D43" authorId="0" shapeId="0">
      <text>
        <r>
          <rPr>
            <sz val="9"/>
            <color indexed="81"/>
            <rFont val="宋体"/>
            <family val="3"/>
            <charset val="134"/>
          </rPr>
          <t>计算过程要求：客厅、餐厅长度*高度+玄关长度*高度-门窗洞口-电视背景</t>
        </r>
      </text>
    </comment>
    <comment ref="H43" authorId="0" shapeId="0">
      <text>
        <r>
          <rPr>
            <sz val="9"/>
            <color indexed="81"/>
            <rFont val="宋体"/>
            <family val="3"/>
            <charset val="134"/>
          </rPr>
          <t>计算过程要求：客厅、餐厅长度*高度+玄关长度*高度-门窗洞口-电视背景</t>
        </r>
      </text>
    </comment>
    <comment ref="D48" authorId="0" shapeId="0">
      <text>
        <r>
          <rPr>
            <sz val="9"/>
            <color indexed="81"/>
            <rFont val="宋体"/>
            <family val="3"/>
            <charset val="134"/>
          </rPr>
          <t xml:space="preserve">计算过程要求：客厅、餐厅长度+玄关长度-门窗洞口
</t>
        </r>
      </text>
    </comment>
    <comment ref="H48" authorId="0" shapeId="0">
      <text>
        <r>
          <rPr>
            <sz val="9"/>
            <color indexed="81"/>
            <rFont val="宋体"/>
            <family val="3"/>
            <charset val="134"/>
          </rPr>
          <t xml:space="preserve">计算过程要求：客厅、餐厅长度+玄关长度-门窗洞口
</t>
        </r>
      </text>
    </comment>
    <comment ref="D51" authorId="0" shapeId="0">
      <text>
        <r>
          <rPr>
            <sz val="9"/>
            <color indexed="81"/>
            <rFont val="宋体"/>
            <family val="3"/>
            <charset val="134"/>
          </rPr>
          <t xml:space="preserve">注意此处工程量的计算，不要漏算。平窗台也是有加厚边的。
</t>
        </r>
      </text>
    </comment>
    <comment ref="H51" authorId="0" shapeId="0">
      <text>
        <r>
          <rPr>
            <sz val="9"/>
            <color indexed="81"/>
            <rFont val="宋体"/>
            <family val="3"/>
            <charset val="134"/>
          </rPr>
          <t xml:space="preserve">注意此处工程量的计算，不要漏算。平窗台也是有加厚边的。
</t>
        </r>
      </text>
    </comment>
    <comment ref="D55" authorId="0" shapeId="0">
      <text>
        <r>
          <rPr>
            <sz val="9"/>
            <color indexed="81"/>
            <rFont val="宋体"/>
            <family val="3"/>
            <charset val="134"/>
          </rPr>
          <t>一个窗一个窗列明计算过程，不要一个整数。</t>
        </r>
      </text>
    </comment>
    <comment ref="H55" authorId="0" shapeId="0">
      <text>
        <r>
          <rPr>
            <sz val="9"/>
            <color indexed="81"/>
            <rFont val="宋体"/>
            <family val="3"/>
            <charset val="134"/>
          </rPr>
          <t>一个窗一个窗列明计算过程，不要一个整数。</t>
        </r>
      </text>
    </comment>
    <comment ref="D57" authorId="0" shapeId="0">
      <text>
        <r>
          <rPr>
            <sz val="9"/>
            <color indexed="81"/>
            <rFont val="宋体"/>
            <family val="3"/>
            <charset val="134"/>
          </rPr>
          <t xml:space="preserve">注意此处工程量的计算，不要漏算。平窗台也是有加厚边的。
</t>
        </r>
      </text>
    </comment>
    <comment ref="H57" authorId="0" shapeId="0">
      <text>
        <r>
          <rPr>
            <sz val="9"/>
            <color indexed="81"/>
            <rFont val="宋体"/>
            <family val="3"/>
            <charset val="134"/>
          </rPr>
          <t xml:space="preserve">注意此处工程量的计算，不要漏算。平窗台也是有加厚边的。
</t>
        </r>
      </text>
    </comment>
    <comment ref="D62" authorId="0" shapeId="0">
      <text>
        <r>
          <rPr>
            <sz val="9"/>
            <color indexed="81"/>
            <rFont val="宋体"/>
            <family val="3"/>
            <charset val="134"/>
          </rPr>
          <t>要求从CAD图纸上量出每个房间的长度，列计算式时一个房间一个数字</t>
        </r>
      </text>
    </comment>
    <comment ref="H62" authorId="0" shapeId="0">
      <text>
        <r>
          <rPr>
            <sz val="9"/>
            <color indexed="81"/>
            <rFont val="宋体"/>
            <family val="3"/>
            <charset val="134"/>
          </rPr>
          <t>要求从CAD图纸上量出每个房间的长度，列计算式时一个房间一个数字</t>
        </r>
      </text>
    </comment>
    <comment ref="D73" authorId="0" shapeId="0">
      <text>
        <r>
          <rPr>
            <sz val="9"/>
            <color indexed="81"/>
            <rFont val="宋体"/>
            <family val="3"/>
            <charset val="134"/>
          </rPr>
          <t>计算过程要求：各个房间长度*高度-门窗洞口面积+窗侧边及顶面面积</t>
        </r>
      </text>
    </comment>
    <comment ref="H73" authorId="0" shapeId="0">
      <text>
        <r>
          <rPr>
            <sz val="9"/>
            <color indexed="81"/>
            <rFont val="宋体"/>
            <family val="3"/>
            <charset val="134"/>
          </rPr>
          <t>计算过程要求：各个房间长度*高度-门窗洞口面积+窗侧边及顶面面积</t>
        </r>
      </text>
    </comment>
    <comment ref="D74" authorId="0" shapeId="0">
      <text>
        <r>
          <rPr>
            <sz val="9"/>
            <color indexed="81"/>
            <rFont val="宋体"/>
            <family val="3"/>
            <charset val="134"/>
          </rPr>
          <t>计算过程要求：各个房间长度*高度-门窗洞口面积+窗侧边及顶面面积</t>
        </r>
      </text>
    </comment>
    <comment ref="H74" authorId="0" shapeId="0">
      <text>
        <r>
          <rPr>
            <sz val="9"/>
            <color indexed="81"/>
            <rFont val="宋体"/>
            <family val="3"/>
            <charset val="134"/>
          </rPr>
          <t>计算过程要求：各个房间长度*高度-门窗洞口面积+窗侧边及顶面面积</t>
        </r>
      </text>
    </comment>
    <comment ref="D81" authorId="0" shapeId="0">
      <text>
        <r>
          <rPr>
            <sz val="9"/>
            <color indexed="81"/>
            <rFont val="宋体"/>
            <family val="3"/>
            <charset val="134"/>
          </rPr>
          <t>一个窗一个窗列明计算过程，不要一个整数。</t>
        </r>
      </text>
    </comment>
    <comment ref="H81" authorId="0" shapeId="0">
      <text>
        <r>
          <rPr>
            <sz val="9"/>
            <color indexed="81"/>
            <rFont val="宋体"/>
            <family val="3"/>
            <charset val="134"/>
          </rPr>
          <t>一个窗一个窗列明计算过程，不要一个整数。</t>
        </r>
      </text>
    </comment>
    <comment ref="D83" authorId="0" shapeId="0">
      <text>
        <r>
          <rPr>
            <sz val="9"/>
            <color indexed="81"/>
            <rFont val="宋体"/>
            <family val="3"/>
            <charset val="134"/>
          </rPr>
          <t xml:space="preserve">注意此处工程量的计算，不要漏算。平窗台也是有加厚边的。
</t>
        </r>
      </text>
    </comment>
    <comment ref="H83" authorId="0" shapeId="0">
      <text>
        <r>
          <rPr>
            <sz val="9"/>
            <color indexed="81"/>
            <rFont val="宋体"/>
            <family val="3"/>
            <charset val="134"/>
          </rPr>
          <t xml:space="preserve">注意此处工程量的计算，不要漏算。平窗台也是有加厚边的。
</t>
        </r>
      </text>
    </comment>
    <comment ref="D87" authorId="0" shapeId="0">
      <text>
        <r>
          <rPr>
            <sz val="9"/>
            <color indexed="81"/>
            <rFont val="宋体"/>
            <family val="3"/>
            <charset val="134"/>
          </rPr>
          <t xml:space="preserve">一般情况下此项目由主体施工，不在装修施工范围。
</t>
        </r>
      </text>
    </comment>
    <comment ref="H87" authorId="0" shapeId="0">
      <text>
        <r>
          <rPr>
            <sz val="9"/>
            <color indexed="81"/>
            <rFont val="宋体"/>
            <family val="3"/>
            <charset val="134"/>
          </rPr>
          <t xml:space="preserve">一般情况下此项目由主体施工，不在装修施工范围。
</t>
        </r>
      </text>
    </comment>
    <comment ref="D92" authorId="0" shapeId="0">
      <text>
        <r>
          <rPr>
            <sz val="9"/>
            <color indexed="81"/>
            <rFont val="宋体"/>
            <family val="3"/>
            <charset val="134"/>
          </rPr>
          <t xml:space="preserve">一般情况下此项目由主体施工，不在装修施工范围。
</t>
        </r>
      </text>
    </comment>
    <comment ref="H92" authorId="0" shapeId="0">
      <text>
        <r>
          <rPr>
            <sz val="9"/>
            <color indexed="81"/>
            <rFont val="宋体"/>
            <family val="3"/>
            <charset val="134"/>
          </rPr>
          <t xml:space="preserve">一般情况下此项目由主体施工，不在装修施工范围。
</t>
        </r>
      </text>
    </comment>
    <comment ref="D102" authorId="0" shapeId="0">
      <text>
        <r>
          <rPr>
            <sz val="9"/>
            <color indexed="81"/>
            <rFont val="宋体"/>
            <family val="3"/>
            <charset val="134"/>
          </rPr>
          <t xml:space="preserve">计算过程要求：各卫生间的周长*高度-门窗洞口+窗侧边贴砖面积
</t>
        </r>
      </text>
    </comment>
    <comment ref="H102" authorId="0" shapeId="0">
      <text>
        <r>
          <rPr>
            <sz val="9"/>
            <color indexed="81"/>
            <rFont val="宋体"/>
            <family val="3"/>
            <charset val="134"/>
          </rPr>
          <t xml:space="preserve">计算过程要求：各卫生间的周长*高度-门窗洞口+窗侧边贴砖面积
</t>
        </r>
      </text>
    </comment>
    <comment ref="D155" authorId="0" shapeId="0">
      <text>
        <r>
          <rPr>
            <sz val="9"/>
            <color indexed="81"/>
            <rFont val="宋体"/>
            <family val="3"/>
            <charset val="134"/>
          </rPr>
          <t xml:space="preserve">计算过程要求：厨房的周长*高度-门窗洞口-厨柜背水泥砂找平+窗侧边贴砖面积
</t>
        </r>
      </text>
    </comment>
    <comment ref="H155" authorId="0" shapeId="0">
      <text>
        <r>
          <rPr>
            <sz val="9"/>
            <color indexed="81"/>
            <rFont val="宋体"/>
            <family val="3"/>
            <charset val="134"/>
          </rPr>
          <t xml:space="preserve">计算过程要求：厨房的周长*高度-门窗洞口-厨柜背水泥砂找平+窗侧边贴砖面积
</t>
        </r>
      </text>
    </comment>
    <comment ref="D167" authorId="0" shapeId="0">
      <text>
        <r>
          <rPr>
            <sz val="9"/>
            <color indexed="81"/>
            <rFont val="宋体"/>
            <family val="3"/>
            <charset val="134"/>
          </rPr>
          <t xml:space="preserve">一般情况下都为 1
</t>
        </r>
      </text>
    </comment>
    <comment ref="H167" authorId="0" shapeId="0">
      <text>
        <r>
          <rPr>
            <sz val="9"/>
            <color indexed="81"/>
            <rFont val="宋体"/>
            <family val="3"/>
            <charset val="134"/>
          </rPr>
          <t xml:space="preserve">一般情况下都为 1
</t>
        </r>
      </text>
    </comment>
  </commentList>
</comments>
</file>

<file path=xl/comments6.xml><?xml version="1.0" encoding="utf-8"?>
<comments xmlns="http://schemas.openxmlformats.org/spreadsheetml/2006/main">
  <authors>
    <author>田乖</author>
  </authors>
  <commentList>
    <comment ref="E4" authorId="0" shapeId="0">
      <text>
        <r>
          <rPr>
            <sz val="9"/>
            <color indexed="81"/>
            <rFont val="宋体"/>
            <family val="3"/>
            <charset val="134"/>
          </rPr>
          <t xml:space="preserve">型号描述
</t>
        </r>
      </text>
    </comment>
    <comment ref="G4" authorId="0" shapeId="0">
      <text>
        <r>
          <rPr>
            <sz val="9"/>
            <color indexed="81"/>
            <rFont val="宋体"/>
            <family val="3"/>
            <charset val="134"/>
          </rPr>
          <t xml:space="preserve">型号描述
</t>
        </r>
      </text>
    </comment>
  </commentList>
</comments>
</file>

<file path=xl/comments7.xml><?xml version="1.0" encoding="utf-8"?>
<comments xmlns="http://schemas.openxmlformats.org/spreadsheetml/2006/main">
  <authors>
    <author>田乖</author>
  </authors>
  <commentList>
    <comment ref="E4" authorId="0" shapeId="0">
      <text>
        <r>
          <rPr>
            <sz val="9"/>
            <color indexed="81"/>
            <rFont val="宋体"/>
            <family val="3"/>
            <charset val="134"/>
          </rPr>
          <t xml:space="preserve">型号描述
</t>
        </r>
      </text>
    </comment>
    <comment ref="E5" authorId="0" shapeId="0">
      <text>
        <r>
          <rPr>
            <sz val="9"/>
            <color indexed="81"/>
            <rFont val="宋体"/>
            <family val="3"/>
            <charset val="134"/>
          </rPr>
          <t xml:space="preserve">楼栋情况描述
</t>
        </r>
      </text>
    </comment>
  </commentList>
</comments>
</file>

<file path=xl/comments8.xml><?xml version="1.0" encoding="utf-8"?>
<comments xmlns="http://schemas.openxmlformats.org/spreadsheetml/2006/main">
  <authors>
    <author>田乖</author>
  </authors>
  <commentList>
    <comment ref="E4" authorId="0" shapeId="0">
      <text>
        <r>
          <rPr>
            <sz val="9"/>
            <color indexed="81"/>
            <rFont val="宋体"/>
            <family val="3"/>
            <charset val="134"/>
          </rPr>
          <t xml:space="preserve">型号描述
</t>
        </r>
      </text>
    </comment>
  </commentList>
</comments>
</file>

<file path=xl/comments9.xml><?xml version="1.0" encoding="utf-8"?>
<comments xmlns="http://schemas.openxmlformats.org/spreadsheetml/2006/main">
  <authors>
    <author>田乖</author>
  </authors>
  <commentList>
    <comment ref="E4" authorId="0" shapeId="0">
      <text>
        <r>
          <rPr>
            <sz val="9"/>
            <color indexed="81"/>
            <rFont val="宋体"/>
            <family val="3"/>
            <charset val="134"/>
          </rPr>
          <t xml:space="preserve">型号描述
</t>
        </r>
      </text>
    </comment>
    <comment ref="E5" authorId="0" shapeId="0">
      <text>
        <r>
          <rPr>
            <sz val="9"/>
            <color indexed="81"/>
            <rFont val="宋体"/>
            <family val="3"/>
            <charset val="134"/>
          </rPr>
          <t xml:space="preserve">楼栋情况描述
</t>
        </r>
      </text>
    </comment>
    <comment ref="E10" authorId="0" shapeId="0">
      <text>
        <r>
          <rPr>
            <sz val="9"/>
            <color indexed="81"/>
            <rFont val="宋体"/>
            <family val="3"/>
            <charset val="134"/>
          </rPr>
          <t>注意：中间空的地方要扣减，只计算有石膏板的面积</t>
        </r>
      </text>
    </comment>
  </commentList>
</comments>
</file>

<file path=xl/comments10.xml><?xml version="1.0" encoding="utf-8"?>
<comments xmlns="http://schemas.openxmlformats.org/spreadsheetml/2006/main">
  <authors>
    <author>田乖</author>
  </authors>
  <commentList>
    <comment ref="E4" authorId="0" shapeId="0">
      <text>
        <r>
          <rPr>
            <sz val="9"/>
            <color indexed="81"/>
            <rFont val="宋体"/>
            <family val="3"/>
            <charset val="134"/>
          </rPr>
          <t xml:space="preserve">型号描述
</t>
        </r>
      </text>
    </comment>
    <comment ref="E5" authorId="0" shapeId="0">
      <text>
        <r>
          <rPr>
            <sz val="9"/>
            <color indexed="81"/>
            <rFont val="宋体"/>
            <family val="3"/>
            <charset val="134"/>
          </rPr>
          <t xml:space="preserve">楼栋情况描述
</t>
        </r>
      </text>
    </comment>
  </commentList>
</comments>
</file>

<file path=xl/comments11.xml><?xml version="1.0" encoding="utf-8"?>
<comments xmlns="http://schemas.openxmlformats.org/spreadsheetml/2006/main">
  <authors>
    <author>田乖</author>
  </authors>
  <commentList>
    <comment ref="D4" authorId="0" shapeId="0">
      <text>
        <r>
          <rPr>
            <sz val="9"/>
            <color indexed="81"/>
            <rFont val="宋体"/>
            <family val="3"/>
            <charset val="134"/>
          </rPr>
          <t xml:space="preserve">型号、楼栋情况描述
</t>
        </r>
      </text>
    </comment>
    <comment ref="I4" authorId="0" shapeId="0">
      <text>
        <r>
          <rPr>
            <sz val="9"/>
            <color indexed="81"/>
            <rFont val="宋体"/>
            <family val="3"/>
            <charset val="134"/>
          </rPr>
          <t xml:space="preserve">型号、楼栋情况描述
</t>
        </r>
      </text>
    </comment>
  </commentList>
</comments>
</file>

<file path=xl/comments12.xml><?xml version="1.0" encoding="utf-8"?>
<comments xmlns="http://schemas.openxmlformats.org/spreadsheetml/2006/main">
  <authors>
    <author>田乖</author>
  </authors>
  <commentList>
    <comment ref="E4" authorId="0" shapeId="0">
      <text>
        <r>
          <rPr>
            <sz val="9"/>
            <color indexed="81"/>
            <rFont val="宋体"/>
            <family val="3"/>
            <charset val="134"/>
          </rPr>
          <t xml:space="preserve">型号描述
</t>
        </r>
      </text>
    </comment>
    <comment ref="E5" authorId="0" shapeId="0">
      <text>
        <r>
          <rPr>
            <sz val="9"/>
            <color indexed="81"/>
            <rFont val="宋体"/>
            <family val="3"/>
            <charset val="134"/>
          </rPr>
          <t xml:space="preserve">楼栋情况描述
</t>
        </r>
      </text>
    </comment>
  </commentList>
</comments>
</file>

<file path=xl/comments13.xml><?xml version="1.0" encoding="utf-8"?>
<comments xmlns="http://schemas.openxmlformats.org/spreadsheetml/2006/main">
  <authors>
    <author>田乖</author>
  </authors>
  <commentList>
    <comment ref="E4" authorId="0" shapeId="0">
      <text>
        <r>
          <rPr>
            <sz val="9"/>
            <color indexed="81"/>
            <rFont val="宋体"/>
            <family val="3"/>
            <charset val="134"/>
          </rPr>
          <t xml:space="preserve">型号描述
</t>
        </r>
      </text>
    </comment>
    <comment ref="E5" authorId="0" shapeId="0">
      <text>
        <r>
          <rPr>
            <sz val="9"/>
            <color indexed="81"/>
            <rFont val="宋体"/>
            <family val="3"/>
            <charset val="134"/>
          </rPr>
          <t xml:space="preserve">楼栋情况描述
</t>
        </r>
      </text>
    </comment>
  </commentList>
</comments>
</file>

<file path=xl/comments14.xml><?xml version="1.0" encoding="utf-8"?>
<comments xmlns="http://schemas.openxmlformats.org/spreadsheetml/2006/main">
  <authors>
    <author>麦静怡</author>
  </authors>
  <commentList>
    <comment ref="Q4" authorId="0" shapeId="0">
      <text>
        <r>
          <rPr>
            <sz val="9"/>
            <color indexed="81"/>
            <rFont val="宋体"/>
            <family val="3"/>
            <charset val="134"/>
          </rPr>
          <t>麦静怡:
注意此部分是要加的，</t>
        </r>
      </text>
    </comment>
    <comment ref="D12" authorId="0" shapeId="0">
      <text>
        <r>
          <rPr>
            <sz val="9"/>
            <color indexed="81"/>
            <rFont val="宋体"/>
            <family val="3"/>
            <charset val="134"/>
          </rPr>
          <t>麦静怡:
三边周长：框算长度-洞口宽度</t>
        </r>
      </text>
    </comment>
    <comment ref="E12" authorId="0" shapeId="0">
      <text>
        <r>
          <rPr>
            <sz val="9"/>
            <color indexed="81"/>
            <rFont val="宋体"/>
            <family val="3"/>
            <charset val="134"/>
          </rPr>
          <t>麦静怡:
吊顶面积：框算面积减去梁底面积</t>
        </r>
      </text>
    </comment>
    <comment ref="F12" authorId="0" shapeId="0">
      <text>
        <r>
          <rPr>
            <sz val="9"/>
            <color indexed="81"/>
            <rFont val="宋体"/>
            <family val="3"/>
            <charset val="134"/>
          </rPr>
          <t xml:space="preserve">麦静怡:
暂定梁高400
</t>
        </r>
      </text>
    </comment>
    <comment ref="E13" authorId="0" shapeId="0">
      <text>
        <r>
          <rPr>
            <sz val="9"/>
            <color indexed="81"/>
            <rFont val="宋体"/>
            <family val="3"/>
            <charset val="134"/>
          </rPr>
          <t>麦静怡:
波打线面积</t>
        </r>
      </text>
    </comment>
    <comment ref="D14" authorId="0" shapeId="0">
      <text>
        <r>
          <rPr>
            <sz val="9"/>
            <color indexed="81"/>
            <rFont val="宋体"/>
            <family val="3"/>
            <charset val="134"/>
          </rPr>
          <t>麦静怡:
三边周长：框算长度-洞口宽度</t>
        </r>
      </text>
    </comment>
    <comment ref="E14" authorId="0" shapeId="0">
      <text>
        <r>
          <rPr>
            <sz val="9"/>
            <color indexed="81"/>
            <rFont val="宋体"/>
            <family val="3"/>
            <charset val="134"/>
          </rPr>
          <t>麦静怡:
吊顶面积：框算面积减去梁底面积</t>
        </r>
      </text>
    </comment>
    <comment ref="F14" authorId="0" shapeId="0">
      <text>
        <r>
          <rPr>
            <sz val="9"/>
            <color indexed="81"/>
            <rFont val="宋体"/>
            <family val="3"/>
            <charset val="134"/>
          </rPr>
          <t xml:space="preserve">麦静怡:
暂定梁高400
</t>
        </r>
      </text>
    </comment>
    <comment ref="E15" authorId="0" shapeId="0">
      <text>
        <r>
          <rPr>
            <sz val="9"/>
            <color indexed="81"/>
            <rFont val="宋体"/>
            <family val="3"/>
            <charset val="134"/>
          </rPr>
          <t xml:space="preserve">麦静怡:
走廊门槛石宽（0.1或0.2）
</t>
        </r>
      </text>
    </comment>
    <comment ref="S16" authorId="0" shapeId="0">
      <text>
        <r>
          <rPr>
            <sz val="9"/>
            <color indexed="81"/>
            <rFont val="宋体"/>
            <family val="3"/>
            <charset val="134"/>
          </rPr>
          <t>麦静怡:
墙纸面积</t>
        </r>
      </text>
    </comment>
    <comment ref="L17" authorId="0" shapeId="0">
      <text>
        <r>
          <rPr>
            <sz val="9"/>
            <color indexed="81"/>
            <rFont val="宋体"/>
            <family val="3"/>
            <charset val="134"/>
          </rPr>
          <t xml:space="preserve">麦静怡:
注意这个填门宽
</t>
        </r>
      </text>
    </comment>
    <comment ref="D21" authorId="0" shapeId="0">
      <text>
        <r>
          <rPr>
            <sz val="9"/>
            <color indexed="81"/>
            <rFont val="宋体"/>
            <family val="3"/>
            <charset val="134"/>
          </rPr>
          <t>麦静怡:
三边周长：框算长度-洞口宽度</t>
        </r>
      </text>
    </comment>
    <comment ref="E21" authorId="0" shapeId="0">
      <text>
        <r>
          <rPr>
            <sz val="9"/>
            <color indexed="81"/>
            <rFont val="宋体"/>
            <family val="3"/>
            <charset val="134"/>
          </rPr>
          <t>麦静怡:
吊顶面积：框算面积减去梁底面积</t>
        </r>
      </text>
    </comment>
    <comment ref="F21" authorId="0" shapeId="0">
      <text>
        <r>
          <rPr>
            <sz val="9"/>
            <color indexed="81"/>
            <rFont val="宋体"/>
            <family val="3"/>
            <charset val="134"/>
          </rPr>
          <t xml:space="preserve">麦静怡:
暂定梁高400
</t>
        </r>
      </text>
    </comment>
    <comment ref="D27" authorId="0" shapeId="0">
      <text>
        <r>
          <rPr>
            <sz val="9"/>
            <color indexed="81"/>
            <rFont val="宋体"/>
            <family val="3"/>
            <charset val="134"/>
          </rPr>
          <t>麦静怡:
三边周长：框算长度-洞口宽度</t>
        </r>
      </text>
    </comment>
    <comment ref="E27" authorId="0" shapeId="0">
      <text>
        <r>
          <rPr>
            <sz val="9"/>
            <color indexed="81"/>
            <rFont val="宋体"/>
            <family val="3"/>
            <charset val="134"/>
          </rPr>
          <t>麦静怡:
吊顶面积：框算面积减去梁底面积</t>
        </r>
      </text>
    </comment>
    <comment ref="F27" authorId="0" shapeId="0">
      <text>
        <r>
          <rPr>
            <sz val="9"/>
            <color indexed="81"/>
            <rFont val="宋体"/>
            <family val="3"/>
            <charset val="134"/>
          </rPr>
          <t xml:space="preserve">麦静怡:
暂定梁高400
</t>
        </r>
      </text>
    </comment>
    <comment ref="D32" authorId="0" shapeId="0">
      <text>
        <r>
          <rPr>
            <sz val="9"/>
            <color indexed="81"/>
            <rFont val="宋体"/>
            <family val="3"/>
            <charset val="134"/>
          </rPr>
          <t>麦静怡:
三边周长：框算长度-洞口宽度</t>
        </r>
      </text>
    </comment>
    <comment ref="E32" authorId="0" shapeId="0">
      <text>
        <r>
          <rPr>
            <sz val="9"/>
            <color indexed="81"/>
            <rFont val="宋体"/>
            <family val="3"/>
            <charset val="134"/>
          </rPr>
          <t>麦静怡:
吊顶面积：框算面积减去梁底面积</t>
        </r>
      </text>
    </comment>
    <comment ref="F32" authorId="0" shapeId="0">
      <text>
        <r>
          <rPr>
            <sz val="9"/>
            <color indexed="81"/>
            <rFont val="宋体"/>
            <family val="3"/>
            <charset val="134"/>
          </rPr>
          <t xml:space="preserve">麦静怡:
暂定梁高400
</t>
        </r>
      </text>
    </comment>
    <comment ref="S37" authorId="0" shapeId="0">
      <text>
        <r>
          <rPr>
            <sz val="9"/>
            <color indexed="81"/>
            <rFont val="宋体"/>
            <family val="3"/>
            <charset val="134"/>
          </rPr>
          <t>麦静怡:有为1，无为0</t>
        </r>
      </text>
    </comment>
    <comment ref="Q40" authorId="0" shapeId="0">
      <text>
        <r>
          <rPr>
            <sz val="9"/>
            <color indexed="81"/>
            <rFont val="宋体"/>
            <family val="3"/>
            <charset val="134"/>
          </rPr>
          <t>田乖:
橱柜背水泥砂找平</t>
        </r>
      </text>
    </comment>
    <comment ref="E52" authorId="0" shapeId="0">
      <text>
        <r>
          <rPr>
            <sz val="9"/>
            <color indexed="81"/>
            <rFont val="宋体"/>
            <family val="3"/>
            <charset val="134"/>
          </rPr>
          <t>麦静怡:天花</t>
        </r>
      </text>
    </comment>
    <comment ref="O52" authorId="0" shapeId="0">
      <text>
        <r>
          <rPr>
            <sz val="9"/>
            <color indexed="81"/>
            <rFont val="宋体"/>
            <family val="3"/>
            <charset val="134"/>
          </rPr>
          <t>麦静怡:
2014.5.6改</t>
        </r>
      </text>
    </comment>
  </commentList>
</comments>
</file>

<file path=xl/comments15.xml><?xml version="1.0" encoding="utf-8"?>
<comments xmlns="http://schemas.openxmlformats.org/spreadsheetml/2006/main">
  <authors>
    <author>麦静怡</author>
  </authors>
  <commentList>
    <comment ref="Q4" authorId="0" shapeId="0">
      <text>
        <r>
          <rPr>
            <sz val="9"/>
            <color indexed="81"/>
            <rFont val="宋体"/>
            <family val="3"/>
            <charset val="134"/>
          </rPr>
          <t>麦静怡:
注意此部分是要加的，</t>
        </r>
      </text>
    </comment>
    <comment ref="S16" authorId="0" shapeId="0">
      <text>
        <r>
          <rPr>
            <sz val="9"/>
            <color indexed="81"/>
            <rFont val="宋体"/>
            <family val="3"/>
            <charset val="134"/>
          </rPr>
          <t>麦静怡:
墙纸面积</t>
        </r>
      </text>
    </comment>
    <comment ref="L17" authorId="0" shapeId="0">
      <text>
        <r>
          <rPr>
            <sz val="9"/>
            <color indexed="81"/>
            <rFont val="宋体"/>
            <family val="3"/>
            <charset val="134"/>
          </rPr>
          <t xml:space="preserve">麦静怡:
注意这个填门宽
</t>
        </r>
      </text>
    </comment>
    <comment ref="S37" authorId="0" shapeId="0">
      <text>
        <r>
          <rPr>
            <sz val="9"/>
            <color indexed="81"/>
            <rFont val="宋体"/>
            <family val="3"/>
            <charset val="134"/>
          </rPr>
          <t>麦静怡:有为1，无为0</t>
        </r>
      </text>
    </comment>
    <comment ref="Q40" authorId="0" shapeId="0">
      <text>
        <r>
          <rPr>
            <sz val="9"/>
            <color indexed="81"/>
            <rFont val="宋体"/>
            <family val="3"/>
            <charset val="134"/>
          </rPr>
          <t>田乖:
橱柜背水泥砂找平</t>
        </r>
      </text>
    </comment>
    <comment ref="O54" authorId="0" shapeId="0">
      <text>
        <r>
          <rPr>
            <sz val="9"/>
            <color indexed="81"/>
            <rFont val="宋体"/>
            <family val="3"/>
            <charset val="134"/>
          </rPr>
          <t>麦静怡:
2014.5.6改</t>
        </r>
      </text>
    </comment>
  </commentList>
</comments>
</file>

<file path=xl/comments16.xml><?xml version="1.0" encoding="utf-8"?>
<comments xmlns="http://schemas.openxmlformats.org/spreadsheetml/2006/main">
  <authors>
    <author>麦静怡</author>
  </authors>
  <commentList>
    <comment ref="Q4" authorId="0" shapeId="0">
      <text>
        <r>
          <rPr>
            <sz val="9"/>
            <color indexed="81"/>
            <rFont val="宋体"/>
            <family val="3"/>
            <charset val="134"/>
          </rPr>
          <t>麦静怡:
注意此部分是要加的，</t>
        </r>
      </text>
    </comment>
    <comment ref="S16" authorId="0" shapeId="0">
      <text>
        <r>
          <rPr>
            <sz val="9"/>
            <color indexed="81"/>
            <rFont val="宋体"/>
            <family val="3"/>
            <charset val="134"/>
          </rPr>
          <t>麦静怡:
墙纸面积</t>
        </r>
      </text>
    </comment>
    <comment ref="L17" authorId="0" shapeId="0">
      <text>
        <r>
          <rPr>
            <sz val="9"/>
            <color indexed="81"/>
            <rFont val="宋体"/>
            <family val="3"/>
            <charset val="134"/>
          </rPr>
          <t xml:space="preserve">麦静怡:
注意这个填门宽
</t>
        </r>
      </text>
    </comment>
    <comment ref="S37" authorId="0" shapeId="0">
      <text>
        <r>
          <rPr>
            <sz val="9"/>
            <color indexed="81"/>
            <rFont val="宋体"/>
            <family val="3"/>
            <charset val="134"/>
          </rPr>
          <t>麦静怡:有为1，无为0</t>
        </r>
      </text>
    </comment>
    <comment ref="Q40" authorId="0" shapeId="0">
      <text>
        <r>
          <rPr>
            <sz val="9"/>
            <color indexed="81"/>
            <rFont val="宋体"/>
            <family val="3"/>
            <charset val="134"/>
          </rPr>
          <t>田乖:
橱柜背水泥砂找平</t>
        </r>
      </text>
    </comment>
    <comment ref="O54" authorId="0" shapeId="0">
      <text>
        <r>
          <rPr>
            <sz val="9"/>
            <color indexed="81"/>
            <rFont val="宋体"/>
            <family val="3"/>
            <charset val="134"/>
          </rPr>
          <t>麦静怡:
2014.5.6改</t>
        </r>
      </text>
    </comment>
  </commentList>
</comments>
</file>

<file path=xl/comments17.xml><?xml version="1.0" encoding="utf-8"?>
<comments xmlns="http://schemas.openxmlformats.org/spreadsheetml/2006/main">
  <authors>
    <author>麦静怡</author>
  </authors>
  <commentList>
    <comment ref="Q4" authorId="0" shapeId="0">
      <text>
        <r>
          <rPr>
            <sz val="9"/>
            <color indexed="81"/>
            <rFont val="宋体"/>
            <family val="3"/>
            <charset val="134"/>
          </rPr>
          <t>麦静怡:
注意此部分是要加的，</t>
        </r>
      </text>
    </comment>
    <comment ref="D12" authorId="0" shapeId="0">
      <text>
        <r>
          <rPr>
            <sz val="9"/>
            <color indexed="81"/>
            <rFont val="宋体"/>
            <family val="3"/>
            <charset val="134"/>
          </rPr>
          <t>麦静怡:
三边周长：框算长度-洞口宽度</t>
        </r>
      </text>
    </comment>
    <comment ref="E12" authorId="0" shapeId="0">
      <text>
        <r>
          <rPr>
            <sz val="9"/>
            <color indexed="81"/>
            <rFont val="宋体"/>
            <family val="3"/>
            <charset val="134"/>
          </rPr>
          <t>麦静怡:
吊顶面积：框算面积减去梁底面积</t>
        </r>
      </text>
    </comment>
    <comment ref="F12" authorId="0" shapeId="0">
      <text>
        <r>
          <rPr>
            <sz val="9"/>
            <color indexed="81"/>
            <rFont val="宋体"/>
            <family val="3"/>
            <charset val="134"/>
          </rPr>
          <t xml:space="preserve">麦静怡:
暂定梁高400
</t>
        </r>
      </text>
    </comment>
    <comment ref="E13" authorId="0" shapeId="0">
      <text>
        <r>
          <rPr>
            <sz val="9"/>
            <color indexed="81"/>
            <rFont val="宋体"/>
            <family val="3"/>
            <charset val="134"/>
          </rPr>
          <t>麦静怡:
波打线面积</t>
        </r>
      </text>
    </comment>
    <comment ref="D14" authorId="0" shapeId="0">
      <text>
        <r>
          <rPr>
            <sz val="9"/>
            <color indexed="81"/>
            <rFont val="宋体"/>
            <family val="3"/>
            <charset val="134"/>
          </rPr>
          <t>麦静怡:
三边周长：框算长度-洞口宽度</t>
        </r>
      </text>
    </comment>
    <comment ref="E14" authorId="0" shapeId="0">
      <text>
        <r>
          <rPr>
            <sz val="9"/>
            <color indexed="81"/>
            <rFont val="宋体"/>
            <family val="3"/>
            <charset val="134"/>
          </rPr>
          <t>麦静怡:
吊顶面积：框算面积减去梁底面积</t>
        </r>
      </text>
    </comment>
    <comment ref="F14" authorId="0" shapeId="0">
      <text>
        <r>
          <rPr>
            <sz val="9"/>
            <color indexed="81"/>
            <rFont val="宋体"/>
            <family val="3"/>
            <charset val="134"/>
          </rPr>
          <t xml:space="preserve">麦静怡:
暂定梁高400
</t>
        </r>
      </text>
    </comment>
    <comment ref="E15" authorId="0" shapeId="0">
      <text>
        <r>
          <rPr>
            <sz val="9"/>
            <color indexed="81"/>
            <rFont val="宋体"/>
            <family val="3"/>
            <charset val="134"/>
          </rPr>
          <t xml:space="preserve">麦静怡:
走廊门槛石宽（0.1或0.2）
</t>
        </r>
      </text>
    </comment>
    <comment ref="S16" authorId="0" shapeId="0">
      <text>
        <r>
          <rPr>
            <sz val="9"/>
            <color indexed="81"/>
            <rFont val="宋体"/>
            <family val="3"/>
            <charset val="134"/>
          </rPr>
          <t>麦静怡:
墙纸面积</t>
        </r>
      </text>
    </comment>
    <comment ref="L17" authorId="0" shapeId="0">
      <text>
        <r>
          <rPr>
            <sz val="9"/>
            <color indexed="81"/>
            <rFont val="宋体"/>
            <family val="3"/>
            <charset val="134"/>
          </rPr>
          <t xml:space="preserve">麦静怡:
注意这个填门宽
</t>
        </r>
      </text>
    </comment>
    <comment ref="D21" authorId="0" shapeId="0">
      <text>
        <r>
          <rPr>
            <sz val="9"/>
            <color indexed="81"/>
            <rFont val="宋体"/>
            <family val="3"/>
            <charset val="134"/>
          </rPr>
          <t>麦静怡:
三边周长：框算长度-洞口宽度</t>
        </r>
      </text>
    </comment>
    <comment ref="E21" authorId="0" shapeId="0">
      <text>
        <r>
          <rPr>
            <sz val="9"/>
            <color indexed="81"/>
            <rFont val="宋体"/>
            <family val="3"/>
            <charset val="134"/>
          </rPr>
          <t>麦静怡:
吊顶面积：框算面积减去梁底面积</t>
        </r>
      </text>
    </comment>
    <comment ref="F21" authorId="0" shapeId="0">
      <text>
        <r>
          <rPr>
            <sz val="9"/>
            <color indexed="81"/>
            <rFont val="宋体"/>
            <family val="3"/>
            <charset val="134"/>
          </rPr>
          <t xml:space="preserve">麦静怡:
暂定梁高400
</t>
        </r>
      </text>
    </comment>
    <comment ref="F22" authorId="0" shapeId="0">
      <text>
        <r>
          <rPr>
            <sz val="9"/>
            <color indexed="81"/>
            <rFont val="宋体"/>
            <family val="3"/>
            <charset val="134"/>
          </rPr>
          <t xml:space="preserve">麦静怡:
暂定梁高400
</t>
        </r>
      </text>
    </comment>
    <comment ref="D27" authorId="0" shapeId="0">
      <text>
        <r>
          <rPr>
            <sz val="9"/>
            <color indexed="81"/>
            <rFont val="宋体"/>
            <family val="3"/>
            <charset val="134"/>
          </rPr>
          <t>麦静怡:
三边周长：框算长度-洞口宽度</t>
        </r>
      </text>
    </comment>
    <comment ref="E27" authorId="0" shapeId="0">
      <text>
        <r>
          <rPr>
            <sz val="9"/>
            <color indexed="81"/>
            <rFont val="宋体"/>
            <family val="3"/>
            <charset val="134"/>
          </rPr>
          <t>麦静怡:
吊顶面积：框算面积减去梁底面积</t>
        </r>
      </text>
    </comment>
    <comment ref="F27" authorId="0" shapeId="0">
      <text>
        <r>
          <rPr>
            <sz val="9"/>
            <color indexed="81"/>
            <rFont val="宋体"/>
            <family val="3"/>
            <charset val="134"/>
          </rPr>
          <t xml:space="preserve">麦静怡:
暂定梁高400
</t>
        </r>
      </text>
    </comment>
    <comment ref="F28" authorId="0" shapeId="0">
      <text>
        <r>
          <rPr>
            <sz val="9"/>
            <color indexed="81"/>
            <rFont val="宋体"/>
            <family val="3"/>
            <charset val="134"/>
          </rPr>
          <t xml:space="preserve">麦静怡:
暂定梁高400
</t>
        </r>
      </text>
    </comment>
    <comment ref="D32" authorId="0" shapeId="0">
      <text>
        <r>
          <rPr>
            <sz val="9"/>
            <color indexed="81"/>
            <rFont val="宋体"/>
            <family val="3"/>
            <charset val="134"/>
          </rPr>
          <t>麦静怡:
三边周长：框算长度-洞口宽度</t>
        </r>
      </text>
    </comment>
    <comment ref="E32" authorId="0" shapeId="0">
      <text>
        <r>
          <rPr>
            <sz val="9"/>
            <color indexed="81"/>
            <rFont val="宋体"/>
            <family val="3"/>
            <charset val="134"/>
          </rPr>
          <t>麦静怡:
吊顶面积：框算面积减去梁底面积</t>
        </r>
      </text>
    </comment>
    <comment ref="F32" authorId="0" shapeId="0">
      <text>
        <r>
          <rPr>
            <sz val="9"/>
            <color indexed="81"/>
            <rFont val="宋体"/>
            <family val="3"/>
            <charset val="134"/>
          </rPr>
          <t xml:space="preserve">麦静怡:
暂定梁高400
</t>
        </r>
      </text>
    </comment>
    <comment ref="F33" authorId="0" shapeId="0">
      <text>
        <r>
          <rPr>
            <sz val="9"/>
            <color indexed="81"/>
            <rFont val="宋体"/>
            <family val="3"/>
            <charset val="134"/>
          </rPr>
          <t xml:space="preserve">麦静怡:
暂定梁高400
</t>
        </r>
      </text>
    </comment>
    <comment ref="S37" authorId="0" shapeId="0">
      <text>
        <r>
          <rPr>
            <sz val="9"/>
            <color indexed="81"/>
            <rFont val="宋体"/>
            <family val="3"/>
            <charset val="134"/>
          </rPr>
          <t>麦静怡:有为1，无为0</t>
        </r>
      </text>
    </comment>
    <comment ref="Q40" authorId="0" shapeId="0">
      <text>
        <r>
          <rPr>
            <sz val="9"/>
            <color indexed="81"/>
            <rFont val="宋体"/>
            <family val="3"/>
            <charset val="134"/>
          </rPr>
          <t>田乖:
橱柜背水泥砂找平</t>
        </r>
      </text>
    </comment>
    <comment ref="E54" authorId="0" shapeId="0">
      <text>
        <r>
          <rPr>
            <sz val="9"/>
            <color indexed="81"/>
            <rFont val="宋体"/>
            <family val="3"/>
            <charset val="134"/>
          </rPr>
          <t>麦静怡:天花</t>
        </r>
      </text>
    </comment>
    <comment ref="O54" authorId="0" shapeId="0">
      <text>
        <r>
          <rPr>
            <sz val="9"/>
            <color indexed="81"/>
            <rFont val="宋体"/>
            <family val="3"/>
            <charset val="134"/>
          </rPr>
          <t>麦静怡:
2014.5.6改</t>
        </r>
      </text>
    </comment>
  </commentList>
</comments>
</file>

<file path=xl/comments18.xml><?xml version="1.0" encoding="utf-8"?>
<comments xmlns="http://schemas.openxmlformats.org/spreadsheetml/2006/main">
  <authors>
    <author>麦静怡</author>
  </authors>
  <commentList>
    <comment ref="Q4" authorId="0" shapeId="0">
      <text>
        <r>
          <rPr>
            <sz val="9"/>
            <color indexed="81"/>
            <rFont val="宋体"/>
            <family val="3"/>
            <charset val="134"/>
          </rPr>
          <t>麦静怡:
注意此部分是要加的，</t>
        </r>
      </text>
    </comment>
    <comment ref="D12" authorId="0" shapeId="0">
      <text>
        <r>
          <rPr>
            <sz val="9"/>
            <color indexed="81"/>
            <rFont val="宋体"/>
            <family val="3"/>
            <charset val="134"/>
          </rPr>
          <t>麦静怡:
三边周长：框算长度-洞口宽度</t>
        </r>
      </text>
    </comment>
    <comment ref="E12" authorId="0" shapeId="0">
      <text>
        <r>
          <rPr>
            <sz val="9"/>
            <color indexed="81"/>
            <rFont val="宋体"/>
            <family val="3"/>
            <charset val="134"/>
          </rPr>
          <t>麦静怡:
吊顶面积：框算面积减去梁底面积</t>
        </r>
      </text>
    </comment>
    <comment ref="F12" authorId="0" shapeId="0">
      <text>
        <r>
          <rPr>
            <sz val="9"/>
            <color indexed="81"/>
            <rFont val="宋体"/>
            <family val="3"/>
            <charset val="134"/>
          </rPr>
          <t xml:space="preserve">麦静怡:
暂定梁高400
</t>
        </r>
      </text>
    </comment>
    <comment ref="E13" authorId="0" shapeId="0">
      <text>
        <r>
          <rPr>
            <sz val="9"/>
            <color indexed="81"/>
            <rFont val="宋体"/>
            <family val="3"/>
            <charset val="134"/>
          </rPr>
          <t>麦静怡:
波打线面积</t>
        </r>
      </text>
    </comment>
    <comment ref="D14" authorId="0" shapeId="0">
      <text>
        <r>
          <rPr>
            <sz val="9"/>
            <color indexed="81"/>
            <rFont val="宋体"/>
            <family val="3"/>
            <charset val="134"/>
          </rPr>
          <t>麦静怡:
三边周长：框算长度-洞口宽度</t>
        </r>
      </text>
    </comment>
    <comment ref="E14" authorId="0" shapeId="0">
      <text>
        <r>
          <rPr>
            <sz val="9"/>
            <color indexed="81"/>
            <rFont val="宋体"/>
            <family val="3"/>
            <charset val="134"/>
          </rPr>
          <t>麦静怡:
吊顶面积：框算面积减去梁底面积</t>
        </r>
      </text>
    </comment>
    <comment ref="F14" authorId="0" shapeId="0">
      <text>
        <r>
          <rPr>
            <sz val="9"/>
            <color indexed="81"/>
            <rFont val="宋体"/>
            <family val="3"/>
            <charset val="134"/>
          </rPr>
          <t xml:space="preserve">麦静怡:
暂定梁高400
</t>
        </r>
      </text>
    </comment>
    <comment ref="E15" authorId="0" shapeId="0">
      <text>
        <r>
          <rPr>
            <sz val="9"/>
            <color indexed="81"/>
            <rFont val="宋体"/>
            <family val="3"/>
            <charset val="134"/>
          </rPr>
          <t xml:space="preserve">麦静怡:
走廊门槛石宽（0.1或0.2）
</t>
        </r>
      </text>
    </comment>
    <comment ref="S16" authorId="0" shapeId="0">
      <text>
        <r>
          <rPr>
            <sz val="9"/>
            <color indexed="81"/>
            <rFont val="宋体"/>
            <family val="3"/>
            <charset val="134"/>
          </rPr>
          <t>麦静怡:
墙纸面积</t>
        </r>
      </text>
    </comment>
    <comment ref="L17" authorId="0" shapeId="0">
      <text>
        <r>
          <rPr>
            <sz val="9"/>
            <color indexed="81"/>
            <rFont val="宋体"/>
            <family val="3"/>
            <charset val="134"/>
          </rPr>
          <t xml:space="preserve">麦静怡:
注意这个填门宽
</t>
        </r>
      </text>
    </comment>
    <comment ref="D21" authorId="0" shapeId="0">
      <text>
        <r>
          <rPr>
            <sz val="9"/>
            <color indexed="81"/>
            <rFont val="宋体"/>
            <family val="3"/>
            <charset val="134"/>
          </rPr>
          <t>麦静怡:
三边周长：框算长度-洞口宽度</t>
        </r>
      </text>
    </comment>
    <comment ref="E21" authorId="0" shapeId="0">
      <text>
        <r>
          <rPr>
            <sz val="9"/>
            <color indexed="81"/>
            <rFont val="宋体"/>
            <family val="3"/>
            <charset val="134"/>
          </rPr>
          <t>麦静怡:
吊顶面积：框算面积减去梁底面积</t>
        </r>
      </text>
    </comment>
    <comment ref="F21" authorId="0" shapeId="0">
      <text>
        <r>
          <rPr>
            <sz val="9"/>
            <color indexed="81"/>
            <rFont val="宋体"/>
            <family val="3"/>
            <charset val="134"/>
          </rPr>
          <t xml:space="preserve">麦静怡:
暂定梁高400
</t>
        </r>
      </text>
    </comment>
    <comment ref="F22" authorId="0" shapeId="0">
      <text>
        <r>
          <rPr>
            <sz val="9"/>
            <color indexed="81"/>
            <rFont val="宋体"/>
            <family val="3"/>
            <charset val="134"/>
          </rPr>
          <t xml:space="preserve">麦静怡:
暂定梁高400
</t>
        </r>
      </text>
    </comment>
    <comment ref="D27" authorId="0" shapeId="0">
      <text>
        <r>
          <rPr>
            <sz val="9"/>
            <color indexed="81"/>
            <rFont val="宋体"/>
            <family val="3"/>
            <charset val="134"/>
          </rPr>
          <t>麦静怡:
三边周长：框算长度-洞口宽度</t>
        </r>
      </text>
    </comment>
    <comment ref="E27" authorId="0" shapeId="0">
      <text>
        <r>
          <rPr>
            <sz val="9"/>
            <color indexed="81"/>
            <rFont val="宋体"/>
            <family val="3"/>
            <charset val="134"/>
          </rPr>
          <t>麦静怡:
吊顶面积：框算面积减去梁底面积</t>
        </r>
      </text>
    </comment>
    <comment ref="F27" authorId="0" shapeId="0">
      <text>
        <r>
          <rPr>
            <sz val="9"/>
            <color indexed="81"/>
            <rFont val="宋体"/>
            <family val="3"/>
            <charset val="134"/>
          </rPr>
          <t xml:space="preserve">麦静怡:
暂定梁高400
</t>
        </r>
      </text>
    </comment>
    <comment ref="F28" authorId="0" shapeId="0">
      <text>
        <r>
          <rPr>
            <sz val="9"/>
            <color indexed="81"/>
            <rFont val="宋体"/>
            <family val="3"/>
            <charset val="134"/>
          </rPr>
          <t xml:space="preserve">麦静怡:
暂定梁高400
</t>
        </r>
      </text>
    </comment>
    <comment ref="D32" authorId="0" shapeId="0">
      <text>
        <r>
          <rPr>
            <sz val="9"/>
            <color indexed="81"/>
            <rFont val="宋体"/>
            <family val="3"/>
            <charset val="134"/>
          </rPr>
          <t>麦静怡:
三边周长：框算长度-洞口宽度</t>
        </r>
      </text>
    </comment>
    <comment ref="E32" authorId="0" shapeId="0">
      <text>
        <r>
          <rPr>
            <sz val="9"/>
            <color indexed="81"/>
            <rFont val="宋体"/>
            <family val="3"/>
            <charset val="134"/>
          </rPr>
          <t>麦静怡:
吊顶面积：框算面积减去梁底面积</t>
        </r>
      </text>
    </comment>
    <comment ref="F32" authorId="0" shapeId="0">
      <text>
        <r>
          <rPr>
            <sz val="9"/>
            <color indexed="81"/>
            <rFont val="宋体"/>
            <family val="3"/>
            <charset val="134"/>
          </rPr>
          <t xml:space="preserve">麦静怡:
暂定梁高400
</t>
        </r>
      </text>
    </comment>
    <comment ref="F33" authorId="0" shapeId="0">
      <text>
        <r>
          <rPr>
            <sz val="9"/>
            <color indexed="81"/>
            <rFont val="宋体"/>
            <family val="3"/>
            <charset val="134"/>
          </rPr>
          <t xml:space="preserve">麦静怡:
暂定梁高400
</t>
        </r>
      </text>
    </comment>
    <comment ref="S37" authorId="0" shapeId="0">
      <text>
        <r>
          <rPr>
            <sz val="9"/>
            <color indexed="81"/>
            <rFont val="宋体"/>
            <family val="3"/>
            <charset val="134"/>
          </rPr>
          <t>麦静怡:有为1，无为0</t>
        </r>
      </text>
    </comment>
    <comment ref="Q40" authorId="0" shapeId="0">
      <text>
        <r>
          <rPr>
            <sz val="9"/>
            <color indexed="81"/>
            <rFont val="宋体"/>
            <family val="3"/>
            <charset val="134"/>
          </rPr>
          <t>田乖:
橱柜背水泥砂找平</t>
        </r>
      </text>
    </comment>
    <comment ref="E54" authorId="0" shapeId="0">
      <text>
        <r>
          <rPr>
            <sz val="9"/>
            <color indexed="81"/>
            <rFont val="宋体"/>
            <family val="3"/>
            <charset val="134"/>
          </rPr>
          <t>麦静怡:天花</t>
        </r>
      </text>
    </comment>
    <comment ref="O54" authorId="0" shapeId="0">
      <text>
        <r>
          <rPr>
            <sz val="9"/>
            <color indexed="81"/>
            <rFont val="宋体"/>
            <family val="3"/>
            <charset val="134"/>
          </rPr>
          <t>麦静怡:
2014.5.6改      敞开式厨房墙面-入户门-卫生间门</t>
        </r>
      </text>
    </comment>
  </commentList>
</comments>
</file>

<file path=xl/comments19.xml><?xml version="1.0" encoding="utf-8"?>
<comments xmlns="http://schemas.openxmlformats.org/spreadsheetml/2006/main">
  <authors>
    <author>麦静怡</author>
  </authors>
  <commentList>
    <comment ref="Q4" authorId="0" shapeId="0">
      <text>
        <r>
          <rPr>
            <sz val="9"/>
            <color indexed="81"/>
            <rFont val="宋体"/>
            <family val="3"/>
            <charset val="134"/>
          </rPr>
          <t>麦静怡:
注意此部分是要加的，</t>
        </r>
      </text>
    </comment>
    <comment ref="D12" authorId="0" shapeId="0">
      <text>
        <r>
          <rPr>
            <sz val="9"/>
            <color indexed="81"/>
            <rFont val="宋体"/>
            <family val="3"/>
            <charset val="134"/>
          </rPr>
          <t>麦静怡:
三边周长：框算长度-洞口宽度</t>
        </r>
      </text>
    </comment>
    <comment ref="E12" authorId="0" shapeId="0">
      <text>
        <r>
          <rPr>
            <sz val="9"/>
            <color indexed="81"/>
            <rFont val="宋体"/>
            <family val="3"/>
            <charset val="134"/>
          </rPr>
          <t>麦静怡:
吊顶面积：框算面积减去梁底面积</t>
        </r>
      </text>
    </comment>
    <comment ref="F12" authorId="0" shapeId="0">
      <text>
        <r>
          <rPr>
            <sz val="9"/>
            <color indexed="81"/>
            <rFont val="宋体"/>
            <family val="3"/>
            <charset val="134"/>
          </rPr>
          <t xml:space="preserve">麦静怡:
暂定梁高400
</t>
        </r>
      </text>
    </comment>
    <comment ref="E13" authorId="0" shapeId="0">
      <text>
        <r>
          <rPr>
            <sz val="9"/>
            <color indexed="81"/>
            <rFont val="宋体"/>
            <family val="3"/>
            <charset val="134"/>
          </rPr>
          <t>麦静怡:
波打线面积</t>
        </r>
      </text>
    </comment>
    <comment ref="D14" authorId="0" shapeId="0">
      <text>
        <r>
          <rPr>
            <sz val="9"/>
            <color indexed="81"/>
            <rFont val="宋体"/>
            <family val="3"/>
            <charset val="134"/>
          </rPr>
          <t>麦静怡:
三边周长：框算长度-洞口宽度</t>
        </r>
      </text>
    </comment>
    <comment ref="E14" authorId="0" shapeId="0">
      <text>
        <r>
          <rPr>
            <sz val="9"/>
            <color indexed="81"/>
            <rFont val="宋体"/>
            <family val="3"/>
            <charset val="134"/>
          </rPr>
          <t>麦静怡:
吊顶面积：框算面积减去梁底面积</t>
        </r>
      </text>
    </comment>
    <comment ref="F14" authorId="0" shapeId="0">
      <text>
        <r>
          <rPr>
            <sz val="9"/>
            <color indexed="81"/>
            <rFont val="宋体"/>
            <family val="3"/>
            <charset val="134"/>
          </rPr>
          <t xml:space="preserve">麦静怡:
暂定梁高400
</t>
        </r>
      </text>
    </comment>
    <comment ref="E15" authorId="0" shapeId="0">
      <text>
        <r>
          <rPr>
            <sz val="9"/>
            <color indexed="81"/>
            <rFont val="宋体"/>
            <family val="3"/>
            <charset val="134"/>
          </rPr>
          <t xml:space="preserve">麦静怡:
走廊门槛石宽（0.1或0.2）
</t>
        </r>
      </text>
    </comment>
    <comment ref="S16" authorId="0" shapeId="0">
      <text>
        <r>
          <rPr>
            <sz val="9"/>
            <color indexed="81"/>
            <rFont val="宋体"/>
            <family val="3"/>
            <charset val="134"/>
          </rPr>
          <t>麦静怡:
墙纸面积</t>
        </r>
      </text>
    </comment>
    <comment ref="L17" authorId="0" shapeId="0">
      <text>
        <r>
          <rPr>
            <sz val="9"/>
            <color indexed="81"/>
            <rFont val="宋体"/>
            <family val="3"/>
            <charset val="134"/>
          </rPr>
          <t xml:space="preserve">麦静怡:
注意这个填门宽
</t>
        </r>
      </text>
    </comment>
    <comment ref="D21" authorId="0" shapeId="0">
      <text>
        <r>
          <rPr>
            <sz val="9"/>
            <color indexed="81"/>
            <rFont val="宋体"/>
            <family val="3"/>
            <charset val="134"/>
          </rPr>
          <t>麦静怡:
三边周长：框算长度-洞口宽度</t>
        </r>
      </text>
    </comment>
    <comment ref="E21" authorId="0" shapeId="0">
      <text>
        <r>
          <rPr>
            <sz val="9"/>
            <color indexed="81"/>
            <rFont val="宋体"/>
            <family val="3"/>
            <charset val="134"/>
          </rPr>
          <t>麦静怡:
吊顶面积：框算面积减去梁底面积</t>
        </r>
      </text>
    </comment>
    <comment ref="F21" authorId="0" shapeId="0">
      <text>
        <r>
          <rPr>
            <sz val="9"/>
            <color indexed="81"/>
            <rFont val="宋体"/>
            <family val="3"/>
            <charset val="134"/>
          </rPr>
          <t xml:space="preserve">麦静怡:
暂定梁高400
</t>
        </r>
      </text>
    </comment>
    <comment ref="F22" authorId="0" shapeId="0">
      <text>
        <r>
          <rPr>
            <sz val="9"/>
            <color indexed="81"/>
            <rFont val="宋体"/>
            <family val="3"/>
            <charset val="134"/>
          </rPr>
          <t xml:space="preserve">麦静怡:
暂定梁高400
</t>
        </r>
      </text>
    </comment>
    <comment ref="D27" authorId="0" shapeId="0">
      <text>
        <r>
          <rPr>
            <sz val="9"/>
            <color indexed="81"/>
            <rFont val="宋体"/>
            <family val="3"/>
            <charset val="134"/>
          </rPr>
          <t>麦静怡:
三边周长：框算长度-洞口宽度</t>
        </r>
      </text>
    </comment>
    <comment ref="E27" authorId="0" shapeId="0">
      <text>
        <r>
          <rPr>
            <sz val="9"/>
            <color indexed="81"/>
            <rFont val="宋体"/>
            <family val="3"/>
            <charset val="134"/>
          </rPr>
          <t>麦静怡:
吊顶面积：框算面积减去梁底面积</t>
        </r>
      </text>
    </comment>
    <comment ref="F27" authorId="0" shapeId="0">
      <text>
        <r>
          <rPr>
            <sz val="9"/>
            <color indexed="81"/>
            <rFont val="宋体"/>
            <family val="3"/>
            <charset val="134"/>
          </rPr>
          <t xml:space="preserve">麦静怡:
暂定梁高400
</t>
        </r>
      </text>
    </comment>
    <comment ref="F28" authorId="0" shapeId="0">
      <text>
        <r>
          <rPr>
            <sz val="9"/>
            <color indexed="81"/>
            <rFont val="宋体"/>
            <family val="3"/>
            <charset val="134"/>
          </rPr>
          <t xml:space="preserve">麦静怡:
暂定梁高400
</t>
        </r>
      </text>
    </comment>
    <comment ref="F31" authorId="0" shapeId="0">
      <text>
        <r>
          <rPr>
            <sz val="9"/>
            <color indexed="81"/>
            <rFont val="宋体"/>
            <family val="3"/>
            <charset val="134"/>
          </rPr>
          <t xml:space="preserve">麦静怡:
暂定梁高400
</t>
        </r>
      </text>
    </comment>
    <comment ref="D32" authorId="0" shapeId="0">
      <text>
        <r>
          <rPr>
            <sz val="9"/>
            <color indexed="81"/>
            <rFont val="宋体"/>
            <family val="3"/>
            <charset val="134"/>
          </rPr>
          <t>麦静怡:
三边周长：框算长度-洞口宽度</t>
        </r>
      </text>
    </comment>
    <comment ref="E32" authorId="0" shapeId="0">
      <text>
        <r>
          <rPr>
            <sz val="9"/>
            <color indexed="81"/>
            <rFont val="宋体"/>
            <family val="3"/>
            <charset val="134"/>
          </rPr>
          <t>麦静怡:
吊顶面积：框算面积减去梁底面积</t>
        </r>
      </text>
    </comment>
    <comment ref="F32" authorId="0" shapeId="0">
      <text>
        <r>
          <rPr>
            <sz val="9"/>
            <color indexed="81"/>
            <rFont val="宋体"/>
            <family val="3"/>
            <charset val="134"/>
          </rPr>
          <t xml:space="preserve">麦静怡:
暂定梁高400
</t>
        </r>
      </text>
    </comment>
    <comment ref="F33" authorId="0" shapeId="0">
      <text>
        <r>
          <rPr>
            <sz val="9"/>
            <color indexed="81"/>
            <rFont val="宋体"/>
            <family val="3"/>
            <charset val="134"/>
          </rPr>
          <t xml:space="preserve">麦静怡:
暂定梁高400
</t>
        </r>
      </text>
    </comment>
    <comment ref="S37" authorId="0" shapeId="0">
      <text>
        <r>
          <rPr>
            <sz val="9"/>
            <color indexed="81"/>
            <rFont val="宋体"/>
            <family val="3"/>
            <charset val="134"/>
          </rPr>
          <t>麦静怡:有为1，无为0</t>
        </r>
      </text>
    </comment>
    <comment ref="Q40" authorId="0" shapeId="0">
      <text>
        <r>
          <rPr>
            <sz val="9"/>
            <color indexed="81"/>
            <rFont val="宋体"/>
            <family val="3"/>
            <charset val="134"/>
          </rPr>
          <t>田乖:
橱柜背水泥砂找平</t>
        </r>
      </text>
    </comment>
    <comment ref="E54" authorId="0" shapeId="0">
      <text>
        <r>
          <rPr>
            <sz val="9"/>
            <color indexed="81"/>
            <rFont val="宋体"/>
            <family val="3"/>
            <charset val="134"/>
          </rPr>
          <t>麦静怡:天花</t>
        </r>
      </text>
    </comment>
    <comment ref="O54" authorId="0" shapeId="0">
      <text>
        <r>
          <rPr>
            <sz val="9"/>
            <color indexed="81"/>
            <rFont val="宋体"/>
            <family val="3"/>
            <charset val="134"/>
          </rPr>
          <t>麦静怡:
2014.5.6改</t>
        </r>
      </text>
    </comment>
  </commentList>
</comments>
</file>

<file path=xl/comments20.xml><?xml version="1.0" encoding="utf-8"?>
<comments xmlns="http://schemas.openxmlformats.org/spreadsheetml/2006/main">
  <authors>
    <author>麦静怡</author>
  </authors>
  <commentList>
    <comment ref="Q4" authorId="0" shapeId="0">
      <text>
        <r>
          <rPr>
            <sz val="9"/>
            <color indexed="81"/>
            <rFont val="宋体"/>
            <family val="3"/>
            <charset val="134"/>
          </rPr>
          <t>麦静怡:
注意此部分是要加的，</t>
        </r>
      </text>
    </comment>
    <comment ref="D12" authorId="0" shapeId="0">
      <text>
        <r>
          <rPr>
            <sz val="9"/>
            <color indexed="81"/>
            <rFont val="宋体"/>
            <family val="3"/>
            <charset val="134"/>
          </rPr>
          <t>麦静怡:
三边周长：框算长度-洞口宽度</t>
        </r>
      </text>
    </comment>
    <comment ref="E12" authorId="0" shapeId="0">
      <text>
        <r>
          <rPr>
            <sz val="9"/>
            <color indexed="81"/>
            <rFont val="宋体"/>
            <family val="3"/>
            <charset val="134"/>
          </rPr>
          <t>麦静怡:
吊顶面积：框算面积减去梁底面积</t>
        </r>
      </text>
    </comment>
    <comment ref="F12" authorId="0" shapeId="0">
      <text>
        <r>
          <rPr>
            <sz val="9"/>
            <color indexed="81"/>
            <rFont val="宋体"/>
            <family val="3"/>
            <charset val="134"/>
          </rPr>
          <t xml:space="preserve">麦静怡:
暂定梁高400
</t>
        </r>
      </text>
    </comment>
    <comment ref="E13" authorId="0" shapeId="0">
      <text>
        <r>
          <rPr>
            <sz val="9"/>
            <color indexed="81"/>
            <rFont val="宋体"/>
            <family val="3"/>
            <charset val="134"/>
          </rPr>
          <t>麦静怡:
波打线面积</t>
        </r>
      </text>
    </comment>
    <comment ref="D14" authorId="0" shapeId="0">
      <text>
        <r>
          <rPr>
            <sz val="9"/>
            <color indexed="81"/>
            <rFont val="宋体"/>
            <family val="3"/>
            <charset val="134"/>
          </rPr>
          <t>麦静怡:
三边周长：框算长度-洞口宽度</t>
        </r>
      </text>
    </comment>
    <comment ref="E14" authorId="0" shapeId="0">
      <text>
        <r>
          <rPr>
            <sz val="9"/>
            <color indexed="81"/>
            <rFont val="宋体"/>
            <family val="3"/>
            <charset val="134"/>
          </rPr>
          <t>麦静怡:
吊顶面积：框算面积减去梁底面积</t>
        </r>
      </text>
    </comment>
    <comment ref="F14" authorId="0" shapeId="0">
      <text>
        <r>
          <rPr>
            <sz val="9"/>
            <color indexed="81"/>
            <rFont val="宋体"/>
            <family val="3"/>
            <charset val="134"/>
          </rPr>
          <t xml:space="preserve">麦静怡:
暂定梁高400
</t>
        </r>
      </text>
    </comment>
    <comment ref="E15" authorId="0" shapeId="0">
      <text>
        <r>
          <rPr>
            <sz val="9"/>
            <color indexed="81"/>
            <rFont val="宋体"/>
            <family val="3"/>
            <charset val="134"/>
          </rPr>
          <t xml:space="preserve">麦静怡:
走廊门槛石宽（0.1或0.2）
</t>
        </r>
      </text>
    </comment>
    <comment ref="S16" authorId="0" shapeId="0">
      <text>
        <r>
          <rPr>
            <sz val="9"/>
            <color indexed="81"/>
            <rFont val="宋体"/>
            <family val="3"/>
            <charset val="134"/>
          </rPr>
          <t>麦静怡:
墙纸面积</t>
        </r>
      </text>
    </comment>
    <comment ref="L17" authorId="0" shapeId="0">
      <text>
        <r>
          <rPr>
            <sz val="9"/>
            <color indexed="81"/>
            <rFont val="宋体"/>
            <family val="3"/>
            <charset val="134"/>
          </rPr>
          <t xml:space="preserve">麦静怡:
注意这个填门宽
</t>
        </r>
      </text>
    </comment>
    <comment ref="D21" authorId="0" shapeId="0">
      <text>
        <r>
          <rPr>
            <sz val="9"/>
            <color indexed="81"/>
            <rFont val="宋体"/>
            <family val="3"/>
            <charset val="134"/>
          </rPr>
          <t>麦静怡:
三边周长：框算长度-洞口宽度</t>
        </r>
      </text>
    </comment>
    <comment ref="E21" authorId="0" shapeId="0">
      <text>
        <r>
          <rPr>
            <sz val="9"/>
            <color indexed="81"/>
            <rFont val="宋体"/>
            <family val="3"/>
            <charset val="134"/>
          </rPr>
          <t>麦静怡:
吊顶面积：框算面积减去梁底面积</t>
        </r>
      </text>
    </comment>
    <comment ref="F21" authorId="0" shapeId="0">
      <text>
        <r>
          <rPr>
            <sz val="9"/>
            <color indexed="81"/>
            <rFont val="宋体"/>
            <family val="3"/>
            <charset val="134"/>
          </rPr>
          <t xml:space="preserve">麦静怡:
暂定梁高400
</t>
        </r>
      </text>
    </comment>
    <comment ref="F22" authorId="0" shapeId="0">
      <text>
        <r>
          <rPr>
            <sz val="9"/>
            <color indexed="81"/>
            <rFont val="宋体"/>
            <family val="3"/>
            <charset val="134"/>
          </rPr>
          <t xml:space="preserve">麦静怡:
暂定梁高400
</t>
        </r>
      </text>
    </comment>
    <comment ref="D27" authorId="0" shapeId="0">
      <text>
        <r>
          <rPr>
            <sz val="9"/>
            <color indexed="81"/>
            <rFont val="宋体"/>
            <family val="3"/>
            <charset val="134"/>
          </rPr>
          <t>麦静怡:
三边周长：框算长度-洞口宽度</t>
        </r>
      </text>
    </comment>
    <comment ref="E27" authorId="0" shapeId="0">
      <text>
        <r>
          <rPr>
            <sz val="9"/>
            <color indexed="81"/>
            <rFont val="宋体"/>
            <family val="3"/>
            <charset val="134"/>
          </rPr>
          <t>麦静怡:
吊顶面积：框算面积减去梁底面积</t>
        </r>
      </text>
    </comment>
    <comment ref="F27" authorId="0" shapeId="0">
      <text>
        <r>
          <rPr>
            <sz val="9"/>
            <color indexed="81"/>
            <rFont val="宋体"/>
            <family val="3"/>
            <charset val="134"/>
          </rPr>
          <t xml:space="preserve">麦静怡:
暂定梁高400
</t>
        </r>
      </text>
    </comment>
    <comment ref="F28" authorId="0" shapeId="0">
      <text>
        <r>
          <rPr>
            <sz val="9"/>
            <color indexed="81"/>
            <rFont val="宋体"/>
            <family val="3"/>
            <charset val="134"/>
          </rPr>
          <t xml:space="preserve">麦静怡:
暂定梁高400
</t>
        </r>
      </text>
    </comment>
    <comment ref="D32" authorId="0" shapeId="0">
      <text>
        <r>
          <rPr>
            <sz val="9"/>
            <color indexed="81"/>
            <rFont val="宋体"/>
            <family val="3"/>
            <charset val="134"/>
          </rPr>
          <t>麦静怡:
三边周长：框算长度-洞口宽度</t>
        </r>
      </text>
    </comment>
    <comment ref="E32" authorId="0" shapeId="0">
      <text>
        <r>
          <rPr>
            <sz val="9"/>
            <color indexed="81"/>
            <rFont val="宋体"/>
            <family val="3"/>
            <charset val="134"/>
          </rPr>
          <t>麦静怡:
吊顶面积：框算面积减去梁底面积</t>
        </r>
      </text>
    </comment>
    <comment ref="F32" authorId="0" shapeId="0">
      <text>
        <r>
          <rPr>
            <sz val="9"/>
            <color indexed="81"/>
            <rFont val="宋体"/>
            <family val="3"/>
            <charset val="134"/>
          </rPr>
          <t xml:space="preserve">麦静怡:
暂定梁高400
</t>
        </r>
      </text>
    </comment>
    <comment ref="F33" authorId="0" shapeId="0">
      <text>
        <r>
          <rPr>
            <sz val="9"/>
            <color indexed="81"/>
            <rFont val="宋体"/>
            <family val="3"/>
            <charset val="134"/>
          </rPr>
          <t xml:space="preserve">麦静怡:
暂定梁高400
</t>
        </r>
      </text>
    </comment>
    <comment ref="S37" authorId="0" shapeId="0">
      <text>
        <r>
          <rPr>
            <sz val="9"/>
            <color indexed="81"/>
            <rFont val="宋体"/>
            <family val="3"/>
            <charset val="134"/>
          </rPr>
          <t>麦静怡:有为1，无为0</t>
        </r>
      </text>
    </comment>
    <comment ref="Q40" authorId="0" shapeId="0">
      <text>
        <r>
          <rPr>
            <sz val="9"/>
            <color indexed="81"/>
            <rFont val="宋体"/>
            <family val="3"/>
            <charset val="134"/>
          </rPr>
          <t>田乖:
橱柜背水泥砂找平</t>
        </r>
      </text>
    </comment>
    <comment ref="E54" authorId="0" shapeId="0">
      <text>
        <r>
          <rPr>
            <sz val="9"/>
            <color indexed="81"/>
            <rFont val="宋体"/>
            <family val="3"/>
            <charset val="134"/>
          </rPr>
          <t>麦静怡:天花</t>
        </r>
      </text>
    </comment>
    <comment ref="O54" authorId="0" shapeId="0">
      <text>
        <r>
          <rPr>
            <sz val="9"/>
            <color indexed="81"/>
            <rFont val="宋体"/>
            <family val="3"/>
            <charset val="134"/>
          </rPr>
          <t>麦静怡:
2014.5.6改</t>
        </r>
      </text>
    </comment>
  </commentList>
</comments>
</file>

<file path=xl/comments21.xml><?xml version="1.0" encoding="utf-8"?>
<comments xmlns="http://schemas.openxmlformats.org/spreadsheetml/2006/main">
  <authors>
    <author>麦静怡</author>
  </authors>
  <commentList>
    <comment ref="Q4" authorId="0" shapeId="0">
      <text>
        <r>
          <rPr>
            <sz val="9"/>
            <color indexed="81"/>
            <rFont val="宋体"/>
            <family val="3"/>
            <charset val="134"/>
          </rPr>
          <t>麦静怡:
注意此部分是要加的，</t>
        </r>
      </text>
    </comment>
    <comment ref="S16" authorId="0" shapeId="0">
      <text>
        <r>
          <rPr>
            <sz val="9"/>
            <color indexed="81"/>
            <rFont val="宋体"/>
            <family val="3"/>
            <charset val="134"/>
          </rPr>
          <t>麦静怡:
墙纸面积</t>
        </r>
      </text>
    </comment>
    <comment ref="L17" authorId="0" shapeId="0">
      <text>
        <r>
          <rPr>
            <sz val="9"/>
            <color indexed="81"/>
            <rFont val="宋体"/>
            <family val="3"/>
            <charset val="134"/>
          </rPr>
          <t xml:space="preserve">麦静怡:
注意这个填门宽
</t>
        </r>
      </text>
    </comment>
    <comment ref="S37" authorId="0" shapeId="0">
      <text>
        <r>
          <rPr>
            <sz val="9"/>
            <color indexed="81"/>
            <rFont val="宋体"/>
            <family val="3"/>
            <charset val="134"/>
          </rPr>
          <t>麦静怡:有为1，无为0</t>
        </r>
      </text>
    </comment>
    <comment ref="Q40" authorId="0" shapeId="0">
      <text>
        <r>
          <rPr>
            <sz val="9"/>
            <color indexed="81"/>
            <rFont val="宋体"/>
            <family val="3"/>
            <charset val="134"/>
          </rPr>
          <t>田乖:
橱柜背水泥砂找平</t>
        </r>
      </text>
    </comment>
    <comment ref="O54" authorId="0" shapeId="0">
      <text>
        <r>
          <rPr>
            <sz val="9"/>
            <color indexed="81"/>
            <rFont val="宋体"/>
            <family val="3"/>
            <charset val="134"/>
          </rPr>
          <t>麦静怡:
2014.5.6改</t>
        </r>
      </text>
    </comment>
  </commentList>
</comments>
</file>

<file path=xl/comments22.xml><?xml version="1.0" encoding="utf-8"?>
<comments xmlns="http://schemas.openxmlformats.org/spreadsheetml/2006/main">
  <authors>
    <author>麦静怡</author>
  </authors>
  <commentList>
    <comment ref="Q4" authorId="0" shapeId="0">
      <text>
        <r>
          <rPr>
            <sz val="9"/>
            <color indexed="81"/>
            <rFont val="宋体"/>
            <family val="3"/>
            <charset val="134"/>
          </rPr>
          <t>麦静怡:
注意此部分是要加的，</t>
        </r>
      </text>
    </comment>
    <comment ref="S16" authorId="0" shapeId="0">
      <text>
        <r>
          <rPr>
            <sz val="9"/>
            <color indexed="81"/>
            <rFont val="宋体"/>
            <family val="3"/>
            <charset val="134"/>
          </rPr>
          <t>麦静怡:
墙纸面积</t>
        </r>
      </text>
    </comment>
    <comment ref="L17" authorId="0" shapeId="0">
      <text>
        <r>
          <rPr>
            <sz val="9"/>
            <color indexed="81"/>
            <rFont val="宋体"/>
            <family val="3"/>
            <charset val="134"/>
          </rPr>
          <t xml:space="preserve">麦静怡:
注意这个填门宽
</t>
        </r>
      </text>
    </comment>
    <comment ref="S37" authorId="0" shapeId="0">
      <text>
        <r>
          <rPr>
            <sz val="9"/>
            <color indexed="81"/>
            <rFont val="宋体"/>
            <family val="3"/>
            <charset val="134"/>
          </rPr>
          <t>麦静怡:有为1，无为0</t>
        </r>
      </text>
    </comment>
    <comment ref="Q40" authorId="0" shapeId="0">
      <text>
        <r>
          <rPr>
            <sz val="9"/>
            <color indexed="81"/>
            <rFont val="宋体"/>
            <family val="3"/>
            <charset val="134"/>
          </rPr>
          <t>田乖:
橱柜背水泥砂找平</t>
        </r>
      </text>
    </comment>
    <comment ref="O54" authorId="0" shapeId="0">
      <text>
        <r>
          <rPr>
            <sz val="9"/>
            <color indexed="81"/>
            <rFont val="宋体"/>
            <family val="3"/>
            <charset val="134"/>
          </rPr>
          <t>麦静怡:
2014.5.6改</t>
        </r>
      </text>
    </comment>
  </commentList>
</comments>
</file>

<file path=xl/comments23.xml><?xml version="1.0" encoding="utf-8"?>
<comments xmlns="http://schemas.openxmlformats.org/spreadsheetml/2006/main">
  <authors>
    <author>麦静怡</author>
  </authors>
  <commentList>
    <comment ref="Q4" authorId="0" shapeId="0">
      <text>
        <r>
          <rPr>
            <sz val="9"/>
            <color indexed="81"/>
            <rFont val="宋体"/>
            <family val="3"/>
            <charset val="134"/>
          </rPr>
          <t>麦静怡:
注意此部分是要加的，</t>
        </r>
      </text>
    </comment>
    <comment ref="S16" authorId="0" shapeId="0">
      <text>
        <r>
          <rPr>
            <sz val="9"/>
            <color indexed="81"/>
            <rFont val="宋体"/>
            <family val="3"/>
            <charset val="134"/>
          </rPr>
          <t>麦静怡:
墙纸面积</t>
        </r>
      </text>
    </comment>
    <comment ref="L17" authorId="0" shapeId="0">
      <text>
        <r>
          <rPr>
            <sz val="9"/>
            <color indexed="81"/>
            <rFont val="宋体"/>
            <family val="3"/>
            <charset val="134"/>
          </rPr>
          <t xml:space="preserve">麦静怡:
注意这个填门宽
</t>
        </r>
      </text>
    </comment>
    <comment ref="S37" authorId="0" shapeId="0">
      <text>
        <r>
          <rPr>
            <sz val="9"/>
            <color indexed="81"/>
            <rFont val="宋体"/>
            <family val="3"/>
            <charset val="134"/>
          </rPr>
          <t>麦静怡:有为1，无为0</t>
        </r>
      </text>
    </comment>
    <comment ref="Q40" authorId="0" shapeId="0">
      <text>
        <r>
          <rPr>
            <sz val="9"/>
            <color indexed="81"/>
            <rFont val="宋体"/>
            <family val="3"/>
            <charset val="134"/>
          </rPr>
          <t>田乖:
橱柜背水泥砂找平</t>
        </r>
      </text>
    </comment>
    <comment ref="O54" authorId="0" shapeId="0">
      <text>
        <r>
          <rPr>
            <sz val="9"/>
            <color indexed="81"/>
            <rFont val="宋体"/>
            <family val="3"/>
            <charset val="134"/>
          </rPr>
          <t>麦静怡:
2014.5.6改</t>
        </r>
      </text>
    </comment>
  </commentList>
</comments>
</file>

<file path=xl/comments24.xml><?xml version="1.0" encoding="utf-8"?>
<comments xmlns="http://schemas.openxmlformats.org/spreadsheetml/2006/main">
  <authors>
    <author>麦静怡</author>
  </authors>
  <commentList>
    <comment ref="Q4" authorId="0" shapeId="0">
      <text>
        <r>
          <rPr>
            <sz val="9"/>
            <color indexed="81"/>
            <rFont val="宋体"/>
            <family val="3"/>
            <charset val="134"/>
          </rPr>
          <t>麦静怡:
注意此部分是要加的，</t>
        </r>
      </text>
    </comment>
    <comment ref="D12" authorId="0" shapeId="0">
      <text>
        <r>
          <rPr>
            <sz val="9"/>
            <color indexed="81"/>
            <rFont val="宋体"/>
            <family val="3"/>
            <charset val="134"/>
          </rPr>
          <t>麦静怡:
三边周长：框算长度-洞口宽度</t>
        </r>
      </text>
    </comment>
    <comment ref="E12" authorId="0" shapeId="0">
      <text>
        <r>
          <rPr>
            <sz val="9"/>
            <color indexed="81"/>
            <rFont val="宋体"/>
            <family val="3"/>
            <charset val="134"/>
          </rPr>
          <t>麦静怡:
吊顶面积：框算面积减去梁底面积</t>
        </r>
      </text>
    </comment>
    <comment ref="F12" authorId="0" shapeId="0">
      <text>
        <r>
          <rPr>
            <sz val="9"/>
            <color indexed="81"/>
            <rFont val="宋体"/>
            <family val="3"/>
            <charset val="134"/>
          </rPr>
          <t xml:space="preserve">麦静怡:
暂定梁高400
</t>
        </r>
      </text>
    </comment>
    <comment ref="E13" authorId="0" shapeId="0">
      <text>
        <r>
          <rPr>
            <sz val="9"/>
            <color indexed="81"/>
            <rFont val="宋体"/>
            <family val="3"/>
            <charset val="134"/>
          </rPr>
          <t>麦静怡:
波打线面积</t>
        </r>
      </text>
    </comment>
    <comment ref="D14" authorId="0" shapeId="0">
      <text>
        <r>
          <rPr>
            <sz val="9"/>
            <color indexed="81"/>
            <rFont val="宋体"/>
            <family val="3"/>
            <charset val="134"/>
          </rPr>
          <t>麦静怡:
三边周长：框算长度-洞口宽度</t>
        </r>
      </text>
    </comment>
    <comment ref="E14" authorId="0" shapeId="0">
      <text>
        <r>
          <rPr>
            <sz val="9"/>
            <color indexed="81"/>
            <rFont val="宋体"/>
            <family val="3"/>
            <charset val="134"/>
          </rPr>
          <t>麦静怡:
吊顶面积：框算面积减去梁底面积</t>
        </r>
      </text>
    </comment>
    <comment ref="F14" authorId="0" shapeId="0">
      <text>
        <r>
          <rPr>
            <sz val="9"/>
            <color indexed="81"/>
            <rFont val="宋体"/>
            <family val="3"/>
            <charset val="134"/>
          </rPr>
          <t xml:space="preserve">麦静怡:
暂定梁高400
</t>
        </r>
      </text>
    </comment>
    <comment ref="E15" authorId="0" shapeId="0">
      <text>
        <r>
          <rPr>
            <sz val="9"/>
            <color indexed="81"/>
            <rFont val="宋体"/>
            <family val="3"/>
            <charset val="134"/>
          </rPr>
          <t xml:space="preserve">麦静怡:
走廊门槛石宽（0.1或0.2）
</t>
        </r>
      </text>
    </comment>
    <comment ref="S16" authorId="0" shapeId="0">
      <text>
        <r>
          <rPr>
            <sz val="9"/>
            <color indexed="81"/>
            <rFont val="宋体"/>
            <family val="3"/>
            <charset val="134"/>
          </rPr>
          <t>麦静怡:
墙纸面积</t>
        </r>
      </text>
    </comment>
    <comment ref="L17" authorId="0" shapeId="0">
      <text>
        <r>
          <rPr>
            <sz val="9"/>
            <color indexed="81"/>
            <rFont val="宋体"/>
            <family val="3"/>
            <charset val="134"/>
          </rPr>
          <t xml:space="preserve">麦静怡:
注意这个填门宽
</t>
        </r>
      </text>
    </comment>
    <comment ref="D21" authorId="0" shapeId="0">
      <text>
        <r>
          <rPr>
            <sz val="9"/>
            <color indexed="81"/>
            <rFont val="宋体"/>
            <family val="3"/>
            <charset val="134"/>
          </rPr>
          <t>麦静怡:
三边周长：框算长度-洞口宽度</t>
        </r>
      </text>
    </comment>
    <comment ref="E21" authorId="0" shapeId="0">
      <text>
        <r>
          <rPr>
            <sz val="9"/>
            <color indexed="81"/>
            <rFont val="宋体"/>
            <family val="3"/>
            <charset val="134"/>
          </rPr>
          <t>麦静怡:
吊顶面积：框算面积减去梁底面积</t>
        </r>
      </text>
    </comment>
    <comment ref="F21" authorId="0" shapeId="0">
      <text>
        <r>
          <rPr>
            <sz val="9"/>
            <color indexed="81"/>
            <rFont val="宋体"/>
            <family val="3"/>
            <charset val="134"/>
          </rPr>
          <t xml:space="preserve">麦静怡:
暂定梁高400
</t>
        </r>
      </text>
    </comment>
    <comment ref="F22" authorId="0" shapeId="0">
      <text>
        <r>
          <rPr>
            <sz val="9"/>
            <color indexed="81"/>
            <rFont val="宋体"/>
            <family val="3"/>
            <charset val="134"/>
          </rPr>
          <t xml:space="preserve">麦静怡:
暂定梁高400
</t>
        </r>
      </text>
    </comment>
    <comment ref="D27" authorId="0" shapeId="0">
      <text>
        <r>
          <rPr>
            <sz val="9"/>
            <color indexed="81"/>
            <rFont val="宋体"/>
            <family val="3"/>
            <charset val="134"/>
          </rPr>
          <t>麦静怡:
三边周长：框算长度-洞口宽度</t>
        </r>
      </text>
    </comment>
    <comment ref="E27" authorId="0" shapeId="0">
      <text>
        <r>
          <rPr>
            <sz val="9"/>
            <color indexed="81"/>
            <rFont val="宋体"/>
            <family val="3"/>
            <charset val="134"/>
          </rPr>
          <t>麦静怡:
吊顶面积：框算面积减去梁底面积</t>
        </r>
      </text>
    </comment>
    <comment ref="F27" authorId="0" shapeId="0">
      <text>
        <r>
          <rPr>
            <sz val="9"/>
            <color indexed="81"/>
            <rFont val="宋体"/>
            <family val="3"/>
            <charset val="134"/>
          </rPr>
          <t xml:space="preserve">麦静怡:
暂定梁高400
</t>
        </r>
      </text>
    </comment>
    <comment ref="F28" authorId="0" shapeId="0">
      <text>
        <r>
          <rPr>
            <sz val="9"/>
            <color indexed="81"/>
            <rFont val="宋体"/>
            <family val="3"/>
            <charset val="134"/>
          </rPr>
          <t xml:space="preserve">麦静怡:
暂定梁高400
</t>
        </r>
      </text>
    </comment>
    <comment ref="D32" authorId="0" shapeId="0">
      <text>
        <r>
          <rPr>
            <sz val="9"/>
            <color indexed="81"/>
            <rFont val="宋体"/>
            <family val="3"/>
            <charset val="134"/>
          </rPr>
          <t>麦静怡:
三边周长：框算长度-洞口宽度</t>
        </r>
      </text>
    </comment>
    <comment ref="E32" authorId="0" shapeId="0">
      <text>
        <r>
          <rPr>
            <sz val="9"/>
            <color indexed="81"/>
            <rFont val="宋体"/>
            <family val="3"/>
            <charset val="134"/>
          </rPr>
          <t>麦静怡:
吊顶面积：框算面积减去梁底面积</t>
        </r>
      </text>
    </comment>
    <comment ref="F32" authorId="0" shapeId="0">
      <text>
        <r>
          <rPr>
            <sz val="9"/>
            <color indexed="81"/>
            <rFont val="宋体"/>
            <family val="3"/>
            <charset val="134"/>
          </rPr>
          <t xml:space="preserve">麦静怡:
暂定梁高400
</t>
        </r>
      </text>
    </comment>
    <comment ref="F33" authorId="0" shapeId="0">
      <text>
        <r>
          <rPr>
            <sz val="9"/>
            <color indexed="81"/>
            <rFont val="宋体"/>
            <family val="3"/>
            <charset val="134"/>
          </rPr>
          <t xml:space="preserve">麦静怡:
暂定梁高400
</t>
        </r>
      </text>
    </comment>
    <comment ref="S37" authorId="0" shapeId="0">
      <text>
        <r>
          <rPr>
            <sz val="9"/>
            <color indexed="81"/>
            <rFont val="宋体"/>
            <family val="3"/>
            <charset val="134"/>
          </rPr>
          <t>麦静怡:有为1，无为0</t>
        </r>
      </text>
    </comment>
    <comment ref="Q40" authorId="0" shapeId="0">
      <text>
        <r>
          <rPr>
            <sz val="9"/>
            <color indexed="81"/>
            <rFont val="宋体"/>
            <family val="3"/>
            <charset val="134"/>
          </rPr>
          <t>田乖:
橱柜背水泥砂找平</t>
        </r>
      </text>
    </comment>
    <comment ref="E54" authorId="0" shapeId="0">
      <text>
        <r>
          <rPr>
            <sz val="9"/>
            <color indexed="81"/>
            <rFont val="宋体"/>
            <family val="3"/>
            <charset val="134"/>
          </rPr>
          <t>麦静怡:天花</t>
        </r>
      </text>
    </comment>
    <comment ref="O54" authorId="0" shapeId="0">
      <text>
        <r>
          <rPr>
            <sz val="9"/>
            <color indexed="81"/>
            <rFont val="宋体"/>
            <family val="3"/>
            <charset val="134"/>
          </rPr>
          <t>麦静怡:
2014.5.6改      敞开式厨房墙面-入户门-卫生间门</t>
        </r>
      </text>
    </comment>
  </commentList>
</comments>
</file>

<file path=xl/comments25.xml><?xml version="1.0" encoding="utf-8"?>
<comments xmlns="http://schemas.openxmlformats.org/spreadsheetml/2006/main">
  <authors>
    <author>麦静怡</author>
  </authors>
  <commentList>
    <comment ref="Q4" authorId="0" shapeId="0">
      <text>
        <r>
          <rPr>
            <sz val="9"/>
            <color indexed="81"/>
            <rFont val="宋体"/>
            <family val="3"/>
            <charset val="134"/>
          </rPr>
          <t>麦静怡:
注意此部分是要加的，</t>
        </r>
      </text>
    </comment>
    <comment ref="D12" authorId="0" shapeId="0">
      <text>
        <r>
          <rPr>
            <sz val="9"/>
            <color indexed="81"/>
            <rFont val="宋体"/>
            <family val="3"/>
            <charset val="134"/>
          </rPr>
          <t>麦静怡:
三边周长：框算长度-洞口宽度</t>
        </r>
      </text>
    </comment>
    <comment ref="E12" authorId="0" shapeId="0">
      <text>
        <r>
          <rPr>
            <sz val="9"/>
            <color indexed="81"/>
            <rFont val="宋体"/>
            <family val="3"/>
            <charset val="134"/>
          </rPr>
          <t>麦静怡:
吊顶面积：框算面积减去梁底面积</t>
        </r>
      </text>
    </comment>
    <comment ref="F12" authorId="0" shapeId="0">
      <text>
        <r>
          <rPr>
            <sz val="9"/>
            <color indexed="81"/>
            <rFont val="宋体"/>
            <family val="3"/>
            <charset val="134"/>
          </rPr>
          <t xml:space="preserve">麦静怡:
暂定梁高400
</t>
        </r>
      </text>
    </comment>
    <comment ref="E13" authorId="0" shapeId="0">
      <text>
        <r>
          <rPr>
            <sz val="9"/>
            <color indexed="81"/>
            <rFont val="宋体"/>
            <family val="3"/>
            <charset val="134"/>
          </rPr>
          <t>麦静怡:
波打线面积</t>
        </r>
      </text>
    </comment>
    <comment ref="D14" authorId="0" shapeId="0">
      <text>
        <r>
          <rPr>
            <sz val="9"/>
            <color indexed="81"/>
            <rFont val="宋体"/>
            <family val="3"/>
            <charset val="134"/>
          </rPr>
          <t>麦静怡:
三边周长：框算长度-洞口宽度</t>
        </r>
      </text>
    </comment>
    <comment ref="E14" authorId="0" shapeId="0">
      <text>
        <r>
          <rPr>
            <sz val="9"/>
            <color indexed="81"/>
            <rFont val="宋体"/>
            <family val="3"/>
            <charset val="134"/>
          </rPr>
          <t>麦静怡:
吊顶面积：框算面积减去梁底面积</t>
        </r>
      </text>
    </comment>
    <comment ref="F14" authorId="0" shapeId="0">
      <text>
        <r>
          <rPr>
            <sz val="9"/>
            <color indexed="81"/>
            <rFont val="宋体"/>
            <family val="3"/>
            <charset val="134"/>
          </rPr>
          <t xml:space="preserve">麦静怡:
暂定梁高400
</t>
        </r>
      </text>
    </comment>
    <comment ref="E15" authorId="0" shapeId="0">
      <text>
        <r>
          <rPr>
            <sz val="9"/>
            <color indexed="81"/>
            <rFont val="宋体"/>
            <family val="3"/>
            <charset val="134"/>
          </rPr>
          <t xml:space="preserve">麦静怡:
走廊门槛石宽（0.1或0.2）
</t>
        </r>
      </text>
    </comment>
    <comment ref="S16" authorId="0" shapeId="0">
      <text>
        <r>
          <rPr>
            <sz val="9"/>
            <color indexed="81"/>
            <rFont val="宋体"/>
            <family val="3"/>
            <charset val="134"/>
          </rPr>
          <t>麦静怡:
墙纸面积</t>
        </r>
      </text>
    </comment>
    <comment ref="L17" authorId="0" shapeId="0">
      <text>
        <r>
          <rPr>
            <sz val="9"/>
            <color indexed="81"/>
            <rFont val="宋体"/>
            <family val="3"/>
            <charset val="134"/>
          </rPr>
          <t xml:space="preserve">麦静怡:
注意这个填门宽
</t>
        </r>
      </text>
    </comment>
    <comment ref="D21" authorId="0" shapeId="0">
      <text>
        <r>
          <rPr>
            <sz val="9"/>
            <color indexed="81"/>
            <rFont val="宋体"/>
            <family val="3"/>
            <charset val="134"/>
          </rPr>
          <t>麦静怡:
三边周长：框算长度-洞口宽度</t>
        </r>
      </text>
    </comment>
    <comment ref="E21" authorId="0" shapeId="0">
      <text>
        <r>
          <rPr>
            <sz val="9"/>
            <color indexed="81"/>
            <rFont val="宋体"/>
            <family val="3"/>
            <charset val="134"/>
          </rPr>
          <t>麦静怡:
吊顶面积：框算面积减去梁底面积</t>
        </r>
      </text>
    </comment>
    <comment ref="F21" authorId="0" shapeId="0">
      <text>
        <r>
          <rPr>
            <sz val="9"/>
            <color indexed="81"/>
            <rFont val="宋体"/>
            <family val="3"/>
            <charset val="134"/>
          </rPr>
          <t xml:space="preserve">麦静怡:
暂定梁高400
</t>
        </r>
      </text>
    </comment>
    <comment ref="F22" authorId="0" shapeId="0">
      <text>
        <r>
          <rPr>
            <sz val="9"/>
            <color indexed="81"/>
            <rFont val="宋体"/>
            <family val="3"/>
            <charset val="134"/>
          </rPr>
          <t xml:space="preserve">麦静怡:
暂定梁高400
</t>
        </r>
      </text>
    </comment>
    <comment ref="D27" authorId="0" shapeId="0">
      <text>
        <r>
          <rPr>
            <sz val="9"/>
            <color indexed="81"/>
            <rFont val="宋体"/>
            <family val="3"/>
            <charset val="134"/>
          </rPr>
          <t>麦静怡:
三边周长：框算长度-洞口宽度</t>
        </r>
      </text>
    </comment>
    <comment ref="E27" authorId="0" shapeId="0">
      <text>
        <r>
          <rPr>
            <sz val="9"/>
            <color indexed="81"/>
            <rFont val="宋体"/>
            <family val="3"/>
            <charset val="134"/>
          </rPr>
          <t>麦静怡:
吊顶面积：框算面积减去梁底面积</t>
        </r>
      </text>
    </comment>
    <comment ref="F27" authorId="0" shapeId="0">
      <text>
        <r>
          <rPr>
            <sz val="9"/>
            <color indexed="81"/>
            <rFont val="宋体"/>
            <family val="3"/>
            <charset val="134"/>
          </rPr>
          <t xml:space="preserve">麦静怡:
暂定梁高400
</t>
        </r>
      </text>
    </comment>
    <comment ref="F28" authorId="0" shapeId="0">
      <text>
        <r>
          <rPr>
            <sz val="9"/>
            <color indexed="81"/>
            <rFont val="宋体"/>
            <family val="3"/>
            <charset val="134"/>
          </rPr>
          <t xml:space="preserve">麦静怡:
暂定梁高400
</t>
        </r>
      </text>
    </comment>
    <comment ref="F31" authorId="0" shapeId="0">
      <text>
        <r>
          <rPr>
            <sz val="9"/>
            <color indexed="81"/>
            <rFont val="宋体"/>
            <family val="3"/>
            <charset val="134"/>
          </rPr>
          <t xml:space="preserve">麦静怡:
暂定梁高400
</t>
        </r>
      </text>
    </comment>
    <comment ref="D32" authorId="0" shapeId="0">
      <text>
        <r>
          <rPr>
            <sz val="9"/>
            <color indexed="81"/>
            <rFont val="宋体"/>
            <family val="3"/>
            <charset val="134"/>
          </rPr>
          <t>麦静怡:
三边周长：框算长度-洞口宽度</t>
        </r>
      </text>
    </comment>
    <comment ref="E32" authorId="0" shapeId="0">
      <text>
        <r>
          <rPr>
            <sz val="9"/>
            <color indexed="81"/>
            <rFont val="宋体"/>
            <family val="3"/>
            <charset val="134"/>
          </rPr>
          <t>麦静怡:
吊顶面积：框算面积减去梁底面积</t>
        </r>
      </text>
    </comment>
    <comment ref="F32" authorId="0" shapeId="0">
      <text>
        <r>
          <rPr>
            <sz val="9"/>
            <color indexed="81"/>
            <rFont val="宋体"/>
            <family val="3"/>
            <charset val="134"/>
          </rPr>
          <t xml:space="preserve">麦静怡:
暂定梁高400
</t>
        </r>
      </text>
    </comment>
    <comment ref="F33" authorId="0" shapeId="0">
      <text>
        <r>
          <rPr>
            <sz val="9"/>
            <color indexed="81"/>
            <rFont val="宋体"/>
            <family val="3"/>
            <charset val="134"/>
          </rPr>
          <t xml:space="preserve">麦静怡:
暂定梁高400
</t>
        </r>
      </text>
    </comment>
    <comment ref="S37" authorId="0" shapeId="0">
      <text>
        <r>
          <rPr>
            <sz val="9"/>
            <color indexed="81"/>
            <rFont val="宋体"/>
            <family val="3"/>
            <charset val="134"/>
          </rPr>
          <t>麦静怡:有为1，无为0</t>
        </r>
      </text>
    </comment>
    <comment ref="Q40" authorId="0" shapeId="0">
      <text>
        <r>
          <rPr>
            <sz val="9"/>
            <color indexed="81"/>
            <rFont val="宋体"/>
            <family val="3"/>
            <charset val="134"/>
          </rPr>
          <t>田乖:
橱柜背水泥砂找平</t>
        </r>
      </text>
    </comment>
    <comment ref="E54" authorId="0" shapeId="0">
      <text>
        <r>
          <rPr>
            <sz val="9"/>
            <color indexed="81"/>
            <rFont val="宋体"/>
            <family val="3"/>
            <charset val="134"/>
          </rPr>
          <t>麦静怡:天花</t>
        </r>
      </text>
    </comment>
    <comment ref="O54" authorId="0" shapeId="0">
      <text>
        <r>
          <rPr>
            <sz val="9"/>
            <color indexed="81"/>
            <rFont val="宋体"/>
            <family val="3"/>
            <charset val="134"/>
          </rPr>
          <t>麦静怡:
2014.5.6改</t>
        </r>
      </text>
    </comment>
  </commentList>
</comments>
</file>

<file path=xl/comments26.xml><?xml version="1.0" encoding="utf-8"?>
<comments xmlns="http://schemas.openxmlformats.org/spreadsheetml/2006/main">
  <authors>
    <author>麦静怡</author>
  </authors>
  <commentList>
    <comment ref="Q4" authorId="0" shapeId="0">
      <text>
        <r>
          <rPr>
            <sz val="9"/>
            <color indexed="81"/>
            <rFont val="宋体"/>
            <family val="3"/>
            <charset val="134"/>
          </rPr>
          <t>麦静怡:
注意此部分是要加的，</t>
        </r>
      </text>
    </comment>
    <comment ref="D12" authorId="0" shapeId="0">
      <text>
        <r>
          <rPr>
            <sz val="9"/>
            <color indexed="81"/>
            <rFont val="宋体"/>
            <family val="3"/>
            <charset val="134"/>
          </rPr>
          <t>麦静怡:
三边周长：框算长度-洞口宽度</t>
        </r>
      </text>
    </comment>
    <comment ref="E12" authorId="0" shapeId="0">
      <text>
        <r>
          <rPr>
            <sz val="9"/>
            <color indexed="81"/>
            <rFont val="宋体"/>
            <family val="3"/>
            <charset val="134"/>
          </rPr>
          <t>麦静怡:
吊顶面积：框算面积减去梁底面积</t>
        </r>
      </text>
    </comment>
    <comment ref="F12" authorId="0" shapeId="0">
      <text>
        <r>
          <rPr>
            <sz val="9"/>
            <color indexed="81"/>
            <rFont val="宋体"/>
            <family val="3"/>
            <charset val="134"/>
          </rPr>
          <t xml:space="preserve">麦静怡:
暂定梁高400
</t>
        </r>
      </text>
    </comment>
    <comment ref="E13" authorId="0" shapeId="0">
      <text>
        <r>
          <rPr>
            <sz val="9"/>
            <color indexed="81"/>
            <rFont val="宋体"/>
            <family val="3"/>
            <charset val="134"/>
          </rPr>
          <t>麦静怡:
波打线面积</t>
        </r>
      </text>
    </comment>
    <comment ref="D14" authorId="0" shapeId="0">
      <text>
        <r>
          <rPr>
            <sz val="9"/>
            <color indexed="81"/>
            <rFont val="宋体"/>
            <family val="3"/>
            <charset val="134"/>
          </rPr>
          <t>麦静怡:
三边周长：框算长度-洞口宽度</t>
        </r>
      </text>
    </comment>
    <comment ref="E14" authorId="0" shapeId="0">
      <text>
        <r>
          <rPr>
            <sz val="9"/>
            <color indexed="81"/>
            <rFont val="宋体"/>
            <family val="3"/>
            <charset val="134"/>
          </rPr>
          <t>麦静怡:
吊顶面积：框算面积减去梁底面积</t>
        </r>
      </text>
    </comment>
    <comment ref="F14" authorId="0" shapeId="0">
      <text>
        <r>
          <rPr>
            <sz val="9"/>
            <color indexed="81"/>
            <rFont val="宋体"/>
            <family val="3"/>
            <charset val="134"/>
          </rPr>
          <t xml:space="preserve">麦静怡:
暂定梁高400
</t>
        </r>
      </text>
    </comment>
    <comment ref="E15" authorId="0" shapeId="0">
      <text>
        <r>
          <rPr>
            <sz val="9"/>
            <color indexed="81"/>
            <rFont val="宋体"/>
            <family val="3"/>
            <charset val="134"/>
          </rPr>
          <t xml:space="preserve">麦静怡:
走廊门槛石宽（0.1或0.2）
</t>
        </r>
      </text>
    </comment>
    <comment ref="S16" authorId="0" shapeId="0">
      <text>
        <r>
          <rPr>
            <sz val="9"/>
            <color indexed="81"/>
            <rFont val="宋体"/>
            <family val="3"/>
            <charset val="134"/>
          </rPr>
          <t>麦静怡:
墙纸面积</t>
        </r>
      </text>
    </comment>
    <comment ref="L17" authorId="0" shapeId="0">
      <text>
        <r>
          <rPr>
            <sz val="9"/>
            <color indexed="81"/>
            <rFont val="宋体"/>
            <family val="3"/>
            <charset val="134"/>
          </rPr>
          <t xml:space="preserve">麦静怡:
注意这个填门宽
</t>
        </r>
      </text>
    </comment>
    <comment ref="D21" authorId="0" shapeId="0">
      <text>
        <r>
          <rPr>
            <sz val="9"/>
            <color indexed="81"/>
            <rFont val="宋体"/>
            <family val="3"/>
            <charset val="134"/>
          </rPr>
          <t>麦静怡:
三边周长：框算长度-洞口宽度</t>
        </r>
      </text>
    </comment>
    <comment ref="E21" authorId="0" shapeId="0">
      <text>
        <r>
          <rPr>
            <sz val="9"/>
            <color indexed="81"/>
            <rFont val="宋体"/>
            <family val="3"/>
            <charset val="134"/>
          </rPr>
          <t>麦静怡:
吊顶面积：框算面积减去梁底面积</t>
        </r>
      </text>
    </comment>
    <comment ref="F21" authorId="0" shapeId="0">
      <text>
        <r>
          <rPr>
            <sz val="9"/>
            <color indexed="81"/>
            <rFont val="宋体"/>
            <family val="3"/>
            <charset val="134"/>
          </rPr>
          <t xml:space="preserve">麦静怡:
暂定梁高400
</t>
        </r>
      </text>
    </comment>
    <comment ref="F22" authorId="0" shapeId="0">
      <text>
        <r>
          <rPr>
            <sz val="9"/>
            <color indexed="81"/>
            <rFont val="宋体"/>
            <family val="3"/>
            <charset val="134"/>
          </rPr>
          <t xml:space="preserve">麦静怡:
暂定梁高400
</t>
        </r>
      </text>
    </comment>
    <comment ref="D27" authorId="0" shapeId="0">
      <text>
        <r>
          <rPr>
            <sz val="9"/>
            <color indexed="81"/>
            <rFont val="宋体"/>
            <family val="3"/>
            <charset val="134"/>
          </rPr>
          <t>麦静怡:
三边周长：框算长度-洞口宽度</t>
        </r>
      </text>
    </comment>
    <comment ref="E27" authorId="0" shapeId="0">
      <text>
        <r>
          <rPr>
            <sz val="9"/>
            <color indexed="81"/>
            <rFont val="宋体"/>
            <family val="3"/>
            <charset val="134"/>
          </rPr>
          <t>麦静怡:
吊顶面积：框算面积减去梁底面积</t>
        </r>
      </text>
    </comment>
    <comment ref="F27" authorId="0" shapeId="0">
      <text>
        <r>
          <rPr>
            <sz val="9"/>
            <color indexed="81"/>
            <rFont val="宋体"/>
            <family val="3"/>
            <charset val="134"/>
          </rPr>
          <t xml:space="preserve">麦静怡:
暂定梁高400
</t>
        </r>
      </text>
    </comment>
    <comment ref="F28" authorId="0" shapeId="0">
      <text>
        <r>
          <rPr>
            <sz val="9"/>
            <color indexed="81"/>
            <rFont val="宋体"/>
            <family val="3"/>
            <charset val="134"/>
          </rPr>
          <t xml:space="preserve">麦静怡:
暂定梁高400
</t>
        </r>
      </text>
    </comment>
    <comment ref="F31" authorId="0" shapeId="0">
      <text>
        <r>
          <rPr>
            <sz val="9"/>
            <color indexed="81"/>
            <rFont val="宋体"/>
            <family val="3"/>
            <charset val="134"/>
          </rPr>
          <t xml:space="preserve">麦静怡:
暂定梁高400
</t>
        </r>
      </text>
    </comment>
    <comment ref="D32" authorId="0" shapeId="0">
      <text>
        <r>
          <rPr>
            <sz val="9"/>
            <color indexed="81"/>
            <rFont val="宋体"/>
            <family val="3"/>
            <charset val="134"/>
          </rPr>
          <t>麦静怡:
三边周长：框算长度-洞口宽度</t>
        </r>
      </text>
    </comment>
    <comment ref="E32" authorId="0" shapeId="0">
      <text>
        <r>
          <rPr>
            <sz val="9"/>
            <color indexed="81"/>
            <rFont val="宋体"/>
            <family val="3"/>
            <charset val="134"/>
          </rPr>
          <t>麦静怡:
吊顶面积：框算面积减去梁底面积</t>
        </r>
      </text>
    </comment>
    <comment ref="F32" authorId="0" shapeId="0">
      <text>
        <r>
          <rPr>
            <sz val="9"/>
            <color indexed="81"/>
            <rFont val="宋体"/>
            <family val="3"/>
            <charset val="134"/>
          </rPr>
          <t xml:space="preserve">麦静怡:
暂定梁高400
</t>
        </r>
      </text>
    </comment>
    <comment ref="F33" authorId="0" shapeId="0">
      <text>
        <r>
          <rPr>
            <sz val="9"/>
            <color indexed="81"/>
            <rFont val="宋体"/>
            <family val="3"/>
            <charset val="134"/>
          </rPr>
          <t xml:space="preserve">麦静怡:
暂定梁高400
</t>
        </r>
      </text>
    </comment>
    <comment ref="S37" authorId="0" shapeId="0">
      <text>
        <r>
          <rPr>
            <sz val="9"/>
            <color indexed="81"/>
            <rFont val="宋体"/>
            <family val="3"/>
            <charset val="134"/>
          </rPr>
          <t>麦静怡:有为1，无为0</t>
        </r>
      </text>
    </comment>
    <comment ref="Q40" authorId="0" shapeId="0">
      <text>
        <r>
          <rPr>
            <sz val="9"/>
            <color indexed="81"/>
            <rFont val="宋体"/>
            <family val="3"/>
            <charset val="134"/>
          </rPr>
          <t>田乖:
橱柜背水泥砂找平</t>
        </r>
      </text>
    </comment>
    <comment ref="E54" authorId="0" shapeId="0">
      <text>
        <r>
          <rPr>
            <sz val="9"/>
            <color indexed="81"/>
            <rFont val="宋体"/>
            <family val="3"/>
            <charset val="134"/>
          </rPr>
          <t>麦静怡:天花</t>
        </r>
      </text>
    </comment>
    <comment ref="O54" authorId="0" shapeId="0">
      <text>
        <r>
          <rPr>
            <sz val="9"/>
            <color indexed="81"/>
            <rFont val="宋体"/>
            <family val="3"/>
            <charset val="134"/>
          </rPr>
          <t>麦静怡:
2014.5.6改</t>
        </r>
      </text>
    </comment>
  </commentList>
</comments>
</file>

<file path=xl/sharedStrings.xml><?xml version="1.0" encoding="utf-8"?>
<sst xmlns="http://schemas.openxmlformats.org/spreadsheetml/2006/main" count="9210" uniqueCount="2044">
  <si>
    <t>工程量清单编制流程说明</t>
  </si>
  <si>
    <t>当前版本：2015年9月30日下发</t>
  </si>
  <si>
    <t>当前新100标准清单版本：文件名：【2015-9-6版】增加补充项目后执行的新1000标大批量装修工程标准清单（2015-9-18发EMS）.XLSX</t>
  </si>
  <si>
    <t>前言</t>
  </si>
  <si>
    <t>本工程量清单为新1000标准清单。由招标中心负责编制，并维护。</t>
  </si>
  <si>
    <t>本清单甲方代供代扣代付材料的品牌、型号、价格为暂定，地区公司申报材料计划的时候按材料公司分区方案，结算时具体的价格、品牌、型号以现场收货单为准，定标时提交的工程量清单各地区公司无需调整。</t>
  </si>
  <si>
    <r>
      <rPr>
        <sz val="10"/>
        <rFont val="宋体"/>
        <family val="3"/>
        <charset val="134"/>
      </rPr>
      <t>本清单各表格的价格已经锁定，为避免错乱，一般情况不允许任意调整。</t>
    </r>
    <r>
      <rPr>
        <sz val="10"/>
        <color indexed="10"/>
        <rFont val="宋体"/>
        <family val="3"/>
        <charset val="134"/>
      </rPr>
      <t>远征费</t>
    </r>
    <r>
      <rPr>
        <sz val="10"/>
        <rFont val="宋体"/>
        <family val="3"/>
        <charset val="134"/>
      </rPr>
      <t>、和</t>
    </r>
    <r>
      <rPr>
        <sz val="10"/>
        <color indexed="10"/>
        <rFont val="宋体"/>
        <family val="3"/>
        <charset val="134"/>
      </rPr>
      <t>税金</t>
    </r>
    <r>
      <rPr>
        <sz val="10"/>
        <rFont val="宋体"/>
        <family val="3"/>
        <charset val="134"/>
      </rPr>
      <t>根据项目实际项目填写</t>
    </r>
  </si>
  <si>
    <t>本表工程量的计算公式主要为定标时提供工程量计算方法、简化以及规范计算过程，未达到结算计算深度。结算需按实结算，本表计算公式不作为结算依据。</t>
  </si>
  <si>
    <t>由于甲供材的价格以及种类需要根据材料公司招标的情况进行相应的调整，我中心每隔一段时间都会对此表格进行维护，并将最新调整的清单及时发给各地区公司。</t>
  </si>
  <si>
    <t>大批量装修工程需提交哪些资料以及各项资料提交的要求</t>
  </si>
  <si>
    <t>A、</t>
  </si>
  <si>
    <t>立项意见书及策划</t>
  </si>
  <si>
    <t>立项意见书需董事长签字，立项书上各项目填写清晰明了（特别是工期的填写要明确）</t>
  </si>
  <si>
    <t>B、</t>
  </si>
  <si>
    <t>装修范围统计表</t>
  </si>
  <si>
    <t>此表格由总工室、营销、工程部、招投标部在招标策划时共同签字确认。</t>
  </si>
  <si>
    <t>此表将作为招标资料存档，请各地区公司相关部门慎重认真对待。如数据有误，相关部门责任人将进行问责考核！</t>
  </si>
  <si>
    <t>C、</t>
  </si>
  <si>
    <t>图纸</t>
  </si>
  <si>
    <t>图纸需分项目、楼栋、户型、空间分列文件包，不能散乱的任意发送。</t>
  </si>
  <si>
    <t>发给集团的大堂、电梯间、套内各户型平面图纸要框好计算套内面积的线，以及清单批注计算方式要求的计算线，以方便复核，和计算其他工程量</t>
  </si>
  <si>
    <t>D、</t>
  </si>
  <si>
    <t>工程量清单</t>
  </si>
  <si>
    <r>
      <rPr>
        <sz val="10"/>
        <rFont val="宋体"/>
        <family val="3"/>
        <charset val="134"/>
      </rPr>
      <t>尽可能的将户型列在同一个表格里，</t>
    </r>
    <r>
      <rPr>
        <sz val="10"/>
        <color indexed="10"/>
        <rFont val="宋体"/>
        <family val="3"/>
        <charset val="134"/>
      </rPr>
      <t>超过8个户型的建议分列一个表格</t>
    </r>
    <r>
      <rPr>
        <sz val="10"/>
        <rFont val="宋体"/>
        <family val="3"/>
        <charset val="134"/>
      </rPr>
      <t>。另，相同的户型例如A与B户型一模一样，就没必要A、B户型分列。</t>
    </r>
  </si>
  <si>
    <r>
      <rPr>
        <sz val="10"/>
        <rFont val="宋体"/>
        <family val="3"/>
        <charset val="134"/>
      </rPr>
      <t>清单已锁定，打印格式也已调整好，地区公司只填工程量，其余不需要动。如果有新子目发生，请先与集团对应工程师联系，如确需增加的，补充在清单最下面的</t>
    </r>
    <r>
      <rPr>
        <b/>
        <sz val="10"/>
        <rFont val="宋体"/>
        <family val="3"/>
        <charset val="134"/>
      </rPr>
      <t>补充区域</t>
    </r>
    <r>
      <rPr>
        <sz val="10"/>
        <rFont val="宋体"/>
        <family val="3"/>
        <charset val="134"/>
      </rPr>
      <t>。并将工程造价汇总进汇总表</t>
    </r>
  </si>
  <si>
    <t>如果有新子目发生，请先与集团对应工程师联系，如确需增加的，另起一个表格，分区间列项。注意将补充的工程造价汇总进汇总表。本清单已做示例，请参照大堂的补充项目操作方法。</t>
  </si>
  <si>
    <t>每个工作表的取费费率有已经与套内的费率链接好，只需调整套内的，其他的都联动。</t>
  </si>
  <si>
    <t>E</t>
  </si>
  <si>
    <t>如果为样板房项目，需提交由集团何妙龄副总裁批复的选址报告</t>
  </si>
  <si>
    <t>以上资料为批量装修招标必备资料，各地区公司提交资料时需对各项资料编号并命名，例如右侧示例。特别强调，框套内面积的图纸要单独保存在一个文件夹。各图纸要命名清晰，图纸名称与型号要与招标项目对应，否则集团有权退还资料</t>
  </si>
  <si>
    <t>编制清单要点</t>
  </si>
  <si>
    <t>工程名称、户型、楼幢、单元号的修改。</t>
  </si>
  <si>
    <t>汇总表的检查及修改（注意汇总表中套数的检查，入户门个数的修改）</t>
  </si>
  <si>
    <t>工程量的计算尽量按照清单批注的方式，以便集团检查核对。</t>
  </si>
  <si>
    <t>完成所有清单编制工作后，对重要指标进行测算，积累经验和数据。</t>
  </si>
  <si>
    <t>关于打印设置：</t>
  </si>
  <si>
    <t>1、</t>
  </si>
  <si>
    <t>页面设置：选择顶端标题行，选择单色打印，填写页眉/页脚的页码设置；</t>
  </si>
  <si>
    <t>2、</t>
  </si>
  <si>
    <t>附件的编号：</t>
  </si>
  <si>
    <t>附件1</t>
  </si>
  <si>
    <t>清单总说明</t>
  </si>
  <si>
    <t>附件2</t>
  </si>
  <si>
    <t>汇总表</t>
  </si>
  <si>
    <t>套内汇总表</t>
  </si>
  <si>
    <t>公共汇总表</t>
  </si>
  <si>
    <t>（依次为附件2-1、附件2-2、附件2-3）</t>
  </si>
  <si>
    <t>附件3</t>
  </si>
  <si>
    <t>各工程量清单</t>
  </si>
  <si>
    <t>（依次为附件3-1附件3-2，以此类推）</t>
  </si>
  <si>
    <t>附件4</t>
  </si>
  <si>
    <t>甲供料表</t>
  </si>
  <si>
    <t>3、</t>
  </si>
  <si>
    <t>所有需打印的部分，均选择“最适合行高”，不能出现打印不全的现象；</t>
  </si>
  <si>
    <t>序号</t>
  </si>
  <si>
    <t>单位工程名称</t>
  </si>
  <si>
    <t>总造价
(人民币：元）</t>
  </si>
  <si>
    <t>备注</t>
  </si>
  <si>
    <t>一</t>
  </si>
  <si>
    <t>1#中档公寓大批量装修施工工程</t>
  </si>
  <si>
    <t>二</t>
  </si>
  <si>
    <t>3#中档公寓大批量装修施工工程</t>
  </si>
  <si>
    <t>三</t>
  </si>
  <si>
    <t>1#商业走廊装修施工工程</t>
  </si>
  <si>
    <t>四</t>
  </si>
  <si>
    <t>大写：</t>
  </si>
  <si>
    <t>豪华型标准住宅及其公共配套装修工程标准清单编制说明</t>
  </si>
  <si>
    <t xml:space="preserve">    1、本清单甲方代供代扣代付材料的品牌、型号、价格为暂定，地区公司申报材料计划的时候按材料公司分区方案，结算时具体的价格、品牌、型号以现场收货单为准。</t>
  </si>
  <si>
    <t xml:space="preserve">    2、本清单的铺贴地面及墙面瓷片（石材）的水泥砂浆结合层（包含清单中单独列项的水泥砂浆找平层）的按50MM以内（含50mm）以内综合考虑，厚度超过50MM的超出部分由发包方按实结算。</t>
  </si>
  <si>
    <t xml:space="preserve">    3、本清单材料的总损耗率包含材料的开料排版损耗、加工损耗、施工损耗、运输损耗等所有一切损耗在内。其中：瓷砖（包含抛光砖）的设计排版损耗率按甲方确认的设计排版图进行计算，每栋楼每层套内各户型施工切割剩余的瓷砖（包含抛光砖）只在同一层的各户型中相互使用；除开料排版损耗外的施工损耗、运输损耗、现场加工损耗等所有一切损耗率合计为2％（不包含运输到专业加工厂进行切割磨边加工部分的加工损耗率）；需运输到专业加工厂进行切割磨边加工部分的瓷砖（包含抛光砖），此部分的加工损耗为1％。</t>
  </si>
  <si>
    <t xml:space="preserve">    4、除甲方代供代扣代付材料中的块料（铝方扣天花、抛光砖及瓷片）外，本清单中的总损耗率均为包干损耗率，结算时不调整。</t>
  </si>
  <si>
    <t xml:space="preserve">    5、所有石材均包括:开槽\磨边及图纸设计中应完成的其它内容;厨房及洗手间的石材必须进行防水保护层处理，该部分费用应包含在相应的包干单价中，结算时不再另行单独计取。</t>
  </si>
  <si>
    <t xml:space="preserve">    6、 天花吊顶包干单价均包含开孔、检修口等费用在内。</t>
  </si>
  <si>
    <t xml:space="preserve">    7、内墙乳胶漆主材基价包含底漆及面漆，其它费中包含油界面剂在内.乳胶漆主材按一底两面考虑，底漆含量：0.139kg/m2，面漆含量0.278kg/m2，此含量结算时不调整，如甲供主材价格变化，则按此含量换算主材基价，无论实际施工几底几面其他费均不调整，仅调整主材单价。</t>
  </si>
  <si>
    <t xml:space="preserve">    8、洁具人工辅材单价包含角阀、去水、排水拴、存水弯管、软管等所有辅材的供应及安装费用。</t>
  </si>
  <si>
    <t xml:space="preserve">    9、墙纸的其它费按对花、不对花综合考虑。</t>
  </si>
  <si>
    <t xml:space="preserve">    10、本清单中的天花高度若超过4.5M,需乙方另行搭设满堂红脚手架的,则天花项目的其它费另行增加18元/㎡.</t>
  </si>
  <si>
    <t xml:space="preserve">    11、本清单子目的各包干单价已包含完成该子目所包含的所有内容,不因本清单未特别注明而调整包干单价。</t>
  </si>
  <si>
    <t xml:space="preserve">    12、住宅套内装修面积计算规则为：各套公用墙（包括各套之间、各套与公共建筑间的分隔墙及外墙）的中心线所围的水平投影面积计算(中心线以外的飘窗台面积不计算装修面积)；阳台装修面积（含封闭阳台）按水平投影面积（不含外墙）的一半计算，露台不计算面积。</t>
  </si>
  <si>
    <r>
      <rPr>
        <sz val="10"/>
        <rFont val="宋体"/>
        <family val="3"/>
        <charset val="134"/>
      </rPr>
      <t xml:space="preserve">    13、本清单中的基价=主材基价+主材总损耗+其它费，该基价不含综合费、利润、税金，取费标准按本清单的取费程序表。公式中的主材基价为材料到工地价，不含卸车费；主材总损耗包含材料的卸车损耗、开料损耗、加工损耗、施工损耗、二次运输损耗等损耗在内；其它费包含人工费、机械费、辅材费、材料卸车费、材料(乙方自行采购的材料)所须的各种检测费及试验费、材料场内二次运输费、合同工期内的赶工费、施工水电费、技术措施费、文明施工费、雨季或异常气候施工措施费</t>
    </r>
    <r>
      <rPr>
        <sz val="10"/>
        <color indexed="10"/>
        <rFont val="宋体"/>
        <family val="3"/>
        <charset val="134"/>
      </rPr>
      <t>（不包含冬季施工增加费）</t>
    </r>
    <r>
      <rPr>
        <sz val="10"/>
        <rFont val="宋体"/>
        <family val="3"/>
        <charset val="134"/>
      </rPr>
      <t>、垃圾清运到甲方指定地点堆放费用、现场经费等费用。</t>
    </r>
  </si>
  <si>
    <r>
      <rPr>
        <sz val="10"/>
        <rFont val="宋体"/>
        <family val="3"/>
        <charset val="134"/>
      </rPr>
      <t xml:space="preserve">    14、本清单中的包干单价包含的内容：人工费、机械费、材料费（含代供代扣代付材料的卸车、场内运转、清点、验货、接收、保管等一切后续工作所发生的费用在内）、搭拆脚手架工料费用、石材磨边、材料加工（含甲供块料加工）、开槽、防污、防水、以及幕墙防污防腐防火防水防雷、钢型材除锈防腐费、吊装费、工程及材料(乙方自行采购的材料)所须的各种检测费及试验费（包含幕墙的“四性”试验检测费和实验的试件材料费及安装人工费）、各种材料损耗费、卸车费、材料场内二次运输费、负责其它专业承包人施工收边收口产生的费用、技术处理费、保管费、合同工期内的赶工费、施工水电费、技术措施费、已完工程及设备保护措施费、安全文明施工费、雨季或异常气候施工措施费</t>
    </r>
    <r>
      <rPr>
        <sz val="10"/>
        <color indexed="10"/>
        <rFont val="宋体"/>
        <family val="3"/>
        <charset val="134"/>
      </rPr>
      <t>（不包含冬季施工增加费）</t>
    </r>
    <r>
      <rPr>
        <sz val="10"/>
        <rFont val="宋体"/>
        <family val="3"/>
        <charset val="134"/>
      </rPr>
      <t>、成品保护费、垃圾清运到甲方指定地点堆放费用、工程完工验收前清洁费、远程施工增加费、现场经费、综合管理费、利润、税金及其他一切费用。</t>
    </r>
  </si>
  <si>
    <t xml:space="preserve">    16、取费表中的综合费包含企业的管理费、财务费用及其它按规定支付给相关部门的费用。</t>
  </si>
  <si>
    <t xml:space="preserve">    17、石材线、木饰线、石膏线等线条长度均按外边线计算。</t>
  </si>
  <si>
    <t xml:space="preserve">    18、上述包干单价已包含其它专业的收边收口及搭拆脚手架费用(特殊注明的除外)。</t>
  </si>
  <si>
    <t xml:space="preserve">    19、本清单未尽事宜或与实际施工图有冲突的，以施工图为准；清单按实际的施工图纸列项并套用本清单相应子目包干单价。</t>
  </si>
  <si>
    <r>
      <rPr>
        <sz val="9"/>
        <rFont val="宋体"/>
        <family val="3"/>
        <charset val="134"/>
      </rPr>
      <t xml:space="preserve">     20、石膏板须在</t>
    </r>
    <r>
      <rPr>
        <sz val="9"/>
        <color indexed="10"/>
        <rFont val="宋体"/>
        <family val="3"/>
        <charset val="134"/>
      </rPr>
      <t>“</t>
    </r>
    <r>
      <rPr>
        <u/>
        <sz val="9"/>
        <color indexed="10"/>
        <rFont val="宋体"/>
        <family val="3"/>
        <charset val="134"/>
      </rPr>
      <t xml:space="preserve"> 可耐福 </t>
    </r>
    <r>
      <rPr>
        <sz val="9"/>
        <color indexed="10"/>
        <rFont val="宋体"/>
        <family val="3"/>
        <charset val="134"/>
      </rPr>
      <t>”、“</t>
    </r>
    <r>
      <rPr>
        <u/>
        <sz val="9"/>
        <color indexed="10"/>
        <rFont val="宋体"/>
        <family val="3"/>
        <charset val="134"/>
      </rPr>
      <t xml:space="preserve"> 拉法基（博罗、博罗拉法基）</t>
    </r>
    <r>
      <rPr>
        <sz val="9"/>
        <color indexed="10"/>
        <rFont val="宋体"/>
        <family val="3"/>
        <charset val="134"/>
      </rPr>
      <t>”、“</t>
    </r>
    <r>
      <rPr>
        <u/>
        <sz val="9"/>
        <color indexed="10"/>
        <rFont val="宋体"/>
        <family val="3"/>
        <charset val="134"/>
      </rPr>
      <t xml:space="preserve"> 泰山</t>
    </r>
    <r>
      <rPr>
        <sz val="9"/>
        <color indexed="10"/>
        <rFont val="宋体"/>
        <family val="3"/>
        <charset val="134"/>
      </rPr>
      <t>”、“</t>
    </r>
    <r>
      <rPr>
        <u/>
        <sz val="9"/>
        <color indexed="10"/>
        <rFont val="宋体"/>
        <family val="3"/>
        <charset val="134"/>
      </rPr>
      <t xml:space="preserve"> 杰森 </t>
    </r>
    <r>
      <rPr>
        <sz val="9"/>
        <color indexed="10"/>
        <rFont val="宋体"/>
        <family val="3"/>
        <charset val="134"/>
      </rPr>
      <t>”、“</t>
    </r>
    <r>
      <rPr>
        <u/>
        <sz val="9"/>
        <color indexed="10"/>
        <rFont val="宋体"/>
        <family val="3"/>
        <charset val="134"/>
      </rPr>
      <t>圣戈班杰科</t>
    </r>
    <r>
      <rPr>
        <sz val="9"/>
        <color indexed="10"/>
        <rFont val="宋体"/>
        <family val="3"/>
        <charset val="134"/>
      </rPr>
      <t>”</t>
    </r>
    <r>
      <rPr>
        <sz val="9"/>
        <rFont val="宋体"/>
        <family val="3"/>
        <charset val="134"/>
      </rPr>
      <t>中选择一个进行采购;龙骨须在</t>
    </r>
    <r>
      <rPr>
        <u/>
        <sz val="9"/>
        <color indexed="10"/>
        <rFont val="宋体"/>
        <family val="3"/>
        <charset val="134"/>
      </rPr>
      <t>“ 可耐福 ”</t>
    </r>
    <r>
      <rPr>
        <sz val="9"/>
        <color indexed="10"/>
        <rFont val="宋体"/>
        <family val="3"/>
        <charset val="134"/>
      </rPr>
      <t>、</t>
    </r>
    <r>
      <rPr>
        <u/>
        <sz val="9"/>
        <color indexed="10"/>
        <rFont val="宋体"/>
        <family val="3"/>
        <charset val="134"/>
      </rPr>
      <t>“ 拉法基（博罗、博罗拉法基）”</t>
    </r>
    <r>
      <rPr>
        <sz val="9"/>
        <color indexed="10"/>
        <rFont val="宋体"/>
        <family val="3"/>
        <charset val="134"/>
      </rPr>
      <t>、</t>
    </r>
    <r>
      <rPr>
        <u/>
        <sz val="9"/>
        <color indexed="10"/>
        <rFont val="宋体"/>
        <family val="3"/>
        <charset val="134"/>
      </rPr>
      <t>“ 泰山”</t>
    </r>
    <r>
      <rPr>
        <sz val="9"/>
        <color indexed="10"/>
        <rFont val="宋体"/>
        <family val="3"/>
        <charset val="134"/>
      </rPr>
      <t>、</t>
    </r>
    <r>
      <rPr>
        <u/>
        <sz val="9"/>
        <color indexed="10"/>
        <rFont val="宋体"/>
        <family val="3"/>
        <charset val="134"/>
      </rPr>
      <t>“ 杰森”</t>
    </r>
    <r>
      <rPr>
        <sz val="9"/>
        <color indexed="10"/>
        <rFont val="宋体"/>
        <family val="3"/>
        <charset val="134"/>
      </rPr>
      <t>、</t>
    </r>
    <r>
      <rPr>
        <u/>
        <sz val="9"/>
        <color indexed="10"/>
        <rFont val="宋体"/>
        <family val="3"/>
        <charset val="134"/>
      </rPr>
      <t>“圣戈班杰科”</t>
    </r>
    <r>
      <rPr>
        <sz val="9"/>
        <rFont val="宋体"/>
        <family val="3"/>
        <charset val="134"/>
      </rPr>
      <t>中选择一个进行采购，选用的龙骨须满足国家相关施工规范要求;腻子粉须在</t>
    </r>
    <r>
      <rPr>
        <u/>
        <sz val="9"/>
        <color indexed="10"/>
        <rFont val="宋体"/>
        <family val="3"/>
        <charset val="134"/>
      </rPr>
      <t>“康冠” 、 “ 乔邦”</t>
    </r>
    <r>
      <rPr>
        <sz val="9"/>
        <color indexed="10"/>
        <rFont val="宋体"/>
        <family val="3"/>
        <charset val="134"/>
      </rPr>
      <t>、</t>
    </r>
    <r>
      <rPr>
        <u/>
        <sz val="9"/>
        <color indexed="10"/>
        <rFont val="宋体"/>
        <family val="3"/>
        <charset val="134"/>
      </rPr>
      <t>“嘉宝莉”</t>
    </r>
    <r>
      <rPr>
        <sz val="9"/>
        <color indexed="10"/>
        <rFont val="宋体"/>
        <family val="3"/>
        <charset val="134"/>
      </rPr>
      <t>、</t>
    </r>
    <r>
      <rPr>
        <u/>
        <sz val="9"/>
        <color indexed="10"/>
        <rFont val="宋体"/>
        <family val="3"/>
        <charset val="134"/>
      </rPr>
      <t>“三棵树 ”</t>
    </r>
    <r>
      <rPr>
        <sz val="9"/>
        <color indexed="10"/>
        <rFont val="宋体"/>
        <family val="3"/>
        <charset val="134"/>
      </rPr>
      <t>、</t>
    </r>
    <r>
      <rPr>
        <u/>
        <sz val="9"/>
        <color indexed="10"/>
        <rFont val="宋体"/>
        <family val="3"/>
        <charset val="134"/>
      </rPr>
      <t>“多乐士”</t>
    </r>
    <r>
      <rPr>
        <sz val="9"/>
        <rFont val="宋体"/>
        <family val="3"/>
        <charset val="134"/>
      </rPr>
      <t>中选择一个进行采购。防潮纸面石膏板价格适用耐水纸面石膏板价格</t>
    </r>
  </si>
  <si>
    <t xml:space="preserve">    21、如装修施工图中未显示出地面装饰层厚度，计算墙面装饰层的工程量时，应扣减地面装饰层的厚度（地热地区还需扣除地热层厚度）。标高尺寸标示为净空尺寸的不扣除。</t>
  </si>
  <si>
    <t xml:space="preserve">    22、洗手间聚氨酯柔性防水实际施工的每平米消耗量按供应厂商的说明或推荐用量计取，清单中的其它费不因每平米消耗量调整或施工片数增减而作任何调整。</t>
  </si>
  <si>
    <t xml:space="preserve">    23、本清单税率为暂定，具体按照当地造价部门公布的税率调整。税金包含：营业税＼城市建设维护费＼教育费附加＼地方教育附加，如国家对税金有调整的以国家最新频发的最新规定为准．</t>
  </si>
  <si>
    <t xml:space="preserve">    24、甲方有权根据需要将清单中部分非甲供子目的主材改为甲供，如相应子目的主材改为“主材甲方代供代扣代付”类别，则按现场收货单的主材单价替换本清单相应子目的“主材基价”，“主材总损耗率”及“其他费”不变，并按本清单的计算公式换算出对应项目的“金额”，工程项目取费程序及费率按“甲方代供代扣代付材料由施工单位负责施工的分部分项工程取费程序”执行， 乙方投标报价时已考虑此因素，不会藉此提出额外索赔要求。</t>
  </si>
  <si>
    <t xml:space="preserve">    25、 天花及墙面乳胶漆项目在膩子基层全部完成并经甲方验收合格后可申请支付工程款，膩子基层项目的工程进度款按天花及墙面乳胶漆项目的其它费的60%支付工程款。</t>
  </si>
  <si>
    <t xml:space="preserve">    26、本清单中的线管安装其它费是针对大面积施工情况进行定价的。若是主体单位预留的位置不对，需进行局部移位调整的，则线管安装的其它费由双方另外协商定价</t>
  </si>
  <si>
    <t xml:space="preserve">   27、工程量计算说明：</t>
  </si>
  <si>
    <r>
      <rPr>
        <sz val="9"/>
        <rFont val="宋体"/>
        <family val="3"/>
        <charset val="134"/>
      </rPr>
      <t>　　1）、</t>
    </r>
    <r>
      <rPr>
        <sz val="9"/>
        <rFont val="宋体"/>
        <family val="3"/>
        <charset val="134"/>
      </rPr>
      <t xml:space="preserve">乳胶漆的工程量按见光展开面积计算。其中： </t>
    </r>
    <r>
      <rPr>
        <sz val="9"/>
        <rFont val="宋体"/>
        <family val="3"/>
        <charset val="134"/>
      </rPr>
      <t>石膏角线的单价不包含乳胶漆，石膏角线乳胶漆的单价按天花或墙面乳胶漆项目的单价执行。石膏角线乳胶漆的工程量按石膏线立面高度投影尺寸乘以延长米计算工程量，石膏平线乳胶漆的工程量按石膏平线水平投影尺寸乘以延长米计算工程量。</t>
    </r>
  </si>
  <si>
    <t>　　2）、 天花吊顶按水平投影面积计算工程量，不扣除天花与墙面阴角位的角线水平宽度投影位重叠的面积和天花吊顶内的平面装饰线位重叠的天花吊顶面积。计算造型天花吊项的面积时需扣除造型天花中没有吊顶直接采用原混凝土楼板天花部分的面积；计算中间没有吊项直接采用原混凝土楼板天花的造型天花面积时，当有灯槽且灯槽位有角线的，以不包含角线的灯槽外边线计算工程量。</t>
  </si>
  <si>
    <t>　　4）、 门槛石按施工图纸中的地花图所标示的尺寸计算。</t>
  </si>
  <si>
    <t>　　5）、 洗手间与厨房墙面瓷砖阴角位两块瓷砖交接重叠不见光位置的瓷砖面积不计入瓷砖的工程量，该部分面积计入瓷砖设计排版的损耗率。</t>
  </si>
  <si>
    <t>　　6）、 计算木地板面积时，不扣除与墙体交接位预留的木地板伸缩缝的面积。</t>
  </si>
  <si>
    <t xml:space="preserve">    7）、以“M”为计算单位的波打线，计算工程量时以波打线外边线的延长米计算其工程量。</t>
  </si>
  <si>
    <t xml:space="preserve">    8）、代供代扣代付材料中的人造窗台石和人造洗手台面石的工程量计算规则按材料公司与材料厂家采购合同中约定的计算规则进行计算。代供代扣代付且由厂家负责安装部分项目的工程量按材料公司与材料厂家的结算工程量进行结算。</t>
  </si>
  <si>
    <t>　　9）、本工程量清单中未特别说明的，则按国家发布的最新《建设工程工程量清单计价规范》中的计算规则计取工程量。</t>
  </si>
  <si>
    <t>附件3-1</t>
  </si>
  <si>
    <t>套数（套/樘）</t>
  </si>
  <si>
    <t>面积造价指标(元/㎡)</t>
  </si>
  <si>
    <t>面积 (㎡)</t>
  </si>
  <si>
    <t>住宅室内装修工程</t>
  </si>
  <si>
    <t>首层住户大堂及电梯间装修工程</t>
  </si>
  <si>
    <t>扣除样板房已装修面积</t>
  </si>
  <si>
    <t>标准层电梯厅装修工程</t>
  </si>
  <si>
    <t>扣除样板房已装修</t>
  </si>
  <si>
    <t>地下室电梯厅装修工程</t>
  </si>
  <si>
    <t>五</t>
  </si>
  <si>
    <t>布草间</t>
  </si>
  <si>
    <t>六</t>
  </si>
  <si>
    <t>入户门及门锁（装修单位安装）</t>
  </si>
  <si>
    <t>七</t>
  </si>
  <si>
    <t>工程总造价：七＝一+二+三+四+五+六</t>
  </si>
  <si>
    <t>附件3-2</t>
  </si>
  <si>
    <t>栋号</t>
  </si>
  <si>
    <t>楼层</t>
  </si>
  <si>
    <t>户型</t>
  </si>
  <si>
    <t>单元</t>
  </si>
  <si>
    <t>套数</t>
  </si>
  <si>
    <t>单套套内面积（㎡）</t>
  </si>
  <si>
    <t>面积小计（㎡）</t>
  </si>
  <si>
    <t>单套装修造价(元)</t>
  </si>
  <si>
    <t>装修总造价(元)</t>
  </si>
  <si>
    <t>毛坯房数</t>
  </si>
  <si>
    <t>套内面积</t>
  </si>
  <si>
    <t>阳台面积</t>
  </si>
  <si>
    <t>面积</t>
  </si>
  <si>
    <t>1#</t>
  </si>
  <si>
    <t>2至16层</t>
  </si>
  <si>
    <t>A</t>
  </si>
  <si>
    <t>1#楼1层为商业、1#楼实体样板房（914A户型、917C户型）已装修</t>
  </si>
  <si>
    <t>敞开式厨房</t>
  </si>
  <si>
    <t>C</t>
  </si>
  <si>
    <t>厨房推拉门</t>
  </si>
  <si>
    <t>B/B1</t>
  </si>
  <si>
    <t>厨房单开门</t>
  </si>
  <si>
    <t>A1</t>
  </si>
  <si>
    <t>2至12层</t>
  </si>
  <si>
    <t>F</t>
  </si>
  <si>
    <t>13层</t>
  </si>
  <si>
    <t>H</t>
  </si>
  <si>
    <t>2至15层</t>
  </si>
  <si>
    <t>D</t>
  </si>
  <si>
    <t>14层</t>
  </si>
  <si>
    <t>I</t>
  </si>
  <si>
    <t>3至12层</t>
  </si>
  <si>
    <t>G</t>
  </si>
  <si>
    <t>15层</t>
  </si>
  <si>
    <t>J</t>
  </si>
  <si>
    <t>16层</t>
  </si>
  <si>
    <t>K</t>
  </si>
  <si>
    <t>2层</t>
  </si>
  <si>
    <t>G1</t>
  </si>
  <si>
    <t>小计</t>
  </si>
  <si>
    <t>A户型</t>
  </si>
  <si>
    <t>C户型</t>
  </si>
  <si>
    <t>B/B1户型</t>
  </si>
  <si>
    <t>F户型</t>
  </si>
  <si>
    <t>H户型</t>
  </si>
  <si>
    <t>D户型</t>
  </si>
  <si>
    <t>I户型</t>
  </si>
  <si>
    <t>E户型</t>
  </si>
  <si>
    <t>G户型</t>
  </si>
  <si>
    <t>J户型</t>
  </si>
  <si>
    <t>K户型</t>
  </si>
  <si>
    <t>A1户型</t>
  </si>
  <si>
    <t>G1户型</t>
  </si>
  <si>
    <t>附件3-3</t>
  </si>
  <si>
    <t>单套面积（㎡）</t>
  </si>
  <si>
    <t>单套造价</t>
  </si>
  <si>
    <t>单方造价</t>
  </si>
  <si>
    <t>总造价</t>
  </si>
  <si>
    <t>首层住户大堂装修工程（含走廊部分）</t>
  </si>
  <si>
    <t>门廊面积</t>
  </si>
  <si>
    <t>标准层电梯厅装修工程（含走廊部分）</t>
  </si>
  <si>
    <t>1#（2、3层）</t>
  </si>
  <si>
    <t>1#（9层）</t>
  </si>
  <si>
    <t>1#（4-8、10-12层）</t>
  </si>
  <si>
    <t>1#（13层）</t>
  </si>
  <si>
    <t>1#（14层）</t>
  </si>
  <si>
    <t>1#（15层）</t>
  </si>
  <si>
    <t>1#（16层）</t>
  </si>
  <si>
    <t>公共部分造价合计</t>
  </si>
  <si>
    <t>2、3层</t>
  </si>
  <si>
    <t>9层</t>
  </si>
  <si>
    <t>单开房间数（有单开门房间的数量）</t>
  </si>
  <si>
    <t>子母房间数（有子母门房间的数量）</t>
  </si>
  <si>
    <t>卫生间数（台下盆）</t>
  </si>
  <si>
    <t>卫生间数（半台盆）</t>
  </si>
  <si>
    <t>厨房（推拉）</t>
  </si>
  <si>
    <t>厨房（单开）</t>
  </si>
  <si>
    <t>附件4-1</t>
  </si>
  <si>
    <t>清单版本:2015-9-6</t>
  </si>
  <si>
    <t>工  程  项  目</t>
  </si>
  <si>
    <t>单位</t>
  </si>
  <si>
    <t>各户型单套工程量</t>
  </si>
  <si>
    <t>基价</t>
  </si>
  <si>
    <t xml:space="preserve">其中 </t>
  </si>
  <si>
    <t>各户型单套金额</t>
  </si>
  <si>
    <t>主材基价</t>
  </si>
  <si>
    <t>材料总损耗率%</t>
  </si>
  <si>
    <t>其它费</t>
  </si>
  <si>
    <t>②＝③+③*④%+⑤</t>
  </si>
  <si>
    <t>甲供项目</t>
  </si>
  <si>
    <t>甲供主材</t>
  </si>
  <si>
    <t>a</t>
  </si>
  <si>
    <t>b</t>
  </si>
  <si>
    <t>c</t>
  </si>
  <si>
    <t>d</t>
  </si>
  <si>
    <t>e</t>
  </si>
  <si>
    <t>f</t>
  </si>
  <si>
    <t>g</t>
  </si>
  <si>
    <t>h</t>
  </si>
  <si>
    <t>③</t>
  </si>
  <si>
    <t>④</t>
  </si>
  <si>
    <t>⑤</t>
  </si>
  <si>
    <t>a*②</t>
  </si>
  <si>
    <t>b*②</t>
  </si>
  <si>
    <t>c*②</t>
  </si>
  <si>
    <t>d*②</t>
  </si>
  <si>
    <t>e*②</t>
  </si>
  <si>
    <t>f*②</t>
  </si>
  <si>
    <t>g*②</t>
  </si>
  <si>
    <t>h*②</t>
  </si>
  <si>
    <t>客厅、餐厅、走廊</t>
  </si>
  <si>
    <t>天花工程</t>
  </si>
  <si>
    <t>轻钢龙骨9mm厚纸面耐水石膏板平级天花（含灯位开孔）</t>
  </si>
  <si>
    <t>㎡</t>
  </si>
  <si>
    <t>轻钢龙骨9mm厚纸面耐水石膏板跌一级天花（含灯位开孔，按投影面积计）</t>
  </si>
  <si>
    <t>备</t>
  </si>
  <si>
    <t>200mm宽天花直线灯槽（仅指单身公寓）</t>
  </si>
  <si>
    <t>m</t>
  </si>
  <si>
    <t xml:space="preserve">客厅、餐厅150mm高石膏角线 </t>
  </si>
  <si>
    <t xml:space="preserve">客厅、餐厅135mm高石膏角线 </t>
  </si>
  <si>
    <t xml:space="preserve">客厅、餐厅120mm高石膏角线 </t>
  </si>
  <si>
    <t xml:space="preserve">100mm高石膏角线 </t>
  </si>
  <si>
    <t xml:space="preserve">50mm宽石膏平线 </t>
  </si>
  <si>
    <t xml:space="preserve">65mm宽石膏平线 </t>
  </si>
  <si>
    <t xml:space="preserve">80mm高石膏角线 </t>
  </si>
  <si>
    <t>天花扇灰油白色乳胶漆（按展开面积，一底二面,包含石膏角线）</t>
  </si>
  <si>
    <t>主材甲方代供代扣代付</t>
  </si>
  <si>
    <t>天花扇灰油白色乳胶漆（按展开面积，一底二面,包含石膏角线）【采用N型耐水腻子】</t>
  </si>
  <si>
    <t>B</t>
  </si>
  <si>
    <t>地面工程</t>
  </si>
  <si>
    <t>客厅、走道、餐厅地面铺贴800×800抛釉砖（800*800）</t>
  </si>
  <si>
    <t>描述修改</t>
  </si>
  <si>
    <t>地面铺贴120mm宽（或110mm宽）深啡色抛光砖波打线（CT-02）（玄关）(成品打线,由厂家负责开界加工)</t>
  </si>
  <si>
    <t>国产皇室啡门槛石（无磨边）</t>
  </si>
  <si>
    <t>国产皇室啡门槛石（单面磨边）</t>
  </si>
  <si>
    <t>国产皇室啡门槛石（双面磨边）</t>
  </si>
  <si>
    <t>15mm厚皇室啡人造石门槛石铺贴连磨边（由石材厂负责磨边，主材基价包含磨边加工费在内）</t>
  </si>
  <si>
    <t>15mm厚皇室啡人造石门槛石铺贴连磨边（单边磨边）（由施工单位负责磨边，主材基价不包含磨边加工费在内）</t>
  </si>
  <si>
    <t>15mm厚皇室啡人造石门槛石铺贴连磨边（双面磨边）（由施工单位负责磨边，主材基价不包含磨边加工费在内）</t>
  </si>
  <si>
    <t>15mm厚皇室啡人造石门槛石（无磨边）</t>
  </si>
  <si>
    <t>玄关地面斜铺400*400米黄色抛光砖（原材规格为800*800，施工单位负责加工为400*400，其他费已含开介磨边加工费。）</t>
  </si>
  <si>
    <t>玄关地面斜铺400*400米黄色抛光砖</t>
  </si>
  <si>
    <t>地面浅抛光砖波打线铺贴（原材规格为800*800，施工单位负责加工切割、磨边，其他费已含开介磨边加工费。）</t>
  </si>
  <si>
    <t>墙面工程</t>
  </si>
  <si>
    <t>墙面扇灰油米黄色乳胶漆 (不分颜色，统一报价，一底二面,按展开面积，包含石膏角线)</t>
  </si>
  <si>
    <t>墙面扇灰油米黄色乳胶漆 (不分颜色，统一报价，一底二面,按展开面积，包含石膏角线)【采用N型耐水腻子】</t>
  </si>
  <si>
    <t>电视墙墙纸（含基层刮腻子，塑油）</t>
  </si>
  <si>
    <t>电视墙100mm宽实木饰线含实木基座（含收口线、油漆塑色，含木基层）</t>
  </si>
  <si>
    <t>金丝柚实木线条</t>
  </si>
  <si>
    <t>调</t>
  </si>
  <si>
    <t>电视墙100mm宽成品实木复合饰木线（其它费包含29mm宽12厘夹板基层）</t>
  </si>
  <si>
    <t>电视墙100mm宽150mm高成品实木复合底座（其它费包含29mm宽12厘夹板基层）</t>
  </si>
  <si>
    <t>个</t>
  </si>
  <si>
    <t>100*800深啡色抛光砖踢脚线（CT-02）</t>
  </si>
  <si>
    <t>15mm厚人造石窗台连磨边(平窗台)（由石材厂负责磨边，主材基价不包含磨边加工费在内）</t>
  </si>
  <si>
    <t>15mm厚人造石窗台连磨边(飘窗台)（由石材厂负责磨边，主材基价不包含磨边加工费在内）</t>
  </si>
  <si>
    <t>人造石窗台磨边加工费（包含加厚边人造石材料费在内）</t>
  </si>
  <si>
    <t>飘窗栏杆含扶手（隐形）</t>
  </si>
  <si>
    <t>门洞口侧边埃及米黄石粘贴（仅指单身公寓）</t>
  </si>
  <si>
    <t>2015-7-30审核</t>
  </si>
  <si>
    <t>增加</t>
  </si>
  <si>
    <t>红山玉窗台石(仅仅个别地区使用）</t>
  </si>
  <si>
    <t>红山玉人造石窗台连磨边(平窗台)（由石材厂负责磨边，主材基价不包含磨边加工费在内）</t>
  </si>
  <si>
    <t>红山玉人造石窗台连磨边(飘窗台)（由石材厂负责磨边，主材基价不包含磨边加工费在内）</t>
  </si>
  <si>
    <t>红山玉窗台石双层边粘接、磨边费</t>
  </si>
  <si>
    <t>主、次卧房、书房</t>
  </si>
  <si>
    <t>轻钢龙骨9mm厚纸面耐水石膏板平级天花（含灯位开孔，按投影面积计）</t>
  </si>
  <si>
    <t xml:space="preserve">100mm高石膏线 </t>
  </si>
  <si>
    <t>天花扇灰油白色乳胶漆（按展开面积，一底二面,包含石膏角线）（PA-01 底漆NP-P102、面漆NP-T201）</t>
  </si>
  <si>
    <t>天花扇灰油白色乳胶漆（按展开面积，一底二面,包含石膏角线）（PA-01 底漆NP-P102、面漆NP-T201）【采用N型耐水腻子】</t>
  </si>
  <si>
    <t>订做100mm高圆形石膏角线</t>
  </si>
  <si>
    <t>订做50mm宽圆形石膏平线</t>
  </si>
  <si>
    <t>地面水泥砂浆找平层</t>
  </si>
  <si>
    <t>铺贴复合实木地板(含2厚防潮珍珠棉层、9MM夹板垫层、0.16mmPE塑胶薄膜防潮层、水泥钉固定处理)（非地热地区）</t>
  </si>
  <si>
    <t>铺贴复合实木地板(含2厚防潮珍珠棉层、0.16mmPE塑胶薄膜防潮层)（地热地区）</t>
  </si>
  <si>
    <t>复合实木地板100高配套地脚线</t>
  </si>
  <si>
    <t>墙面扇灰油高级米黄色乳胶漆 (不分颜色，统一报价，一底二面,按展开面积，包含石膏角线)</t>
  </si>
  <si>
    <t>墙面扇灰油高级米黄色乳胶漆 (不分颜色，统一报价，一底二面,按展开面积，包含石膏角线)【采用N型耐水腻子】</t>
  </si>
  <si>
    <t>15mm厚人造石窗台连磨边(平窗台)（由石材厂负责磨边，主材基价包不含磨边加工费在内）</t>
  </si>
  <si>
    <t>2015-8-28审核</t>
  </si>
  <si>
    <t>飘窗台47*63（卡口扁铁处宽度为30mm宽）云南冷云杉木扶手制作、安装、含油漆索色（喷有色清漆）等，木扶手及弯头索色与木地板颜色相同，主材价包含油漆。具体详见甲方下发图纸做法及所封材料样板
1.预埋铁件等
2.栏杆扶手及转角制安场（内）外制作、运输、现场安装，栏杆扶手详见设计及具体封样样板。
3.喷有色清漆等
4.成品保护
5.材料二次转运上楼，不分楼层、楼栋统一报价；
6.工程量计算按木扶手及转角中心线计算，若有嵌入墙体部分不计算，转角打磨小圆弧的所有费用已包含在内，不再另行计取任何费用；</t>
  </si>
  <si>
    <t>卫生间</t>
  </si>
  <si>
    <t>350*350*0.6mm铝扣板天花（含灯位开孔，按投影面积计）（主材费包含龙骨、收边角线、拉杆）</t>
  </si>
  <si>
    <t>轻钢龙骨8mm厚硅酸钙板跌级天花（含灯位开孔，按投影面积计）</t>
  </si>
  <si>
    <t>天花扇灰油白色哑光外墙漆（按展开面积，包含石膏角线,一底二面）</t>
  </si>
  <si>
    <t>天花扇灰油白色哑光外墙漆（按展开面积，包含石膏角线,一底二面）【采用N型耐水腻子】</t>
  </si>
  <si>
    <t>398*398mm防滑砖铺贴</t>
  </si>
  <si>
    <t>地面柔性防水（1.5厚合成高分子防水涂料，四周沿墙上翻150高，按展开面积计算）</t>
  </si>
  <si>
    <t>水泥砂浆保护及找坡（最薄处20ＭＭ厚）</t>
  </si>
  <si>
    <t>地面水泥基刚性防水</t>
  </si>
  <si>
    <t>洗手间沉箱1：8水泥陶粒回填</t>
  </si>
  <si>
    <r>
      <rPr>
        <sz val="10"/>
        <rFont val="宋体"/>
        <family val="3"/>
        <charset val="134"/>
      </rPr>
      <t>m</t>
    </r>
    <r>
      <rPr>
        <vertAlign val="superscript"/>
        <sz val="10"/>
        <rFont val="宋体"/>
        <family val="3"/>
        <charset val="134"/>
      </rPr>
      <t>3</t>
    </r>
  </si>
  <si>
    <t>m3</t>
  </si>
  <si>
    <t>60厚C15细石混凝土找平层</t>
  </si>
  <si>
    <t>15mm厚人造石飘窗台连磨边(含加厚边)（由石材厂负责磨边，主材基价不包含磨边加工费在内）</t>
  </si>
  <si>
    <t>15mm厚人造石平窗台连磨边(含加厚边)（由石材厂负责磨边，主材基价不包含磨边加工费在内）</t>
  </si>
  <si>
    <t>墙面300×600mm墙砖铺贴</t>
  </si>
  <si>
    <t>镜柜</t>
  </si>
  <si>
    <t>主材甲方代供代扣代付，由厂家负责制作及安装</t>
  </si>
  <si>
    <t>2015-8-4审核</t>
  </si>
  <si>
    <t>8厚硅酸钙板底面贴5厘银镜连四周银色镜框线</t>
  </si>
  <si>
    <t>600MM黑金花人造石洗手台制安(含石材磨边、挡水、开孔。不含台下柜、包含角钢架连扫防锈漆、人造石洗手台面、裙边石、挡水石组装宽黑金花人造石洗手台材料及安装(含石材磨边、挡水、开孔）W600*L850mm</t>
  </si>
  <si>
    <t>套</t>
  </si>
  <si>
    <t>600MM黑金花人造石洗手台制安(含石材磨边、挡水、开孔。不含台下柜、包含角钢架连扫防锈漆、人造石洗手台面、裙边石、挡水石组装宽黑金花人造石洗手台材料及安装(含石材磨边、挡水、开孔）W600*L950mm</t>
  </si>
  <si>
    <t>600MM黑金花人造石洗手台制安(含石材磨边、挡水、开孔。不含台下柜、包含角钢架连扫防锈漆、人造石洗手台面、裙边石、挡水石组装宽黑金花人造石洗手台材料及安装(含石材磨边、挡水、开孔）W600*L1050mm</t>
  </si>
  <si>
    <t>450MM宽黑金花人造石洗手台制安(含石材磨边、挡水、开孔。不含台下柜、包含角钢架连扫防锈漆、人造石洗手台面、裙边石、挡水石组装宽黑金花人造石洗手台材料及安装(含石材磨边、挡水、开孔）W450*L850mm</t>
  </si>
  <si>
    <t>450MM宽黑金花人造石洗手台制安(含石材磨边、挡水、开孔。不含台下柜、包含角钢架连扫防锈漆、人造石洗手台面、裙边石、挡水石组装宽黑金花人造石洗手台材料及安装(含石材磨边、挡水、开孔）W450*L950mm</t>
  </si>
  <si>
    <t>450MM宽黑金花人造石洗手台制安(含石材磨边、挡水、开孔。不含台下柜、包含角钢架连扫防锈漆、人造石洗手台面、裙边石、挡水石组装宽黑金花人造石洗手台材料及安装(含石材磨边、挡水、开孔）W450*L1050mm</t>
  </si>
  <si>
    <t>黑金花人造石洗手台制安(含石材磨边、挡水)。不含台下柜、包含角钢架连扫防锈漆、人造石洗手台面、裙边石、挡水石组装宽黑金花人造石洗手台材料及安装(含石材磨边、挡水）</t>
  </si>
  <si>
    <t>台下盆、龙头开孔及磨边加工（由厂家负责开孔磨边）</t>
  </si>
  <si>
    <t>主材甲方代供代扣代付，按B类取费</t>
  </si>
  <si>
    <t>台上盆开孔及磨边加工（由厂家负责开孔磨边）</t>
  </si>
  <si>
    <t>浴室柜</t>
  </si>
  <si>
    <t>基价含安装费</t>
  </si>
  <si>
    <t>40×60mm人造石沐浴间隔断基座(含石材磨边)（由厂家负责安装）</t>
  </si>
  <si>
    <t>40×60mm人造石沐浴间隔断基座(含石材磨边)（由施工单位负责安装）</t>
  </si>
  <si>
    <t>墙面水泥基刚性防水</t>
  </si>
  <si>
    <t>灰沙砖砌筑砖墙</t>
  </si>
  <si>
    <t>M3</t>
  </si>
  <si>
    <t>该基价已包括材料费、人工费、机械费。(包含包污立管)。</t>
  </si>
  <si>
    <t>水泥砂浆批荡</t>
  </si>
  <si>
    <t>卫生间排水立管检修口（做法详见大样）（含12MM厚夹板、玻璃胶封口、石材胶、五金等，不包含墙面砖）</t>
  </si>
  <si>
    <t>处</t>
  </si>
  <si>
    <t>该基价已包括材料费、人工费、机械费,不包含表面装饰面层</t>
  </si>
  <si>
    <t>170MM（或150MM））高国产皇室啡石门套基座</t>
  </si>
  <si>
    <t>170MM高皇室啡人造石门套基座</t>
  </si>
  <si>
    <t>红山玉洗手台（仅仅个别地区使用）</t>
  </si>
  <si>
    <t>600MM红山玉人造石洗手台制安(含石材磨边、挡水、开孔。不含台下柜、包含角钢架连扫防锈漆、人造石洗手台面、裙边石、挡水石组装宽黑金花人造石洗手台材料及安装(含石材磨边、挡水、开孔）W600*L850mm</t>
  </si>
  <si>
    <t>600MM红山玉人造石洗手台制安(含石材磨边、挡水、开孔。不含台下柜、包含角钢架连扫防锈漆、人造石洗手台面、裙边石、挡水石组装宽黑金花人造石洗手台材料及安装(含石材磨边、挡水、开孔）W600*L950mm</t>
  </si>
  <si>
    <t>600MM红山玉人造石洗手台制安(含石材磨边、挡水、开孔。不含台下柜、包含角钢架连扫防锈漆、人造石洗手台面、裙边石、挡水石组装宽黑金花人造石洗手台材料及安装(含石材磨边、挡水、开孔）W600*L1050mm</t>
  </si>
  <si>
    <t>450MM宽红山玉人造石洗手台制安(含石材磨边、挡水、开孔。不含台下柜、包含角钢架连扫防锈漆、人造石洗手台面、裙边石、挡水石组装宽黑金花人造石洗手台材料及安装(含石材磨边、挡水、开孔）W450*L850mm</t>
  </si>
  <si>
    <t>450MM宽红山玉人造石洗手台制安(含石材磨边、挡水、开孔。不含台下柜、包含角钢架连扫防锈漆、人造石洗手台面、裙边石、挡水石组装宽黑金花人造石洗手台材料及安装(含石材磨边、挡水、开孔）W450*L950mm</t>
  </si>
  <si>
    <t>450MM宽红山玉人造石洗手台制安(含石材磨边、挡水、开孔。不含台下柜、包含角钢架连扫防锈漆、人造石洗手台面、裙边石、挡水石组装宽黑金花人造石洗手台材料及安装(含石材磨边、挡水、开孔）W450*L1050mm</t>
  </si>
  <si>
    <t>（台上盆）红山玉人造石洗手台制安(含石材磨边、挡水)。不含台下柜、包含角钢架连扫防锈漆、人造石洗手台面、裙边石、挡水石组装、、人造石洗手台材料及安装(含石材磨边、挡水），主材价含红山玉人造石抛光费、磨边费、双层边粘贴费、红外线桥切费，打孔费另计</t>
  </si>
  <si>
    <t>（台下盆）红山玉人造石洗手台制安(含石材磨边、挡水)。不含台下柜、包含角钢架连扫防锈漆、人造石洗手台面、裙边石、挡水石组装、、人造石洗手台材料及安装(含石材磨边、挡水），主材价含红山玉人造石抛光费、磨边费、双层边粘贴费、红外线桥切费，打孔费另计</t>
  </si>
  <si>
    <t>红山玉人造石洗手台台下盆、龙头开孔及磨边加工（由厂家负责开孔磨边）</t>
  </si>
  <si>
    <t>红山玉人造石洗手台台上盆、龙头开孔及磨边加工（由厂家负责开孔磨边）</t>
  </si>
  <si>
    <t>清单位置调整</t>
  </si>
  <si>
    <t>卫浴</t>
  </si>
  <si>
    <t>钢化清玻璃沐浴房隔断连门  （屏风型、一字型，主材含导轨，含相关配件，不含底盘）</t>
  </si>
  <si>
    <t>洗脸盆（台下盆）</t>
  </si>
  <si>
    <t>主材甲方代供代扣代付，其它费含陶瓷阀心角阀、去水材料费及安装费。</t>
  </si>
  <si>
    <t>洗脸盆（半台盆）</t>
  </si>
  <si>
    <t xml:space="preserve">座便器连安装  </t>
  </si>
  <si>
    <t>主材甲方代供代扣代付，其它费含角阀材料费及安装费。</t>
  </si>
  <si>
    <t>花洒升降杆</t>
  </si>
  <si>
    <t>洗脸盆龙头</t>
  </si>
  <si>
    <t>淋浴龙头及花洒</t>
  </si>
  <si>
    <t xml:space="preserve">厕纸架 </t>
  </si>
  <si>
    <t>双杆毛巾架</t>
  </si>
  <si>
    <t>厨   房</t>
  </si>
  <si>
    <t>轻钢龙骨8mm厚硅酸钙板平天花（含灯位开孔，按投影面积计）</t>
  </si>
  <si>
    <t>厨房天花吊顶设400*400MM铝合金隐形检修口（做法详见大样）（含开孔、成品检修口安装、封板、油漆等）。</t>
  </si>
  <si>
    <t>水泥砂浆找平(仅为地柜底部位置)</t>
  </si>
  <si>
    <t>300×600mm墙砖铺贴</t>
  </si>
  <si>
    <t>2015-9-6批复</t>
  </si>
  <si>
    <t>墙面厚夹板基层面贴1.0厚拉丝不锈钢板（304钢）</t>
  </si>
  <si>
    <t>墙面水泥砂浆找平(仅为地柜背面及侧面部分)</t>
  </si>
  <si>
    <t>厨房排水立管检修口（做法详见大样）（含12MM厚夹板、玻璃胶封口、石材胶、五金等，不包含墙面砖）</t>
  </si>
  <si>
    <t>厨房包立管（做法详见大样）（50型轻钢龙骨、含水泥压力板、挂钢网抹灰、等，不包含墙面砖）</t>
  </si>
  <si>
    <t>按展开面积计算</t>
  </si>
  <si>
    <t>厨卫用品</t>
  </si>
  <si>
    <t>(一)</t>
  </si>
  <si>
    <t>(吸塑系列)橱柜（包含地柜、吊柜、台面石、封板、抽屉导、铝薄、装饰门、洗菜安装等）</t>
  </si>
  <si>
    <t>主材甲方代供代扣代付，由厂家负责制作及安装。基价暂定，结算材料公司送货单中的单价据实结算</t>
  </si>
  <si>
    <t>(二)</t>
  </si>
  <si>
    <t>消毒碗柜、炉灶、抽油烟机安装费（卸车、保管、搬运、安装）</t>
  </si>
  <si>
    <t>项</t>
  </si>
  <si>
    <t>主材甲方代供代扣代付，一项包含消毒碗柜、炉灶、抽油烟机各一套,按B类取费</t>
  </si>
  <si>
    <t>(四)</t>
  </si>
  <si>
    <t>洗菜盆及龙头</t>
  </si>
  <si>
    <t>洗菜盆 （材料费）（双盆）</t>
  </si>
  <si>
    <t>洗菜盆 （材料费）（单盆）</t>
  </si>
  <si>
    <t>洗菜盆卸车、搬运、保管费（不分单盆、双盆，综合考虑）</t>
  </si>
  <si>
    <t>按B类取费</t>
  </si>
  <si>
    <t>洗菜盆龙头安装</t>
  </si>
  <si>
    <t>储物间、工人房</t>
  </si>
  <si>
    <t>1</t>
  </si>
  <si>
    <t>地面400×400mm防滑砖CT-05铺贴</t>
  </si>
  <si>
    <t>工人房卫生间地面柔性防水（1.5厚合成高分子防水涂料，四周沿墙上翻150高，按展开面积计算）</t>
  </si>
  <si>
    <t>3</t>
  </si>
  <si>
    <t>（木地板地面位）水泥砂浆找平层</t>
  </si>
  <si>
    <t>墙面扇灰油高级内墙漆(不分颜色，统一报价) (按展开面积，包含石膏角线)</t>
  </si>
  <si>
    <t>墙面扇灰油高级内墙漆(不分颜色，统一报价) (按展开面积，包含石膏角线)【采用N型耐水腻子】</t>
  </si>
  <si>
    <t>2</t>
  </si>
  <si>
    <t>实木地板100高配套地脚线</t>
  </si>
  <si>
    <t>4</t>
  </si>
  <si>
    <t>工人房卫生间墙面水泥基刚性防水</t>
  </si>
  <si>
    <t>5</t>
  </si>
  <si>
    <t>工人房卫生间40×60mm人造石沐浴间隔断基座(含石材磨边)（由厂家负责安装）</t>
  </si>
  <si>
    <t>100高踢脚线（CT-02）</t>
  </si>
  <si>
    <t>100高踢脚线（CT-02），原材规格为800*800，施工单位负责加工为100*800，其他费已含开介磨边加工费。</t>
  </si>
  <si>
    <t>工人房卫浴</t>
  </si>
  <si>
    <t>（工人房）柱盆</t>
  </si>
  <si>
    <t>（工人房）柱盆龙头（冷热龙头，主材费包含陶瓷阀心角阀）</t>
  </si>
  <si>
    <t>（工人房）沐浴龙头及花洒（冷热龙头）</t>
  </si>
  <si>
    <t>（工人房）蹲厕安装</t>
  </si>
  <si>
    <t>（工人房）蹲厕冲水阀安装（包含冲水阀、冲水管在内）</t>
  </si>
  <si>
    <t>（工人房蹲厕）ＰＶＣ水箱及ＰＶＣ进水管，（主材费包含陶瓷阀心角阀及进水软管）</t>
  </si>
  <si>
    <t>（工人房蹲厕）水箱及进水管，（主材费包含陶瓷阀心角阀及进水软管）</t>
  </si>
  <si>
    <t>阳   台</t>
  </si>
  <si>
    <t>天花扇灰油白色防水乳胶漆（按展开面积，一底二面,包含石膏角线)）(开放式阳台)</t>
  </si>
  <si>
    <t>天花扇灰油白色防水乳胶漆（按展开面积，一底二面,包含石膏角线)）(开放式阳台)【采用N型耐水腻子】</t>
  </si>
  <si>
    <t>天花扇灰油白色乳胶漆（按展开面积，一底二面,包含石膏角线)）（封闭阳台天花）</t>
  </si>
  <si>
    <t>天花扇灰油白色乳胶漆（按展开面积，一底二面,包含石膏角线)）（封闭阳台天花）【采用N型耐水腻子】</t>
  </si>
  <si>
    <t>阳台地面300×600mm仿古地面砖铺贴（CT-03）工字铺，留3MM缝，白水泥填缝。</t>
  </si>
  <si>
    <t>墙身工程</t>
  </si>
  <si>
    <t>封闭式阳台墙身扇灰油白色乳胶漆PA-01  （按展开面积计，,一底两面）</t>
  </si>
  <si>
    <t>封闭式阳台墙身扇灰油白色乳胶漆PA-01  （按展开面积计，,一底两面）【采用N型耐水腻子】</t>
  </si>
  <si>
    <t>包雨水管（50型轻钢龙骨、水泥压力板、挂钢丝网抹灰、聚合物水泥砂浆）</t>
  </si>
  <si>
    <t>100高阳台踢脚线（CT-03 ）（封闭阳台，墙身主要材料为油漆）</t>
  </si>
  <si>
    <t>100高阳台踢脚线（CT-03 ）（封闭阳台，墙身主要材料为油漆）。原材规格为300*600，施工单位负责加工为100*600，其他费已含开介磨边加工费。</t>
  </si>
  <si>
    <t>不锈钢地漏（阳台、卫生间）</t>
  </si>
  <si>
    <t>不锈钢洗衣机龙头</t>
  </si>
  <si>
    <t>（封闭阳台）15mm厚人造石窗台连磨边(平窗台)（由石材厂负责磨边，主材基价不包含磨边加工费在内）</t>
  </si>
  <si>
    <t>八</t>
  </si>
  <si>
    <t>门、门锁等五金配件安装</t>
  </si>
  <si>
    <t>厨房造型木饰面嵌玻璃实芯推拉门连门套
(门扇1500*2200)安装(含本户型更衣间门）</t>
  </si>
  <si>
    <t>樘</t>
  </si>
  <si>
    <t>主材甲方代供代扣代付，主材含导轨，其他费包含门套夹板基层制安、成品门、门套安装人工辅材费。</t>
  </si>
  <si>
    <t>厨房推拉门拉手安装(含本户型更衣间门）</t>
  </si>
  <si>
    <t>厨房造型木饰面嵌玻璃实芯平开门连门套
(门扇750*2200)安装</t>
  </si>
  <si>
    <t>主材甲方代供代扣代付，其他费包含门套夹板基层制安、成品门、门套安装人工辅材费。</t>
  </si>
  <si>
    <t>厨房掩门门锁、合页、门吸安装</t>
  </si>
  <si>
    <t>洗手间造型木饰面实芯门连门套M-02
(门扇700*2200)安装</t>
  </si>
  <si>
    <t>洗手间门门锁、合页、门吸安装</t>
  </si>
  <si>
    <t>卧室、书房造型木饰面实芯门连门套（850*2200）（含木基座）安装</t>
  </si>
  <si>
    <t>房门门锁、合页、门吸安装</t>
  </si>
  <si>
    <t>子母门 卧室造型木饰面实芯门连门套（1250*2400）（含木基座）安装</t>
  </si>
  <si>
    <t>子母房门门锁、合页、门吸、插销安装</t>
  </si>
  <si>
    <t>工人房、储物间造型木饰面实芯门连门套M-03
(门扇2200*700)安装</t>
  </si>
  <si>
    <t>工人房、储物间门锁、合页、门吸安装</t>
  </si>
  <si>
    <t>木饰面门套安装（仅仅指有门套没有门扇部分)</t>
  </si>
  <si>
    <t>主材甲方代供代扣代付，其他费包含门套夹板基层制安、门套安装人工辅材费。</t>
  </si>
  <si>
    <t>二次入户门造型木饰面嵌玻璃实芯平开门连门套
(门扇950*2200)安装</t>
  </si>
  <si>
    <t>二次入户门门锁、合页、门吸安装</t>
  </si>
  <si>
    <t>九</t>
  </si>
  <si>
    <t>灯饰、开关面板安装</t>
  </si>
  <si>
    <t>一位单控开关 ( 10A)</t>
  </si>
  <si>
    <t xml:space="preserve">5.29 </t>
  </si>
  <si>
    <t>一位双控开关 ( 10A)</t>
  </si>
  <si>
    <t xml:space="preserve">6.48 </t>
  </si>
  <si>
    <t>二位单控开关 ( 10A)</t>
  </si>
  <si>
    <t xml:space="preserve">7.69 </t>
  </si>
  <si>
    <t>二位双控开关 ( 10A)</t>
  </si>
  <si>
    <t>三位单控开关 ( 10A)</t>
  </si>
  <si>
    <t xml:space="preserve">18.64 </t>
  </si>
  <si>
    <t>四位单控开关 ( 10A)</t>
  </si>
  <si>
    <t xml:space="preserve">21.07 </t>
  </si>
  <si>
    <t>单相二、三极插座 (16A,不含线管、底盒)</t>
  </si>
  <si>
    <t>单相三极插座  (10A,不含线管、底盒)</t>
  </si>
  <si>
    <t xml:space="preserve">5.20 </t>
  </si>
  <si>
    <t>单相三极插座  (16A,不含线管、底盒)</t>
  </si>
  <si>
    <t>单相二、三孔插座 (10A,不含线管、底盒)</t>
  </si>
  <si>
    <t xml:space="preserve">6.03 </t>
  </si>
  <si>
    <t>单相三极带开关插座10A   (10A，不含线管、底盒)</t>
  </si>
  <si>
    <t>单相二三极带开关插座10A   (10A，不含线管、底盒)</t>
  </si>
  <si>
    <t>单相二、三孔带开关插座带防溅面板 (10A,不含线管、底盒)</t>
  </si>
  <si>
    <t>单相三极插座带防溅面板  (16A,不含线管、底盒)</t>
  </si>
  <si>
    <t>卫生间风筒插座，单相二三极防溅型安全插(10A，不含线管、底盒)</t>
  </si>
  <si>
    <t>主材甲方代供代扣代付,插座防溅面板不单独列项。</t>
  </si>
  <si>
    <t>浴霸开关盒空白盖板 (不含线管及底盒)</t>
  </si>
  <si>
    <t xml:space="preserve">浴霸接线盒圆空白盖板 </t>
  </si>
  <si>
    <t>客厅豪华壁灯(含光源及电线驳接)</t>
  </si>
  <si>
    <t>盏</t>
  </si>
  <si>
    <t xml:space="preserve">客厅豪华水晶灯(含光源及电线驳接) </t>
  </si>
  <si>
    <t>餐厅豪华水晶灯(含光源及电线驳接)</t>
  </si>
  <si>
    <t xml:space="preserve">主卧水晶吊灯(含光源及电线驳接) </t>
  </si>
  <si>
    <t>卧室吸顶灯（含光源）</t>
  </si>
  <si>
    <t>软装射灯 （仅样板房安装）</t>
  </si>
  <si>
    <t xml:space="preserve">厨房防雾筒灯 </t>
  </si>
  <si>
    <t>厨房嵌入式吸顶灯（含光源）</t>
  </si>
  <si>
    <t>卫生间射灯</t>
  </si>
  <si>
    <t>卫生间白边防雾石英筒灯(含光源)</t>
  </si>
  <si>
    <t>阳台吸顶灯(含光源) （包含工人房）</t>
  </si>
  <si>
    <t>玄关、走廊白边3.5寸筒灯(含光源)</t>
  </si>
  <si>
    <t>排气扇</t>
  </si>
  <si>
    <t>单管荧光灯</t>
  </si>
  <si>
    <t>穿BV-2.5MM2单色电线</t>
  </si>
  <si>
    <t>穿BV－4.0MM2单色电线</t>
  </si>
  <si>
    <t>暗装照明用电线管PC20(其它费含底盒及相关配件)</t>
  </si>
  <si>
    <t>主材甲方代供代扣代付，如需开槽粉平，其他费为11元</t>
  </si>
  <si>
    <t>暗装弱电用电线管PC25(其它费含底盒及相关配件)</t>
  </si>
  <si>
    <t>金属软管(连接天花吊顶位灯具软管，含配件）</t>
  </si>
  <si>
    <t>卫生间等电位线路敷设 BVR-4.0mm2双色</t>
  </si>
  <si>
    <t>卫生间等电位连接点安装</t>
  </si>
  <si>
    <t>只计五金洁具连接点，  等电位盒内接线点不计</t>
  </si>
  <si>
    <t>一位普通电视插座（不含线管及底盒)</t>
  </si>
  <si>
    <t xml:space="preserve">11.31 </t>
  </si>
  <si>
    <t>一位二芯电话插座(不含线管及底盒)</t>
  </si>
  <si>
    <t>一位电脑用插座(不含线管及底盒)</t>
  </si>
  <si>
    <t>管内穿线 电话线 HYA2*0.4</t>
  </si>
  <si>
    <t>管内穿线 网络线 超五类非屏蔽</t>
  </si>
  <si>
    <t>管内穿电视线</t>
  </si>
  <si>
    <t>给水管安装（仅仅在个别地区试点）</t>
  </si>
  <si>
    <t>UPVC排水塑料管d50（主材基价综合考虑排水管件）</t>
  </si>
  <si>
    <t>UPVC排水塑料管d75（主材基价综合考虑排水管件）</t>
  </si>
  <si>
    <t>UPVC排水塑料管d100（主材基价综合考虑排水管件）</t>
  </si>
  <si>
    <t>DN25给水管含配件（冷水）PPR(主材含管材及管件)</t>
  </si>
  <si>
    <t>DN20给水管含配件（冷水）PPR(主材含管材及管件)</t>
  </si>
  <si>
    <t>DN25给水管含配件（热水）PPR(主材含管材及管件)</t>
  </si>
  <si>
    <t>DN20给水管含配件（热水）PPR(主材含管材及管件)</t>
  </si>
  <si>
    <t>DN15给水管含配件（热水）PPR(主材含管材及管件)</t>
  </si>
  <si>
    <t>DN15给水管含配件（冷水）PPR(主材含管材及管件)</t>
  </si>
  <si>
    <t>给水管墙体开槽、粉平</t>
  </si>
  <si>
    <t>补充项目</t>
  </si>
  <si>
    <t>客厅走廊餐厅轻钢龙骨8mm厚硅酸钙板平级四周带灯槽天花（含灯槽、灯位开孔，按投影面积计）</t>
  </si>
  <si>
    <t>客厅、餐厅70mm宽石膏平线 （SG-01）</t>
  </si>
  <si>
    <t>天花扇灰油高级米黄色乳胶漆 (不分颜色，统一报价，一底二面，按展开面积，包含石膏角线)（三棵树PA-02 底漆SGD150、面漆SGI101）</t>
  </si>
  <si>
    <t>是否有图册</t>
  </si>
  <si>
    <t>客厅电视墙硬包扪皮（密缝拼接）（含15mm细木工板基层，底刷防潮漆、防火涂料处理）</t>
  </si>
  <si>
    <t>客厅电视墙45*100mm宽意大利木纹石大理石线条（含意大利木纹石脚座）</t>
  </si>
  <si>
    <t>客厅电视墙1.0mm厚30mm高拉丝不锈钢收口条（香槟金色 ）</t>
  </si>
  <si>
    <t>主、次卧房、书房轻钢龙骨8mm厚硅酸钙板平级天花（含灯位开孔，按投影面积计）</t>
  </si>
  <si>
    <t>暗装照明用电线管PC16(其它费含底盒及相关配件,敷设方式综合考虑)</t>
  </si>
  <si>
    <t>甲供料表要加此项目</t>
  </si>
  <si>
    <t>套房衣柜及层板柜：木饰面WD-01（含骨架、夹板底，踢脚线、柜门拉手、柜五金、抽屉导轨，油漆等，按垂直投影面积计算）</t>
  </si>
  <si>
    <t>卧室壁灯安装(含光源及电线驳接)</t>
  </si>
  <si>
    <t>化妆镜</t>
  </si>
  <si>
    <t>应急照明灯</t>
  </si>
  <si>
    <t>客厅小夜灯（或地脚灯）</t>
  </si>
  <si>
    <t>卧室壁灯左/右调光开关</t>
  </si>
  <si>
    <t>“请勿打扰“,"请即清理"门铃开关</t>
  </si>
  <si>
    <t>插卡式节能开关(带延时)</t>
  </si>
  <si>
    <t>阳台地面柔性防水（1.5厚合成高分子防水涂料，四周沿墙上翻150高，水口、穿管、转角处用胎体加强，按展开面积计算）</t>
  </si>
  <si>
    <t>1:2.5水泥砂浆找坡1%（内掺合纤维、最薄处20mm厚）</t>
  </si>
  <si>
    <t>阳台20厚1:2水泥砂浆，掺3%防水粉，周边上翻至地面以上150mm，水口、穿管、转角处用胎体加强，按展开面积计算（地面水泥基刚性防水）</t>
  </si>
  <si>
    <t>厨房墙1.0mm厚5mm拉丝不锈钢收口条（香槟金色 ）</t>
  </si>
  <si>
    <t>阳台室外壁灯</t>
  </si>
  <si>
    <t>[小计]：</t>
  </si>
  <si>
    <t>【工程项目取费表】</t>
  </si>
  <si>
    <t>由施工单位自购材料并负责施工的分部分项工程取费程序</t>
  </si>
  <si>
    <t>不含甲方代供代扣代付并由厂家包制作安装的项目和甲方代扣代付材料并负责施工的项目</t>
  </si>
  <si>
    <t>分部分项工程直接费合计</t>
  </si>
  <si>
    <t>A2</t>
  </si>
  <si>
    <t>综合费用=A1*费率</t>
  </si>
  <si>
    <t>A3</t>
  </si>
  <si>
    <t>利润=A1*费率</t>
  </si>
  <si>
    <t>A4</t>
  </si>
  <si>
    <t>远征费=A1*费率</t>
  </si>
  <si>
    <t>A5</t>
  </si>
  <si>
    <t>税金 =(A1+A2+A3＋A4)*费率</t>
  </si>
  <si>
    <t>A6</t>
  </si>
  <si>
    <t>含税装修价 =A1+A2+A3＋A4＋A5</t>
  </si>
  <si>
    <t>甲方代供代扣代付材料由施工单位负责施工的分部分项工程取费程序</t>
  </si>
  <si>
    <t>B1</t>
  </si>
  <si>
    <t>不含施工单位自购材料及施工的项目和甲方代扣代付厂家包制作安装的项目</t>
  </si>
  <si>
    <t>甲方代供代扣代付材料部分的主材基价小计:</t>
  </si>
  <si>
    <t>B2</t>
  </si>
  <si>
    <t>其他费综合费用=(B1-b)*费率</t>
  </si>
  <si>
    <t>B3</t>
  </si>
  <si>
    <t>主材基价综合(含主材损耗在内)费用=b*费率</t>
  </si>
  <si>
    <t>B4</t>
  </si>
  <si>
    <t>利润=(B1-b)*费率</t>
  </si>
  <si>
    <t>甲方代供代扣代付材料不计取利润</t>
  </si>
  <si>
    <t>B5</t>
  </si>
  <si>
    <t>远征费=B1*费率</t>
  </si>
  <si>
    <t>B6</t>
  </si>
  <si>
    <t>税金 =(B1+B2+B3+B4+B5)*费率</t>
  </si>
  <si>
    <t>B7</t>
  </si>
  <si>
    <t>含税装修价 =B1+B2+B3＋B4+B5+B6</t>
  </si>
  <si>
    <t>甲方代供代扣代付厂家包制作安装的分部分项工程取费程序</t>
  </si>
  <si>
    <t>C1</t>
  </si>
  <si>
    <t>不含施工单位自购材料及施工的项目和甲方代供代扣代付材料施工单位负责施工的项目</t>
  </si>
  <si>
    <t>C2</t>
  </si>
  <si>
    <t>配合费＝C1*费率</t>
  </si>
  <si>
    <t>C3</t>
  </si>
  <si>
    <t>税金 =（C1+C2）*费率</t>
  </si>
  <si>
    <t>C4</t>
  </si>
  <si>
    <t>含税装修价 =C1+C2+C3</t>
  </si>
  <si>
    <t>含税装修总造价 =(A6+B7+C4)</t>
  </si>
  <si>
    <t>附件4-2</t>
  </si>
  <si>
    <t>附件4-3</t>
  </si>
  <si>
    <t>项目名称</t>
  </si>
  <si>
    <t>其中</t>
  </si>
  <si>
    <t>甲供合计</t>
  </si>
  <si>
    <t>中档公寓大堂</t>
  </si>
  <si>
    <t>1#（实体样板房已装修部分）</t>
  </si>
  <si>
    <t>1#（扣除已装修）</t>
  </si>
  <si>
    <t>室外门廊轻钢龙骨8MM厚硅酸钙板跌一级造型天花（含灯位开孔，按投影面积计算）</t>
  </si>
  <si>
    <t>室外门廊轻钢龙骨8MM厚硅酸钙板跌二级造型天花（含灯位开孔，按投影面积计算）</t>
  </si>
  <si>
    <t>室外门廊轻钢龙骨8MM厚硅酸钙板平面天花（含灯位开孔，按投影面积计算）</t>
  </si>
  <si>
    <t>9MM厚耐水石膏板造型天花跌一级四周带灯槽（含灯位开孔、灯槽，按投影面积计算）</t>
  </si>
  <si>
    <t>9MM厚耐水石膏板造型天花跌二级四周带灯槽（含灯位开孔、灯槽，按投影面积计算）</t>
  </si>
  <si>
    <t>9MM厚耐水石膏板跌级天花（含灯位开孔，按投影面积计算）</t>
  </si>
  <si>
    <t>9MM厚耐水石膏板平级天花（含灯位开孔，按投影面积计算）标高3.4m</t>
  </si>
  <si>
    <t>门廊天花扇灰油白色防水乳胶漆（按展开面积，一底二面,包含石膏角线）</t>
  </si>
  <si>
    <t>110+68mm宽L型天花石膏饰线(大堂、电梯厅）</t>
  </si>
  <si>
    <t>2015-8-21审核</t>
  </si>
  <si>
    <t>150+68mm宽L型天花石膏饰线(大堂、电梯厅）</t>
  </si>
  <si>
    <t>150mm高天花石膏饰线</t>
  </si>
  <si>
    <t>100mm高天花石膏饰线（大堂、门廊）</t>
  </si>
  <si>
    <t>50mm宽石膏平线（大堂、电梯厅）</t>
  </si>
  <si>
    <t>大堂和电梯厅天花金色墙纸WP-01(含腻子层，塑油)  （按展开面积计）</t>
  </si>
  <si>
    <t xml:space="preserve">7.50 </t>
  </si>
  <si>
    <t>首层架空层白色铝格栅天花（按投影面积计算工程量）</t>
  </si>
  <si>
    <t>首层架空层白色格栅天花（按投影面积计算工程量）</t>
  </si>
  <si>
    <t>大堂入口门廊地面600×600mm荔枝面黄锈石ST-04</t>
  </si>
  <si>
    <t>门廊荔枝面黄锈石台阶踏步（按展开面积算，包含磨边加工）</t>
  </si>
  <si>
    <t>残疾人坡道处600*600荔枝面黄锈石 ST-04【含信报箱背面部分、无障碍通道栏杆基座（按展开面积计算）】</t>
  </si>
  <si>
    <t>残疾人坡道处600*600荔枝面黄锈石 ST-04（含信报箱背面部分）</t>
  </si>
  <si>
    <t>大堂、电梯厅斜铺地面600×600mm抛光砖（CT-01 ）（地花部分）</t>
  </si>
  <si>
    <t>大堂及电梯间80*80深啡网石粒粘贴</t>
  </si>
  <si>
    <t>件</t>
  </si>
  <si>
    <t xml:space="preserve">大堂地面（地花外地面）、电梯厅（地花外地面）铺600×600mm米黄色抛光砖CT-02 </t>
  </si>
  <si>
    <t>消防前室地面铺600×600mm米黄色抛光砖CT-02(指无地花的地面）</t>
  </si>
  <si>
    <t>消防前室台阶铺600×600mm米黄色抛光砖CT-02（展开面积计算工程量，其他费已含开介磨边＼防滑槽加工费）</t>
  </si>
  <si>
    <t>200mm宽浅啡网石波打线</t>
  </si>
  <si>
    <t>80mm宽深啡网石波打线</t>
  </si>
  <si>
    <t>100mm宽浅啡网石波打线</t>
  </si>
  <si>
    <t>50mm宽深啡网石波打线</t>
  </si>
  <si>
    <t>20MM厚进口皇室啡门槛石连磨边（单边磨）</t>
  </si>
  <si>
    <t>20MM厚进口皇室啡门槛石连磨边（无磨边）</t>
  </si>
  <si>
    <t>20MM厚国产皇室啡门槛石连磨边（单边磨）</t>
  </si>
  <si>
    <t>20MM厚国产皇室啡门槛石连磨边（无磨边）</t>
  </si>
  <si>
    <t>无障碍通道鸿秀304不锈钢栏杆（80不锈钢套，壁厚2；40不锈钢管，壁厚3，哑光面；30不锈钢管，壁厚3，哑光面；45圆不锈钢扶手，壁厚3，哑光面满焊连接,含防锈处理）</t>
  </si>
  <si>
    <t>墙面</t>
  </si>
  <si>
    <t>地脚线</t>
  </si>
  <si>
    <t>420㎜（或415㎜）高深啡网石踢脚(含顶部30厚造型深啡网石线，石材磨边、开槽)</t>
  </si>
  <si>
    <t>包含台阶位三角形深啡网石在内</t>
  </si>
  <si>
    <t>150㎜高深啡网石踢脚(含顶部30厚造型深啡网石线，石材磨边、开槽)</t>
  </si>
  <si>
    <t>250㎜高深啡网石踢脚(含顶部30厚造型深啡网石线，石材磨边、开槽)</t>
  </si>
  <si>
    <t>400㎜高深啡网石踢脚(含顶部30厚造型深啡网石线，石材磨边、开槽)</t>
  </si>
  <si>
    <t>150㎜高深啡色抛光砖地脚线CT-02（乙方负责开介磨边）</t>
  </si>
  <si>
    <t>主材甲方代供代扣代付，原材规格为600*600，施工单位负责加工为150*600，其他费已含开介磨边加工费。</t>
  </si>
  <si>
    <t>150㎜高深啡色抛光砖地脚线CT-02</t>
  </si>
  <si>
    <t>大门</t>
  </si>
  <si>
    <t>大堂门头仿古黑金色铁花制安2000×1000mm</t>
  </si>
  <si>
    <t>大堂门头双面10MM钢化玻璃（铁花处，不含铁花）（工程量按单面考虑）</t>
  </si>
  <si>
    <t>双面玻璃，工程量按单面计算。</t>
  </si>
  <si>
    <t>大堂门套埃及米黄石板（干挂）(含钢骨架连扫防锈漆、基层，含石材磨边)</t>
  </si>
  <si>
    <t>大堂门套30×30mm造型埃及米黄石饰线（干挂）(含石材磨边)</t>
  </si>
  <si>
    <t>该项目不计取干挂费，因为钢骨架材料及人工费已含在“大堂门套埃及米黄石板（干挂）(含钢骨架连扫防锈漆、基层，含石材磨边)”子目内。</t>
  </si>
  <si>
    <t>大堂柱子干挂40mm宽半圆造型埃及米黄石饰线(含石材磨边，展开周长)</t>
  </si>
  <si>
    <t>大堂主立面柱面直径50*28mm宽造型埃及米黄石饰线(不含角铁架)</t>
  </si>
  <si>
    <t>大堂柱脚干挂120*60mm宽造型埃及米黄石饰线(含石材磨边，展开周长)</t>
  </si>
  <si>
    <t>门厅柱头干挂120mm*65mm宽造型埃及米黄石饰线(含石材磨边，展开周长)</t>
  </si>
  <si>
    <t>大堂柱脚干挂埃及米黄石饰面(含石材磨边，展开面积)</t>
  </si>
  <si>
    <t>大堂柱身干挂埃及米黄石饰面(含石材磨边，展开面积)</t>
  </si>
  <si>
    <t>大堂大门镀锌角铁架挂埃及米黄石（假过梁，规格：180MM*180MM）</t>
  </si>
  <si>
    <t>大堂大门镀锌角铁架挂埃及米黄石（假过梁，规格：150MM*180MM）</t>
  </si>
  <si>
    <t>大堂大门镀锌角铁架挂埃及米黄石（假过梁，规格：200MM*180MM）</t>
  </si>
  <si>
    <t>大堂大门镀锌角铁架挂埃及米黄石（假过梁，规格：200MM*280MM）</t>
  </si>
  <si>
    <t>大堂大门镀锌角铁架挂深啡网石（假过梁，规格：200MM*280MM）</t>
  </si>
  <si>
    <t>（北方地区）大堂大门角钢梁内密塞保温岩棉（A级，密度100KG/立方米）</t>
  </si>
  <si>
    <r>
      <rPr>
        <sz val="9"/>
        <rFont val="宋体"/>
        <family val="3"/>
        <charset val="134"/>
      </rPr>
      <t>m</t>
    </r>
    <r>
      <rPr>
        <vertAlign val="superscript"/>
        <sz val="9"/>
        <rFont val="宋体"/>
        <family val="3"/>
        <charset val="134"/>
      </rPr>
      <t>3</t>
    </r>
  </si>
  <si>
    <t>住户大堂入口大门1.5mm厚钛金门框，镶嵌12mm厚钢化清玻璃</t>
  </si>
  <si>
    <t>基价含主材、材料损耗、人工辅材五金配件等其他费在内，不含拉手、地弹簧</t>
  </si>
  <si>
    <t>住户大堂入口大门1.5mm厚钛金门框，镶嵌12mm厚钢化清玻璃、30mm宽绳纹木线油金漆</t>
  </si>
  <si>
    <t>住户大堂入口大门1.5mm厚钛金门框，镶嵌5+9A+6mm中空玻璃</t>
  </si>
  <si>
    <t>12MM全玻璃门(包含开孔、磨边加工)</t>
  </si>
  <si>
    <t>全玻璃门位上下不锈钢门夹安装</t>
  </si>
  <si>
    <t>主材价含一个上夹、一个下夹</t>
  </si>
  <si>
    <t>住户大堂入口大门实木拉手</t>
  </si>
  <si>
    <t>副</t>
  </si>
  <si>
    <t xml:space="preserve">大堂大门重型地弹簧 </t>
  </si>
  <si>
    <t xml:space="preserve">225.00 </t>
  </si>
  <si>
    <t>1100mm高皇室啡石组合智能对讲机座(含石材磨边、开孔、粘贴，砖砌墩)</t>
  </si>
  <si>
    <t>座</t>
  </si>
  <si>
    <t>见大样图D-14</t>
  </si>
  <si>
    <t>大堂、电梯间背景墙</t>
  </si>
  <si>
    <t>大堂背景200×80mm造型浅啡网石饰线(含石材磨边)</t>
  </si>
  <si>
    <t>大堂背景墙200mm（宽）×450mm（高）×90mm（厚）深啡网石基座(含木基层及石材磨边)</t>
  </si>
  <si>
    <t>大堂背景墙200mm（宽）×450mm（高）×80mm（厚）深啡网石基座(含木基层及石材磨边)</t>
  </si>
  <si>
    <t>大堂背景墙400㎜高深啡网石踢脚(含顶部30厚造型深啡网石线，石材磨边、开槽)</t>
  </si>
  <si>
    <t>大堂背景墙麦哥利木饰面板连扫清漆（含木基层，非成品木饰面）</t>
  </si>
  <si>
    <t>大堂背景墙80mm宽造型深色木饰线(（含收口线、油漆塑色，含木基层)</t>
  </si>
  <si>
    <t>大堂背景墙贴墙纸(含木基层，含腻子层，塑油) ）</t>
  </si>
  <si>
    <t>门洞门套</t>
  </si>
  <si>
    <t>大堂、过厅、电梯厅门洞石套埃及米黄石饰面（湿贴）(含石材磨边)</t>
  </si>
  <si>
    <t>门套侧边干挂埃及米黄石材（含石材磨边）</t>
  </si>
  <si>
    <t>门洞石门套200×80mm造型埃及米黄石饰线（湿贴与干挂综合考虑）(含石材磨边)</t>
  </si>
  <si>
    <t>门洞石套200×450×90mm深啡网石基座（湿贴）(含石材磨边)</t>
  </si>
  <si>
    <t>大堂、过厅、电梯厅门洞石套200mm（宽）×465mm（高）×90mm（厚）深啡网石基座(含石材磨边)</t>
  </si>
  <si>
    <t>门洞石门套150×80mm造型埃及米黄石饰线（湿贴与干挂综合考虑）(含石材磨边)</t>
  </si>
  <si>
    <t>门洞石套150×450×90mm深啡网石基座（湿贴）(含石材磨边)</t>
  </si>
  <si>
    <t>大堂、过厅、电梯厅门洞石套140mm（宽）×450mm（高）×90mm（厚）深啡网石基座(含石材磨边)</t>
  </si>
  <si>
    <t>大堂、过厅、电梯厅门洞石套160mm（宽）×450mm（高）×90mm（厚）深啡网石基座(含石材磨边)</t>
  </si>
  <si>
    <t>大堂、过厅、电梯厅门洞石套160mm（宽）×465mm（高）×90mm（厚）深啡网石基座(含石材磨边)</t>
  </si>
  <si>
    <t>门斗门套175×450×30mm深啡网石基座(含石材磨边、骨架)</t>
  </si>
  <si>
    <t>门套120×52mm造型埃及米黄饰线（湿帖）(含石材磨边)</t>
  </si>
  <si>
    <t>门套120×450×55mm深啡网石基座（湿帖）(含石材磨边)</t>
  </si>
  <si>
    <t>大堂、过厅、电梯厅门洞石套80mm（宽）×450mm（高）×29mm（厚）深啡网石基座(含石材磨边)</t>
  </si>
  <si>
    <t>大堂、过厅、电梯厅门洞石套80mm（宽）×465mm（高）×29mm（厚）深啡网石基座(含石材磨边)</t>
  </si>
  <si>
    <t>门洞石套基座侧面深啡网石（湿贴）(含石材磨边)</t>
  </si>
  <si>
    <t>信报箱(仅指信报箱部位较特殊的项目，其余工程量计算在墙面)</t>
  </si>
  <si>
    <t>信报箱浅啡网石材（干挂）（含石材磨边，骨架)</t>
  </si>
  <si>
    <t>若采用水泥砂湿贴,其它费为93.64元</t>
  </si>
  <si>
    <t>信报箱米色抛光砖（干挂）（含石材磨边，骨架)</t>
  </si>
  <si>
    <t>信报箱顶部夹板封顶</t>
  </si>
  <si>
    <t>电梯门</t>
  </si>
  <si>
    <t>电梯门顶1100*900MM艺术蚀花金镜</t>
  </si>
  <si>
    <t>电梯门套两侧干挂埃及米黄石饰面(含石材磨边，骨架、木夹板)</t>
  </si>
  <si>
    <t>金镜底部横梁埃及米黄石饰面湿贴(含石材磨边)</t>
  </si>
  <si>
    <t>电梯门楣及门顶上方胶粘埃及米黄石饰面(含石材磨边)</t>
  </si>
  <si>
    <t>电梯门套150mm宽造型埃及米黄石组合饰线(干挂,两件组合）</t>
  </si>
  <si>
    <t>电梯门套200mm宽造型埃及米黄石组合饰线(干挂,两件组合）</t>
  </si>
  <si>
    <t>电梯门套150×450×30mm深啡网石基座(含石材磨边，骨架)</t>
  </si>
  <si>
    <t>电梯门套200×450×30mm深啡网石基座(含石材磨边)</t>
  </si>
  <si>
    <t>电梯门套基座侧面干挂深啡网石(含石材磨边)</t>
  </si>
  <si>
    <t>墙面（大堂、电梯间、信报间、门廊）</t>
  </si>
  <si>
    <t>墙面铺贴600×600mm米色抛光砖CT-02，含磨10mm鸡嘴线（其它费含开介切角磨边加工费）</t>
  </si>
  <si>
    <t>墙面水泥浆+局部胶粘贴600×600mm米色抛光砖含10MM鸡嘴线(CT-02 ，其它费含开介切角磨边加工费、胶粘所有工作，胶粘点数不少于4个)</t>
  </si>
  <si>
    <t>墙面水泥浆+局部胶+砖背开Ｖ型槽或Ｌ型槽+嵌入铜线固定粘贴600×600mm米色抛光砖含10MM鸡嘴线(CT-02，其它费含开介切角磨边加工费、胶粘所有工作，胶粘点数为不少于4个，砖背开Ｖ型槽或Ｌ型槽600宽的砖不少于2点800宽的砖不少于3点)</t>
  </si>
  <si>
    <t>墙面胶粘600×600mm米色抛光砖含10MM鸡嘴线(CT-02、其它费含开介切角磨边加工费、胶粘所有工作，胶粘点不少于5个点）</t>
  </si>
  <si>
    <t>墙面局部胶+砖背开Ｖ型槽或Ｌ型槽+嵌入铜线固定粘贴粘600×600mm米色抛光砖含10MM鸡嘴线(CT-02 、其它费含开介切角磨边加工费、胶粘所有工作，胶粘点不少于5个点，砖背开Ｖ型槽或Ｌ型槽600宽的砖不少于2点800宽的砖不少于3点）</t>
  </si>
  <si>
    <t>（有保温层处理位）墙面Φ8钢筋+100*50*3mm镀锌铁件+局部胶粘600×600mm米色抛光砖、植筋固定100*50*3mm镀锌铁件，含10MM鸡嘴线(CT-02 、其它费含开介切角磨边加工费、胶粘所有工作）（每块砖的铁件胶粘点不少于8点）</t>
  </si>
  <si>
    <t>抛光砖涂刷背覆胶(涂刷两道)(本项目按施时按甲方书面确认的工艺做法据实结算)</t>
  </si>
  <si>
    <t>（有保温层处理位）墙面胶粘埃及米黄石（包含磨边加工）</t>
  </si>
  <si>
    <t>1.0mm厚钛金边框10mm钢化玻璃窗/隔墙</t>
  </si>
  <si>
    <t>1.0mm厚钛金边框5+9A+6mm中空玻璃窗/隔墙</t>
  </si>
  <si>
    <t>5+9A+6mm中空玻璃窗/隔墙（无框）</t>
  </si>
  <si>
    <t>墙面厚夹板底波纹板饰面</t>
  </si>
  <si>
    <t>波纹板上扇灰油乳胶漆（按垂直投影面积算）（一底两面,包含石膏线）</t>
  </si>
  <si>
    <t>50㎜宽石膏收口线</t>
  </si>
  <si>
    <t>12MM钢化玻璃（无框）玻璃窗/隔墙（包含上角铁固定）（玻璃转折处5*5mm倒直角）</t>
  </si>
  <si>
    <t>钢化玻璃底部贴深啡网石（包含磨加工)</t>
  </si>
  <si>
    <t>埃及米黄石窗台板(平窗台)</t>
  </si>
  <si>
    <t>其他</t>
  </si>
  <si>
    <t>L40×40×4mm镀锌角钢、25×25mm方通组合框架，钢板底制安消防栓隐门(含五金配件、方通涂防锈漆，不含表面装饰)</t>
  </si>
  <si>
    <t>该单价已含主、辅材及人工费等所有费用。</t>
  </si>
  <si>
    <t>挂砖式石材钢网+600*600抛光砖（管井隐门处，不含管井门）</t>
  </si>
  <si>
    <t>主材甲方代供代扣代付，主材指抛光砖。</t>
  </si>
  <si>
    <t>消防隐门钢板面铺贴600×600mm抛光砖(含磨10mm鸡嘴线,含钢板)</t>
  </si>
  <si>
    <t>该基价已包括材料费、人工费、机械费。</t>
  </si>
  <si>
    <t>电气工程</t>
  </si>
  <si>
    <t>一位单极开关 10A  250V</t>
  </si>
  <si>
    <t>二位单极开关 10A  250V</t>
  </si>
  <si>
    <t>一位双控开关 10A  250V</t>
  </si>
  <si>
    <t>三位单极开关 10A  250V</t>
  </si>
  <si>
    <t>四位单极开关 10A  250V</t>
  </si>
  <si>
    <t>单相二、三极插座 10A  250V</t>
  </si>
  <si>
    <t>声光控开关  10A  250V</t>
  </si>
  <si>
    <t xml:space="preserve">44.60 </t>
  </si>
  <si>
    <t>红外线感应开关（10A，不含线管、底盒）</t>
  </si>
  <si>
    <t xml:space="preserve">58.66 </t>
  </si>
  <si>
    <t>电视插座（不含线管、底盒）</t>
  </si>
  <si>
    <t>大堂大吊灯安装(含光源及电线驳接) 25㎡以下</t>
  </si>
  <si>
    <t xml:space="preserve">2232.72 </t>
  </si>
  <si>
    <t>大堂大吊灯安装(含光源及电线驳接) 25-35㎡</t>
  </si>
  <si>
    <t xml:space="preserve">2664.84 </t>
  </si>
  <si>
    <t>大堂大吊灯安装(含光源及电线驳接) 35㎡以上</t>
  </si>
  <si>
    <t xml:space="preserve">3685.15 </t>
  </si>
  <si>
    <t>电梯间吊灯安装(含光源及电线驳接) 
H800，φ660）</t>
  </si>
  <si>
    <t xml:space="preserve">683.19 </t>
  </si>
  <si>
    <t>电梯间吊灯安装(含光源及电线驳接) （H900，φ750）</t>
  </si>
  <si>
    <t xml:space="preserve">836.99 </t>
  </si>
  <si>
    <t>4寸筒灯(含光源)</t>
  </si>
  <si>
    <t>T4光管连支架(含光源)</t>
  </si>
  <si>
    <t>管内穿BV-2.5MM2电线</t>
  </si>
  <si>
    <t>管内穿BV-4MM2电线</t>
  </si>
  <si>
    <t>金属软管(不分管径,综合考虑,含辅材)</t>
  </si>
  <si>
    <t>穿有线电视线 SYKV-75-5</t>
  </si>
  <si>
    <t>PVC电线管铺设DN20(其它费含底盒及辅材,敷设方式综合考虑)</t>
  </si>
  <si>
    <t>主材甲方代供代扣代付，如需开槽粉平，其他费为11元。</t>
  </si>
  <si>
    <t>PVC电线管铺设DN25(其它费含底盒及辅材,敷设方式综合考虑)</t>
  </si>
  <si>
    <t>PVC电线管铺设DN32(其它费含底盒及辅材,敷设方式综合考虑)</t>
  </si>
  <si>
    <t>金属线管敷设(其它费含底盒及相关配件,管径和敷设方式综合考虑)</t>
  </si>
  <si>
    <t>如需开槽粉平，其他费为11元。</t>
  </si>
  <si>
    <t>大堂入口门廊地面600×600mm国产毛面灰麻石 ST-06</t>
  </si>
  <si>
    <t>大堂入口门廊地面800*800荔枝面黄锈石 ST-05</t>
  </si>
  <si>
    <t xml:space="preserve">大堂、电梯厅、入户前室、过道地面铺贴800×800mm灰色抛光砖CT-01 </t>
  </si>
  <si>
    <t xml:space="preserve">大堂、电梯厅地面铺贴800×800mm仿洞石抛光砖CT-02a </t>
  </si>
  <si>
    <t>入户前室、过道地面铺贴800×800mm仿洞石抛光砖CT-02</t>
  </si>
  <si>
    <t xml:space="preserve">40mm宽光面白麻石波打线 ST-04             </t>
  </si>
  <si>
    <t>国产进口？</t>
  </si>
  <si>
    <t xml:space="preserve">100mm宽国产皇室啡石波打线 ST-03           </t>
  </si>
  <si>
    <t>40mm宽白色砖波打线 CT-04</t>
  </si>
  <si>
    <t>100mm宽黑色砖波打线（CT-03）</t>
  </si>
  <si>
    <t>60mm宽灰色砖波打线（CT-01）</t>
  </si>
  <si>
    <t>20MM厚古堡灰门槛石连磨边（无磨边）（ST-02）</t>
  </si>
  <si>
    <t>20MM厚古堡灰门槛石连磨边（单磨边）（ST-02）</t>
  </si>
  <si>
    <t xml:space="preserve">墙面干挂金花米黄石（ST-01）(含钢骨架连扫防锈漆、基层，含石材磨边、密拼)（不锈钢挂件）    </t>
  </si>
  <si>
    <t>电梯门套内侧干挂金花米黄石（ST-01）饰面(含石材磨边)（含灯槽，按石材见光面展开面积计算）</t>
  </si>
  <si>
    <t>若采用水泥砂湿贴，其它费为93.64元/㎡</t>
  </si>
  <si>
    <t>电梯门楣及门顶上方贴钢化浅茶镜饰面(含磨边)</t>
  </si>
  <si>
    <t>电梯门套干挂87+120+53mm造型金花米黄石饰线(含石材磨边)</t>
  </si>
  <si>
    <t>铺贴方式综合考虑</t>
  </si>
  <si>
    <t>电梯门套边湿贴255mm宽蚀面金花米黄石饰线(含石材磨边)</t>
  </si>
  <si>
    <t>天花贴1.0mm厚黑钛金面板（含基层处理，按投影面积计）（MT-02）</t>
  </si>
  <si>
    <t>展开多宽？</t>
  </si>
  <si>
    <t>15mm宽（9+19+9mmU型）1.0mm厚黑钛金饰线（MT-02）</t>
  </si>
  <si>
    <t>大堂、过厅、电梯厅门洞石套金花米黄石（ST-01）饰面（湿贴）(含石材磨边)</t>
  </si>
  <si>
    <t>门洞石门套200×65mm造型金花米黄石（ST-01）饰线（湿贴）(含石材磨边)</t>
  </si>
  <si>
    <t>墙面铺贴400×800mm仿洞石抛光砖CT-02，含磨10mm鸡嘴线 （其它费含开介切角磨边加工费）</t>
  </si>
  <si>
    <t>含什么？不含什么？</t>
  </si>
  <si>
    <t>大堂门套金花米黄石（干挂）(含钢骨架连扫防锈漆、基层，含石材磨边，按展开面积计)（不锈钢挂件）</t>
  </si>
  <si>
    <t>大堂大门镀锌角铁架挂金花米黄石（假过梁，规格150MM*180MM）</t>
  </si>
  <si>
    <t>信报间木纹石（干挂）（含石材磨边，骨架、不锈钢挂件）按展开面积计算</t>
  </si>
  <si>
    <t>含税装修总造价 =(A6+B7)</t>
  </si>
  <si>
    <t>附件</t>
  </si>
  <si>
    <r>
      <rPr>
        <b/>
        <u/>
        <sz val="14"/>
        <rFont val="宋体"/>
        <family val="3"/>
        <charset val="134"/>
      </rPr>
      <t xml:space="preserve">           </t>
    </r>
    <r>
      <rPr>
        <b/>
        <sz val="14"/>
        <rFont val="宋体"/>
        <family val="3"/>
        <charset val="134"/>
      </rPr>
      <t>装修工程-首层住户大堂及电梯前室装修工程量清单</t>
    </r>
  </si>
  <si>
    <t>室外门廊轻钢龙骨8MM厚硅酸钙板跌二级造型天花连灯槽制安（含灯位开孔，灯槽，按投影面积计算）</t>
  </si>
  <si>
    <t>100mm高天花石膏饰线a，100*90mm（大堂、电梯厅、门廊）</t>
  </si>
  <si>
    <t>80mm宽天花石膏饰线b，45*80mm（大堂、电梯厅）</t>
  </si>
  <si>
    <t>80mm宽天花石膏饰线c，含波浪线，45*80mm（门廊）</t>
  </si>
  <si>
    <t>15*22mm灰镜钢条MT-01装饰线</t>
  </si>
  <si>
    <t>15mm宽*25mm高灰镜钢装修线（大堂、电梯厅、门廊）</t>
  </si>
  <si>
    <t>15*34mm灰镜钢条MT-01装饰线</t>
  </si>
  <si>
    <t>15mm宽*37mm高灰镜钢装修线（电梯厅）</t>
  </si>
  <si>
    <t>15mm宽*50mm高灰镜钢装修线（大堂、电梯厅、门廊）</t>
  </si>
  <si>
    <t>大堂入口门廊地面600×600mm荔枝面金麻黄ST-02</t>
  </si>
  <si>
    <t>2015-8-4审核,增加500*500规格</t>
  </si>
  <si>
    <t>大堂入口门廊斜铺地面600×600或500*500mm荔枝面金麻黄、光面金麻黄（ST-02、ST-03）（地花部分）</t>
  </si>
  <si>
    <t>大堂入口门廊斜铺地面600×600mm荔枝面金麻黄、光面金麻黄（ST-02、ST-03）（地花部分）</t>
  </si>
  <si>
    <t>大堂入口门廊斜铺地面600×600mm荔枝面黄锈石、光面黄锈石（ST-02、ST-03）（地花部分）</t>
  </si>
  <si>
    <t>门廊荔枝面金麻黄台阶踏步（按展开面积算，包含磨边加工、加厚边加工）</t>
  </si>
  <si>
    <t>大堂、电梯厅斜铺地面600×600mm木纹抛光砖（正反纹拼接）（CT-01 ）（地花部分）</t>
  </si>
  <si>
    <t>大堂地面（地花外地面）、电梯厅（地花外地面）铺600×600mm抛光砖CT-05</t>
  </si>
  <si>
    <t>消防前室台阶铺600×600mm抛光砖CT-05（展开面积计算工程量，其他费已含开介磨边＼防滑槽加工费）</t>
  </si>
  <si>
    <t>大堂入口门廊地面30mm宽金香玉波打线</t>
  </si>
  <si>
    <t>大堂入口门廊地面100mm宽帝皇金波打线</t>
  </si>
  <si>
    <t>30mm宽深色波打线CT-04(波打线由厂家负责开介\拼接)</t>
  </si>
  <si>
    <t>100mm宽浅色波打线CT-03(波打线由厂家负责开介\拼接)</t>
  </si>
  <si>
    <t>20MM厚进口皇室啡门槛石连磨边（双边磨）</t>
  </si>
  <si>
    <t>20MM厚国产皇室啡门槛石连磨边（双边磨）</t>
  </si>
  <si>
    <t>20MM厚白木纹石门槛石连磨边（单边磨）</t>
  </si>
  <si>
    <t>20MM厚木纹石门槛石连磨边（单边磨）</t>
  </si>
  <si>
    <t>20MM厚白木纹石门槛石连磨边（无磨边）</t>
  </si>
  <si>
    <t>20MM厚木纹石门槛石连磨边（无磨边）</t>
  </si>
  <si>
    <t>20MM厚白木纹石门槛石连磨边（双边磨）</t>
  </si>
  <si>
    <t>20MM厚木纹石门槛石连磨边（双边磨）</t>
  </si>
  <si>
    <t>150㎜高深啡色抛光砖地脚线CT-02(成品地脚线,由厂家负责开介磨边)</t>
  </si>
  <si>
    <t>250㎜高白木纹石踢脚(含木基层及石材磨边、开槽)</t>
  </si>
  <si>
    <t>包含台阶位三角形白木纹石在内</t>
  </si>
  <si>
    <t>265㎜高白木纹石踢脚(含木基层及石材磨边、开槽)</t>
  </si>
  <si>
    <t>(玻璃内外两侧)圆形造形灰镜钢,工程量按单面投影面积计算</t>
  </si>
  <si>
    <t>大堂门头10MM钢化清玻璃</t>
  </si>
  <si>
    <t>大堂门套白木纹石板（干挂）(含钢骨架连扫防锈漆、基层，含石材磨边)</t>
  </si>
  <si>
    <t>大堂门套木纹石板（干挂）(含钢骨架连扫防锈漆、基层，含石材磨边)</t>
  </si>
  <si>
    <t>大堂门套金香玉板（干挂）(含钢骨架连扫防锈漆、基层，含石材磨边)</t>
  </si>
  <si>
    <t>大堂门套30×30mm造型金香玉石饰线（干挂）(含石材磨边)</t>
  </si>
  <si>
    <t>该项目不计取干挂费，因为钢骨架材料及人工费已含在“大堂门套金香玉石板（干挂）(含钢骨架连扫防锈漆、基层，含石材磨边)”子目内。</t>
  </si>
  <si>
    <t>大堂大门镀锌角铁架挂金香玉石（假过梁，规格：150MM*180MM）</t>
  </si>
  <si>
    <t>住户大堂入口大门1.5mm厚灰镜钢门框，镶嵌12mm厚钢化清玻璃（含玻璃上的灰镜钢饰线等）详见D-03</t>
  </si>
  <si>
    <t>12MM钢化玻璃（无框）玻璃窗/隔墙（包含角铁固定）（包含开孔、磨边加工）</t>
  </si>
  <si>
    <t>玻璃隔断位10*15MT-01灰镜钢饰线（除120mm宽组合镜钢线框外的饰线，单独套用此项目）</t>
  </si>
  <si>
    <t>玻璃隔断位30*22MT-01灰镜钢饰线（除120mm宽组合镜钢线框外的饰线，单独套用此项目）</t>
  </si>
  <si>
    <t>玻璃隔断位30*15MT-01灰镜钢饰线</t>
  </si>
  <si>
    <t>玻璃隔断位10*11MT-01灰镜钢饰线</t>
  </si>
  <si>
    <t>住户大堂入口大门金香玉石材+两端灰镜钢拉手，1800mm长</t>
  </si>
  <si>
    <t>1100mm高金香玉石组合智能对讲机座(含石材磨边、开孔、粘贴，砖砌墩)</t>
  </si>
  <si>
    <t>见大样图D-15</t>
  </si>
  <si>
    <t>大堂背景180×20mm造型白木纹石组合饰线(含两侧边50*20mm木纹石及石材磨边等)展开50mm+180mm+50mm</t>
  </si>
  <si>
    <t>大堂背景180×20mm造型木纹石组合饰线(含两侧边50*20mm木纹石及石材磨边等)展开50mm+180mm+50mm</t>
  </si>
  <si>
    <t>大堂背景墙200mm（宽）×250mm（高）×27mm（厚）白木纹石基座(含木基层及石材磨边)</t>
  </si>
  <si>
    <t>大堂背景墙200mm（宽）×250mm（高）×27mm（厚）木纹石基座(含木基层及石材磨边)</t>
  </si>
  <si>
    <t>大堂背景墙17*10mm宽"U形"灰镜钢线条</t>
  </si>
  <si>
    <t>大堂背景墙24*20mm宽"U形"灰镜钢线条</t>
  </si>
  <si>
    <t>大堂背景墙80mm×80mm灰镜钢块镶嵌</t>
  </si>
  <si>
    <t>大堂背景墙斑马木饰面板连扫清漆（含木基层）(现场制作</t>
  </si>
  <si>
    <t>大堂背景墙斑马木饰面板连扫清漆（含木基层）（成品木饰面,在专业工厂制作完成,现场拼装）</t>
  </si>
  <si>
    <t>大堂背景墙MR-01艺术玻璃，5+5mm厚车10mm边，含基层板</t>
  </si>
  <si>
    <t>大堂、过厅、电梯厅门洞石套白木纹石饰面（湿贴）(含石材磨边)</t>
  </si>
  <si>
    <t>大堂、过厅、电梯厅门洞石套木纹石饰面（湿贴）(含石材磨边)</t>
  </si>
  <si>
    <t>门洞石门套190×63mm造型白木纹石饰线（湿贴与干挂综合考虑）(含石材磨边)</t>
  </si>
  <si>
    <t>门洞石门套190×63mm造型木纹石饰线（湿贴）(含石材磨边)</t>
  </si>
  <si>
    <t>门洞石门套200×70mm造型白木纹石饰线（湿贴与干挂综合考虑）(含石材磨边)</t>
  </si>
  <si>
    <t>门洞石门套200×70mm造型木纹石饰线（湿贴与干挂综合考虑）(含石材磨边)</t>
  </si>
  <si>
    <t>门洞石门套200×250×70mm白木纹石基座（湿贴与干挂综合考虑）(含石材磨边)</t>
  </si>
  <si>
    <t>门洞石门套200×250×70mm木纹石基座（湿贴与干挂综合考虑）(含石材磨边)</t>
  </si>
  <si>
    <t>门洞石门套150×50mm造型白木纹石饰线（湿贴与干挂综合考虑）(含石材磨边)</t>
  </si>
  <si>
    <t>门洞石门套150×50mm造型木纹石饰线（湿贴与干挂综合考虑）(含石材磨边)</t>
  </si>
  <si>
    <t>门洞石套150×250×53mm白木纹石基座（湿贴与干挂综合考虑）(含石材磨边)</t>
  </si>
  <si>
    <t>门洞石套150×250×53mm木纹石基座（湿贴与干挂综合考虑）(含石材磨边)</t>
  </si>
  <si>
    <t>门洞石门套95×32mm造型白木纹石饰线（湿贴与干挂综合考虑）(含石材磨边)</t>
  </si>
  <si>
    <t>门洞石门套湿贴95×32mm造型木纹石饰线（湿贴与干挂综合考虑）(含石材磨边)</t>
  </si>
  <si>
    <t>门洞石门套90×33mm造型白木纹石饰线（湿贴与干挂综合考虑）(含石材磨边)</t>
  </si>
  <si>
    <t>门洞石门套湿贴90×33mm造型木纹石饰线（湿贴与干挂综合考虑）(含石材磨边)</t>
  </si>
  <si>
    <t>门洞石套100×250×35mm白木纹石基座（湿贴与干挂综合考虑）(含石材磨边)</t>
  </si>
  <si>
    <t>门洞石套100×250×35mm木纹石基座（湿贴与干挂综合考虑）(含石材磨边)</t>
  </si>
  <si>
    <t>门洞石套100×265×35mm白木纹石基座（湿贴与干挂综合考虑）(含石材磨边)</t>
  </si>
  <si>
    <t>门洞石套基座侧面木纹石（湿贴）(含石材磨边)</t>
  </si>
  <si>
    <t>门洞石套100×250×70mm白木纹石基座（湿贴与干挂综合考虑）(含石材磨边)</t>
  </si>
  <si>
    <t>门洞石套100×250×70mm木纹石基座（湿贴与干挂综合考虑）(含石材磨边)</t>
  </si>
  <si>
    <t>门洞石套基座侧面白木纹石（湿贴）(含石材磨边)</t>
  </si>
  <si>
    <t>2015-8-17审核</t>
  </si>
  <si>
    <t>门洞石门套湿贴60×20mm造型白木纹石饰线(含石材磨边)</t>
  </si>
  <si>
    <t>门洞石门套湿贴80×20mm造型白木纹石饰线(含石材磨边)</t>
  </si>
  <si>
    <t>门洞石门套湿贴140×20mm造型白木纹石饰线(含石材磨边)</t>
  </si>
  <si>
    <t>电梯门套140mm宽×20mm厚白木纹石造型饰线(干挂）(含石材磨边、骨架)</t>
  </si>
  <si>
    <t>门洞石套100宽×250高×30mm厚白木纹石基座(含石材磨边)</t>
  </si>
  <si>
    <t>门洞石套150宽×250高×30mm厚白木纹石基座(含石材磨边)</t>
  </si>
  <si>
    <t>门洞石套70宽×250高×30mm厚白木纹石基座(含石材磨边)</t>
  </si>
  <si>
    <t>信报箱白木纹石材（干挂）（含石材磨边，骨架)</t>
  </si>
  <si>
    <t>信报箱白木纹石材（湿贴）</t>
  </si>
  <si>
    <t>信报箱石材马赛克（湿贴）（含石材磨边，骨架)</t>
  </si>
  <si>
    <t>信报箱顶部灯槽制作</t>
  </si>
  <si>
    <t>灯槽处白色乳胶漆</t>
  </si>
  <si>
    <t>电梯门顶5+5mm厚车10mm边艺术玻璃 MR-02，含龙骨、夹板基层等工作内容。</t>
  </si>
  <si>
    <t>电梯门顶5mm厚灰浅金镜 MR-03，含龙骨、夹板基层等工作内容。</t>
  </si>
  <si>
    <t>(电梯门顶艺术玻璃两侧)圆形造形灰镜钢</t>
  </si>
  <si>
    <t>电梯门套位干挂白木纹石饰面(含石材磨边，骨架、木夹板)</t>
  </si>
  <si>
    <t>金镜底部横梁干挂白木纹石饰面(含石材磨边、骨架)</t>
  </si>
  <si>
    <t>电梯门套180mm宽×20mm厚白木纹石造型饰线(干挂）(含石材磨边、骨架)</t>
  </si>
  <si>
    <t>电梯门套250×200×30mm白木纹石基座(含石材磨边，骨架)</t>
  </si>
  <si>
    <t>电梯门套基座侧面干挂白木纹石(含石材磨边)</t>
  </si>
  <si>
    <t>墙面铺贴600×600mm木纹抛光砖CT-01，含磨10mm鸡嘴线（其它费含开介切角磨边加工费）</t>
  </si>
  <si>
    <t>墙面铺贴600×600mm木纹抛光砖CT-02，含磨10mm鸡嘴线（其它费含开介切角磨边加工费）</t>
  </si>
  <si>
    <t>墙面水泥浆+局部胶粘贴600×600mm抛光砖含10MM鸡嘴线(CT-02 ，其它费含开介切角磨边加工费、胶粘所有工作，胶粘点数不少于4个)</t>
  </si>
  <si>
    <t>墙面水泥浆+局部胶+砖背开Ｖ型槽或Ｌ型槽+嵌入铜线固定粘贴600×600mm抛光砖含10MM鸡嘴线(CT-02，其它费含开介切角磨边加工费、胶粘所有工作，胶粘点数为不少于4个，砖背开Ｖ型槽或Ｌ型槽600宽的砖不少于2点800宽的砖不少于3点)</t>
  </si>
  <si>
    <t>墙面胶粘600×600mm抛光砖含10MM鸡嘴线(CT-02、其它费含开介切角磨边加工费、胶粘所有工作，胶粘点不少于5个点）</t>
  </si>
  <si>
    <r>
      <rPr>
        <sz val="9"/>
        <rFont val="宋体"/>
        <family val="3"/>
        <charset val="134"/>
      </rPr>
      <t>墙面局部胶+砖背开Ｖ型槽或Ｌ型槽+嵌入铜线固定粘贴粘600×600mm抛光砖含10MM鸡嘴线(CT-02 、其它费含开介切角磨边加工费、胶粘所有工作，胶粘点不少于5个点，砖背开Ｖ型槽或Ｌ型槽600宽的砖不少于2点800宽的砖不少于3点）</t>
    </r>
  </si>
  <si>
    <t>墙面局部胶+砖背开Ｖ型槽或Ｌ型槽+嵌入铜线固定粘贴粘600×600mm抛光砖含10MM鸡嘴线(CT-02 、其它费含开介切角磨边加工费、胶粘所有工作，胶粘点不少于5个点，砖背开Ｖ型槽或Ｌ型槽600宽的砖不少于2点800宽的砖不少于3点）</t>
  </si>
  <si>
    <t>（有保温层处理位）墙面Φ8钢筋+100*50*3mm镀锌铁件+局部胶粘600×600mm抛光砖、植筋固定100*50*3mm镀锌铁件，含10MM鸡嘴线(CT-02 、其它费含开介切角磨边加工费、胶粘所有工作）（每块砖的铁件胶粘点不少于8点）</t>
  </si>
  <si>
    <t>150㎜高石膏收口线</t>
  </si>
  <si>
    <t>原有基价</t>
  </si>
  <si>
    <t>二层电梯间栏杆200mm宽白木纹石基座贴面（含基座顶及双侧木纹石、磨边、开孔费等）按展开面积计算</t>
  </si>
  <si>
    <t>二层电梯间47*77实木扶手安装（含油漆等）</t>
  </si>
  <si>
    <t>二层电梯间铁艺栏杆安装（包含钢板、膨胀螺丝等相关配件）</t>
  </si>
  <si>
    <t>门廊吊灯安装(含光源及电线驳接) （H215，φ580）</t>
  </si>
  <si>
    <t>3#筒灯(含光源)</t>
  </si>
  <si>
    <t>led射灯 (含光源)</t>
  </si>
  <si>
    <t>led灯带(含光源)</t>
  </si>
  <si>
    <t>附件4-4</t>
  </si>
  <si>
    <t>工程项目</t>
  </si>
  <si>
    <t>其   中</t>
  </si>
  <si>
    <t>100mm宽天花石膏饰线</t>
  </si>
  <si>
    <t>过厅9MM厚耐水石膏板跌级天花（含灯位开孔，按投影面积计）</t>
  </si>
  <si>
    <t>入户前室、楼梯间9MM厚耐水石膏板平级天花（含灯位开孔，按投影面积计）</t>
  </si>
  <si>
    <t>地面铺600×600mm米色抛光砖(CT-02)（不含斜铺部分）</t>
  </si>
  <si>
    <t>地面铺600×600mm米黄色抛光砖斜铺(CT-01)</t>
  </si>
  <si>
    <t>25MM厚进口皇室啡门槛石连磨边（单边磨）</t>
  </si>
  <si>
    <t>60mm宽深啡网石波打线</t>
  </si>
  <si>
    <t>120mm宽浅啡网石波打线</t>
  </si>
  <si>
    <t>150mm宽深啡网石波打线</t>
  </si>
  <si>
    <t>墙面粘贴600×600mm米色抛光砖含10MM鸡嘴线(CT-02、其它费含开介切角磨边加工费）</t>
  </si>
  <si>
    <t>墙面水泥浆+局部胶粘贴600×600mm米色抛光砖含10MM鸡嘴线(CT-02，其它费含开介切角磨边加工费、胶粘所有工作，胶粘点数不少于4个)</t>
  </si>
  <si>
    <t>墙面胶粘600×600mm米色抛光砖含10MM鸡嘴线(CT-02 、其它费含开介切角磨边加工费、胶粘所有工作，胶粘点不少于5个点）</t>
  </si>
  <si>
    <t>（有保温层处理位）墙面Φ8钢筋+100*50*3mm镀锌铁件+局部胶粘600×600mm米色抛光砖、植筋固定100*50*3mm镀锌铁件，含10MM鸡嘴线(CT-02、其它费含开介切角磨边加工费、胶粘所有工作）（每块砖的铁件胶粘点不少于8点）</t>
  </si>
  <si>
    <t>墙面150mm高深啡色抛光砖踢脚线(CT-03)</t>
  </si>
  <si>
    <t>电梯门套内侧干挂埃及米黄石饰面(含石材磨边)</t>
  </si>
  <si>
    <t>电梯门楣及门顶上方水泥砂湿贴埃及米黄石饰面(含石材磨边)</t>
  </si>
  <si>
    <t>电梯门套干挂120×52mm造型埃及米黄石饰线(含石材磨边)</t>
  </si>
  <si>
    <t>电梯门套120×200mm造型深啡网石基座(含石材磨边)</t>
  </si>
  <si>
    <t>砖墙面贴600×600mm米色抛光砖(CT-02)（往消防楼梯口门套，规格150*80、其它费含开介切角磨边加工费）</t>
  </si>
  <si>
    <t>主材甲方代供代扣代付，展开面积算</t>
  </si>
  <si>
    <t>埃及米黄石窗台板(飘窗台)</t>
  </si>
  <si>
    <t>飘窗台47*77红樱桃木扶手安装含油漆</t>
  </si>
  <si>
    <t>铁艺飘窗栏杆安装</t>
  </si>
  <si>
    <t xml:space="preserve">370.00 </t>
  </si>
  <si>
    <t>明装消防箱处墙面干挂600*600mm米色抛光砖 含10mm鸡嘴线（CT-02、其他费含瓷砖开介切角磨边加工费、钢骨架制作安装费用）</t>
  </si>
  <si>
    <t>电梯门边洞口封堵（ 用1.0mm镀锌铁皮封堵；满填80mm厚岩棉）洞口尺寸综合考虑</t>
  </si>
  <si>
    <t>一位单控开关（不含底盒，）</t>
  </si>
  <si>
    <t>三位单控开关（不含底盒，）</t>
  </si>
  <si>
    <t>二位单控开关（不含底盒，）</t>
  </si>
  <si>
    <t>红外线感应延时开关</t>
  </si>
  <si>
    <t xml:space="preserve">吸顶式感应灯(含光源) </t>
  </si>
  <si>
    <t xml:space="preserve">63.00 </t>
  </si>
  <si>
    <t xml:space="preserve">4“筒灯安装连光源 </t>
  </si>
  <si>
    <t>管内穿BV-2.5MM2单色电线</t>
  </si>
  <si>
    <t>电梯间吊灯安装(含光源及电线驳接)H800，φ660）</t>
  </si>
  <si>
    <t>应急灯插座（10A，不含线管、底盒）</t>
  </si>
  <si>
    <t>双头应急灯（含光源及电线驳接）</t>
  </si>
  <si>
    <t>出口指示灯（含光源及电线驳接）</t>
  </si>
  <si>
    <t>疏散指示灯（含光源及电线驳接）</t>
  </si>
  <si>
    <t>40mm宽白色仿洞石砖波打线（CT-04）</t>
  </si>
  <si>
    <t>电梯门套内侧干挂金花米黄石饰面(含石材磨边)</t>
  </si>
  <si>
    <t>电梯门套干挂120×52mm造型金花米黄石饰线(含石材磨边)</t>
  </si>
  <si>
    <r>
      <rPr>
        <b/>
        <u/>
        <sz val="14"/>
        <rFont val="宋体"/>
        <family val="3"/>
        <charset val="134"/>
      </rPr>
      <t xml:space="preserve">           </t>
    </r>
    <r>
      <rPr>
        <b/>
        <sz val="14"/>
        <rFont val="宋体"/>
        <family val="3"/>
        <charset val="134"/>
      </rPr>
      <t>装修工程标准层电梯前室装修工程清单</t>
    </r>
  </si>
  <si>
    <t>入户前室、楼梯间9MM厚耐水纸面石膏板平级天花（含灯位开孔，按投影面积计）</t>
  </si>
  <si>
    <t>2015-73-30审核</t>
  </si>
  <si>
    <t>130mm高天花石膏饰线</t>
  </si>
  <si>
    <t>100mm高24mm厚墙面夹板拼接线</t>
  </si>
  <si>
    <t>地面铺600×600mm木纹砖(CT-02)（不含斜铺部分）</t>
  </si>
  <si>
    <t>地面铺600×600mm(正反纹拼接)木纹砖斜铺(CT-01)</t>
  </si>
  <si>
    <t>60mm宽深色砖波打线（CT-04）（波打线由厂家负责开介\拼接）</t>
  </si>
  <si>
    <t>120mm宽浅色砖波打线（CT-03）（波打线由厂家负责开介\拼接）</t>
  </si>
  <si>
    <t>连廊地面300×600mm仿古地面砖铺贴工字铺，留3MM缝，白水泥填缝。</t>
  </si>
  <si>
    <t>墙面粘贴600×600mm抛光砖含10MM鸡嘴线(CT-02、其它费含开介切角磨边加工费）</t>
  </si>
  <si>
    <t>墙面水泥浆+局部胶粘贴600×600mm抛光砖含10MM鸡嘴线(CT-02，其它费含开介切角磨边加工费、胶粘所有工作，胶粘点数不少于4个)</t>
  </si>
  <si>
    <t>墙面胶粘600×600mm抛光砖含10MM鸡嘴线(CT-02 、其它费含开介切角磨边加工费、胶粘所有工作，胶粘点不少于5个点）</t>
  </si>
  <si>
    <t>墙面局部胶+砖背开Ｖ型槽或Ｌ型槽+嵌入铜线固定粘贴粘600×600m抛光砖含10MM鸡嘴线(CT-02 、其它费含开介切角磨边加工费、胶粘所有工作，胶粘点不少于5个点，砖背开Ｖ型槽或Ｌ型槽600宽的砖不少于2点800宽的砖不少于3点）</t>
  </si>
  <si>
    <t>（有保温层处理位）墙面Φ8钢筋+100*50*3mm镀锌铁件+局部胶粘600×600mm抛光砖、植筋固定100*50*3mm镀锌铁件，含10MM鸡嘴线(CT-02、其它费含开介切角磨边加工费、胶粘所有工作）（每块砖的铁件胶粘点不少于8点）</t>
  </si>
  <si>
    <t>墙面150mm高深啡色抛光砖踢脚线(CT-03)(成品地脚线,由厂家负责开介磨边)</t>
  </si>
  <si>
    <t>连廊墙面100mm高仿古砖踢脚线(CT-03)(成品地脚线,由厂家负责开介磨边)</t>
  </si>
  <si>
    <t>墙面150mm高白木纹石踢脚线(ST-01)</t>
  </si>
  <si>
    <t>电梯门套内外侧干挂白木纹石饰面(含石材磨边)</t>
  </si>
  <si>
    <t>电梯门顶艺术玻璃（MR-01）5+5mm厚连10mm车边，含龙骨、夹板基层等工作内容。</t>
  </si>
  <si>
    <t>电梯门顶5mm厚灰浅金镜 MR-02，含龙骨、夹板基层等工作内容。</t>
  </si>
  <si>
    <t>(电梯门顶艺术玻璃两侧)圆形造形灰镜钢(工程量按投影面积计算)</t>
  </si>
  <si>
    <t>金镜底部横梁胶粘白木纹石饰面(含石材磨边，基层板)</t>
  </si>
  <si>
    <t>电梯门套干挂110×20mm造型白木纹石饰线(含石材磨边)</t>
  </si>
  <si>
    <t>电梯门套120×27×150mm白木纹石基座(含石材磨边)</t>
  </si>
  <si>
    <t>电梯门套120×27×150mm木纹石基座(含石材磨边)</t>
  </si>
  <si>
    <t>电梯门套基座侧面干挂木纹石(含石材磨边)</t>
  </si>
  <si>
    <t>原首层大堂价</t>
  </si>
  <si>
    <t>电梯厅连廊门套内侧水泥砂浆湿贴埃及米黄石饰面(含石材磨边)</t>
  </si>
  <si>
    <t>电梯厅连廊门套水泥砂浆湿贴97×20mm造型埃及米黄石饰线(含石材磨边)</t>
  </si>
  <si>
    <t>电梯厅连廊门套100×200*23mm造型深啡网石基座(含石材磨边)</t>
  </si>
  <si>
    <t>墙身扇灰油白色乳胶漆（按展开面积，一底二面,包含石膏角线）</t>
  </si>
  <si>
    <t>30mm宽石膏饰线</t>
  </si>
  <si>
    <t>砖墙面贴600×600mm抛光砖(CT-02)（往消防楼梯口门套，规格150*80、其它费含开介切角磨边加工费）</t>
  </si>
  <si>
    <t>埃及米黄石窗台板(平窗台，含加厚边)</t>
  </si>
  <si>
    <t>埃及米黄石窗台板(飘窗台，含加厚边)</t>
  </si>
  <si>
    <t>白木纹石窗台板(平窗台，含加厚边)</t>
  </si>
  <si>
    <t>木纹石窗台板(平窗台，含加厚边)</t>
  </si>
  <si>
    <t>白木纹石窗台板(飘窗台，含加厚边)</t>
  </si>
  <si>
    <t>木纹石窗台板(飘窗台，含加厚边)</t>
  </si>
  <si>
    <t>(仅仅个别地区有）方管喷漆护窗防盗网(详西南11J513-12-36,采用20*20*2钢方管)</t>
  </si>
  <si>
    <t>明装消防箱处墙面干挂600*600mm抛光砖 含10mm鸡嘴线（CT-02、其他费含瓷砖开介切角磨边加工费、钢骨架制作安装费用）</t>
  </si>
  <si>
    <t>豪华吸顶灯(含光源)  （H220，φ500）</t>
  </si>
  <si>
    <t xml:space="preserve">33.02 </t>
  </si>
  <si>
    <t xml:space="preserve">3.5寸筒灯（1#筒灯）安装连光源 </t>
  </si>
  <si>
    <t>附件4-5</t>
  </si>
  <si>
    <t>中档公寓</t>
  </si>
  <si>
    <t>②＝③+③*④+⑤</t>
  </si>
  <si>
    <t>天花扇灰油白色乳胶漆PA-01  （按展开面积计，一底两面）</t>
  </si>
  <si>
    <t>地面铺600×600mm米色抛光砖(CT-02嘉俊PH6013)</t>
  </si>
  <si>
    <t>铺20MM厚进口皇室啡门槛石连磨边（单边磨）</t>
  </si>
  <si>
    <t>铺20MM厚国产皇室啡门槛石连磨边（单边磨）</t>
  </si>
  <si>
    <t>地面水泥砂浆找平、压光（本子目指单独做找平、压光的，不做地砖饰面的情况）</t>
  </si>
  <si>
    <t>墙面扇灰油白色乳胶漆PA-01  （按展开面积计，一底两面）</t>
  </si>
  <si>
    <t>电梯门套干挂120×52mm造型埃及米黄石饰线(含石材磨边，骨架)</t>
  </si>
  <si>
    <t>电梯门套120mm（宽）×200mm（高）×57mm（厚）造型深啡网石基座(含石材磨边)</t>
  </si>
  <si>
    <t>墙面湿贴600×600mm木纹抛光砖CT-01，密拼</t>
  </si>
  <si>
    <t>一位单控开关（10A，不含线管、底盒）</t>
  </si>
  <si>
    <t>单相三极插座（10A，不含线管、底盒）</t>
  </si>
  <si>
    <t>红外线感应延时开关（10A，不含线管、底盒）</t>
  </si>
  <si>
    <t>吸顶式感应灯（含光源及电线驳接）</t>
  </si>
  <si>
    <t>PC20线管敷设（其它费含底盒及相关配件）</t>
  </si>
  <si>
    <t>补充</t>
  </si>
  <si>
    <t>地面铺800×800mm灰色抛光砖(CT-01）</t>
  </si>
  <si>
    <t>墙面铺贴400×800mm仿洞石抛光砖CT-02（其它费含开介切角磨边加工费）</t>
  </si>
  <si>
    <t xml:space="preserve">4“筒灯安装连光源  </t>
  </si>
  <si>
    <t>税金 =(A1+A2+A3+A4)*费率</t>
  </si>
  <si>
    <t>含税装修价 =A1+A2+A3＋A4+A5</t>
  </si>
  <si>
    <t>甲方代供代扣代付材料部分的主材(含主材损耗在内)小计:</t>
  </si>
  <si>
    <t>主材(含主材损耗在内)综合费用=b*费率</t>
  </si>
  <si>
    <t>附件4-6</t>
  </si>
  <si>
    <t>工程量</t>
  </si>
  <si>
    <t>金额</t>
  </si>
  <si>
    <t>入户门和入户门锁及门吸等五金配件材料费</t>
  </si>
  <si>
    <t>入户门连门套（乙级防火）主材费  （单掩门）</t>
  </si>
  <si>
    <t>主材甲方代供代扣代付，主材单价暂定。由装修单位负责安装。</t>
  </si>
  <si>
    <t>入户单开门连门套（非防火门）主材费 （单掩门）</t>
  </si>
  <si>
    <t>含布草间15套</t>
  </si>
  <si>
    <t>入户门连门套（乙级防火）主材费 （子母门）</t>
  </si>
  <si>
    <t>入户门锁、门吸材料费</t>
  </si>
  <si>
    <t>（子母门或双开门）入户门门锁、门吸、插销材料费</t>
  </si>
  <si>
    <t>（A）</t>
  </si>
  <si>
    <t>入户门和入户门锁及门吸等五金配件材料费合计</t>
  </si>
  <si>
    <t>入户门和入户门锁及门吸等五金配件安装人工费</t>
  </si>
  <si>
    <t>入户单开门连门套（乙级防火）安装人工费 （单掩门）</t>
  </si>
  <si>
    <t>装修单位安装</t>
  </si>
  <si>
    <t>入户单开门连门套（非防火门）安装人工费 （单掩门）</t>
  </si>
  <si>
    <t>入户门连门套（乙级防火）安装人工费 （子母门）</t>
  </si>
  <si>
    <t>入户门门锁、门吸、合页安装人工费（单掩门）</t>
  </si>
  <si>
    <t>（子母门或双开门）入户门门锁、门吸、合页、插销安装费</t>
  </si>
  <si>
    <t>（B)</t>
  </si>
  <si>
    <t>入户门锁和入户门锁及门吸等五金配件安装人工费合计</t>
  </si>
  <si>
    <t>入户门及门锁、门吸等（由装修单位安装）材料费取费程序</t>
  </si>
  <si>
    <t>入户门及门锁、门吸等材料费合计</t>
  </si>
  <si>
    <t>乙方收取上述材料的场内二次运输、保管、卸车及综合管理费  A2=A1*费率</t>
  </si>
  <si>
    <t>税金 =(A1+A2+A3)*费率</t>
  </si>
  <si>
    <t>含税装修价 =A1+A2+A3+A4</t>
  </si>
  <si>
    <t>入户门及门锁、门吸等（由装修单位安装）安装费取费程序</t>
  </si>
  <si>
    <t>入户门及门锁、门吸等安装费合计</t>
  </si>
  <si>
    <t>综合费用=B1*费率</t>
  </si>
  <si>
    <t>利润=B1*费率</t>
  </si>
  <si>
    <t>税金 =(B1+B2+B3+B4)*费率</t>
  </si>
  <si>
    <t>含税装修价 =B1+B2+B3＋B4+B5</t>
  </si>
  <si>
    <t>含税装修总造价 =(A5+B6)</t>
  </si>
  <si>
    <r>
      <rPr>
        <b/>
        <u/>
        <sz val="14"/>
        <rFont val="宋体"/>
        <family val="3"/>
        <charset val="134"/>
      </rPr>
      <t xml:space="preserve">                   </t>
    </r>
    <r>
      <rPr>
        <b/>
        <sz val="14"/>
        <rFont val="宋体"/>
        <family val="3"/>
        <charset val="134"/>
      </rPr>
      <t>楼装修工程-首层门廊外立面石材装修工程量清单</t>
    </r>
  </si>
  <si>
    <t>基价②＝③+③*④+⑤</t>
  </si>
  <si>
    <t>其  中</t>
  </si>
  <si>
    <t>其中主材基价</t>
  </si>
  <si>
    <t>主材总损耗率</t>
  </si>
  <si>
    <t>其中主材基价③</t>
  </si>
  <si>
    <t>主材总损耗率④</t>
  </si>
  <si>
    <t>其它费⑤</t>
  </si>
  <si>
    <t>国产金麻黄系列首层门廊外墙石材</t>
  </si>
  <si>
    <t>墙、柱面干挂国产光面28mm厚金麻黄花岗岩（包含的图纸中所有石材（含28MM厚组合的石材装饰线），且本清单中未单独列项的金麻黄花岗岩石材干挂项目套用此项目单价）(按见光展开面积计)</t>
  </si>
  <si>
    <r>
      <rPr>
        <sz val="9"/>
        <rFont val="宋体"/>
        <family val="3"/>
        <charset val="134"/>
      </rPr>
      <t>m</t>
    </r>
    <r>
      <rPr>
        <vertAlign val="superscript"/>
        <sz val="9"/>
        <rFont val="宋体"/>
        <family val="3"/>
        <charset val="134"/>
      </rPr>
      <t>2</t>
    </r>
  </si>
  <si>
    <t>m2</t>
  </si>
  <si>
    <t>墙、柱面干挂国产光面25mm厚金麻黄花岗岩（包含的图纸中所有石材（含25MM厚组合的石材装饰线），且本清单中未单独列项的金麻黄花岗岩干挂项目套用此项目单价）(按见光展开面积计)</t>
  </si>
  <si>
    <t>柱面干挂国产光面30mm厚金麻黄花岗岩（包含的图纸中所有石材（含30MM厚组合的石材装饰线），且本清单中未单独列项的金麻黄花岗干挂项目套用此项目单价）(按见光展开面积计)</t>
  </si>
  <si>
    <t>圆柱面干挂R=600MM圆形金麻黄花岗岩，2半圆等分拼接(按见光展开面积计)（最薄处厚度不少于25MM）</t>
  </si>
  <si>
    <t>檐口压顶干挂国产光面28mm厚金麻黄花岗岩(按见光展开面积计)</t>
  </si>
  <si>
    <t>檐口压顶干挂国产光面25mm厚金麻黄花岗岩(按见光展开面积计)</t>
  </si>
  <si>
    <t>檐口压顶干挂国产光面30mm厚金麻黄花岗岩(按见光展开面积计)</t>
  </si>
  <si>
    <t>柱脚干挂150mm高*110mm厚金麻黄花岗岩异型石线（按线条外边线计算工程量）</t>
  </si>
  <si>
    <t>柱脚干挂150mm高*105mm厚金麻黄花岗岩异型石线（按线条外边线计算工程量）</t>
  </si>
  <si>
    <t>柱脚干挂150mm高*100mm厚金麻黄花岗岩异型石线（按线条外边线计算工程量）</t>
  </si>
  <si>
    <t>柱脚干挂150mm高*80mm厚金麻黄花岗岩异型石线（按线条外边线计算工程量）</t>
  </si>
  <si>
    <t>方柱柱墩周圈干挂125㎜高108㎜宽国产金麻黄花岗岩异型整体装饰线（参见门廊节点图饰线4）</t>
  </si>
  <si>
    <t>柱墩干挂90㎜高国产光面金麻黄花岗岩异型整体装饰线</t>
  </si>
  <si>
    <t>圆柱头/脚干挂150mm高、R=720MM圆形金麻黄花岗岩异型石线（按线条外边线计算工程量）整个圆形两拼</t>
  </si>
  <si>
    <t>圆柱头/脚干挂120mm高、R=840MM圆形金麻黄花岗岩石线（按线条外边线计算工程量）整个圆形两拼</t>
  </si>
  <si>
    <t>21015-8-28审核</t>
  </si>
  <si>
    <t>檐口干挂326mm高*365mm宽金麻黄花岗岩异型石材线条(R=172)（按线条外边线计算工程量）</t>
  </si>
  <si>
    <r>
      <rPr>
        <sz val="9"/>
        <rFont val="宋体"/>
        <family val="3"/>
        <charset val="134"/>
      </rPr>
      <t>檐口干挂298mm高*298mm宽金麻黄花岗岩异型石材线条(R=180)（按线条外边线计算工程量）</t>
    </r>
  </si>
  <si>
    <t>檐口干挂298mm高*298mm宽金麻黄花岗岩异型石材线条(R=180)（按线条外边线计算工程量）</t>
  </si>
  <si>
    <t>檐口干挂203mm高*174mm宽金麻黄花岗岩异型圆弧型石材线条(R=)（按线条外边线计算工程量）</t>
  </si>
  <si>
    <t>檐口顶部上饰线180mm高*180mm国产光面金麻黄花岗岩异形整体饰线</t>
  </si>
  <si>
    <t>檐口干挂178MM高180MM厚圆弧型光面国产金麻黄花岗岩异型圆弧形石材线条(R=)（按线条外边线计算工程量）</t>
  </si>
  <si>
    <r>
      <rPr>
        <sz val="9"/>
        <rFont val="宋体"/>
        <family val="3"/>
        <charset val="134"/>
      </rPr>
      <t>檐口干挂210mm高*210mm宽金麻黄花岗岩异型圆弧型石材线条(R=)（按线条外边线计算工程量）</t>
    </r>
  </si>
  <si>
    <t>檐口干挂210mm高*210mm宽金麻黄花岗岩异型圆弧型石材线条(R=)（按线条外边线计算工程量）</t>
  </si>
  <si>
    <t>门廊顶部干挂上饰线200mm高200㎜宽国产金麻黄花岗岩异形整体装饰线</t>
  </si>
  <si>
    <t>檐口干挂65mm高*65mm厚金麻黄花岗岩石材线条（按线条外边线计算工程量）</t>
  </si>
  <si>
    <t>墙面干挂150mm高125mm厚L型金麻黄花岗岩石材线条（按线条外边线计算工程量）</t>
  </si>
  <si>
    <t>墙面干挂150mm高130mm厚L型金麻黄花岗岩石材线条（按线条外边线计算工程量）</t>
  </si>
  <si>
    <t>墙面干挂150mm高95mm厚L型金麻黄花岗岩石材线条（按线条外边线计算工程量）</t>
  </si>
  <si>
    <t>墙面干挂150mm高70mm厚L型金麻黄花岗岩石材线条（按线条外边线计算工程量）</t>
  </si>
  <si>
    <t>门头金麻黄花岗岩石材券心石造型</t>
  </si>
  <si>
    <t>券心石顶暗藏不锈钢边框10MM钢化玻璃灯具（315*127MM,包含光源、具体式样按效果图）</t>
  </si>
  <si>
    <t>券心石顶暗藏射灯（包含光源）</t>
  </si>
  <si>
    <r>
      <rPr>
        <sz val="9"/>
        <rFont val="宋体"/>
        <family val="3"/>
        <charset val="134"/>
      </rPr>
      <t>管内穿电线（2.5MM2铜芯线）</t>
    </r>
  </si>
  <si>
    <t>管内穿电线（2.5MM2铜芯线）</t>
  </si>
  <si>
    <t>PVC线管安装（其它费包含相关附料，敷设方式综合考虑）</t>
  </si>
  <si>
    <t>一位开关安装</t>
  </si>
  <si>
    <t>外墙脚手架搭拆</t>
  </si>
  <si>
    <t>国产豹皮花系列首层门廊外墙石材</t>
  </si>
  <si>
    <t>墙、柱面干挂国产光面28mm厚豹皮花花岗岩（含28MM厚组合的石材装饰线），且本清单中未单独列项的豹皮花花岗岩干挂项目套用此项目单价）(按展开面积计)(按见光展开面积计)</t>
  </si>
  <si>
    <t>墙、柱面干挂国产光面25mm厚豹皮花花岗岩（包含的图纸中所有石材（含25MM厚组合的石材装饰线），且本清单中未单独列项的豹皮花花岗岩干挂项目套用此项目单价）(按见光展开面积计)</t>
  </si>
  <si>
    <t>柱面干挂国产光面30mm厚豹皮花花岗岩（包含的图纸中所有石材（含30MM厚组合的石材装饰线），且本清单中未单独列项的豹皮花花岗岩干挂项目套用此项目单价）(按见光展开面积计)</t>
  </si>
  <si>
    <t>檐口压顶干挂国产光面28mm厚豹皮花花岗岩(按见光展开面积计)</t>
  </si>
  <si>
    <t>檐口压顶干挂国产光面25mm厚豹皮花花岗岩(按见光展开面积计)</t>
  </si>
  <si>
    <t>檐口压顶干挂国产光面30mm厚豹皮花花岗岩(按见光展开面积计)</t>
  </si>
  <si>
    <t>墙面干挂国产光面25mm厚金砂绿花岗岩(按见光展开面积计)</t>
  </si>
  <si>
    <t>21015-9-6审核</t>
  </si>
  <si>
    <t>墙面干挂国产光面30mm厚金砂绿花岗岩(按见光展开面积计)</t>
  </si>
  <si>
    <t>墙面湿贴国产光面25mm厚金砂绿花岗岩(按见光展开面积计)</t>
  </si>
  <si>
    <t>柱脚干挂150mm高*135mm厚豹皮花花岗岩异型石线（按线条外边线计算工程量）</t>
  </si>
  <si>
    <t xml:space="preserve">柱脚干挂150mm高128mm厚L形豹皮花花岗岩石材线条（按线条外边线计算工程量）标高0.5m处 </t>
  </si>
  <si>
    <t>柱脚干挂150mm高*109mm厚豹皮花花岗岩异型石线（按线条外边线计算工程量）</t>
  </si>
  <si>
    <t>柱脚干挂150mm高*110mm厚豹皮花花岗岩异型石线（按线条外边线计算工程量）</t>
  </si>
  <si>
    <t>21015-7-30审核</t>
  </si>
  <si>
    <t>柱脚干挂150MM高*105MM厚豹皮花花岗岩异型石线（按线条外边线计算工程量）</t>
  </si>
  <si>
    <t>柱脚干挂150mm高*100mm厚豹皮花花岗岩异型石线（按线条外边线计算工程量）</t>
  </si>
  <si>
    <t>柱脚干挂150mm高*80mm厚豹皮花花岗岩异型石线（按线条外边线计算工程量）</t>
  </si>
  <si>
    <t>柱脚干挂100mm高*80mm厚金砂绿花岗岩石材线条（按线条外边线计算工程量）</t>
  </si>
  <si>
    <t>柱脚干挂80mm高*130mm厚金砂绿花岗岩石材线条（按线条外边线计算工程量）</t>
  </si>
  <si>
    <t>方柱柱墩周圈干挂125㎜高108㎜厚国产光面豹皮花花岗岩异型整体装饰线（参见门廊节点图饰线4）</t>
  </si>
  <si>
    <t>柱脚干挂150mm高*105mm厚金砂绿花岗岩异型石线（按线条外边线计算工程量）</t>
  </si>
  <si>
    <t>柱脚干挂100mm高*100mm厚金砂绿花岗岩异型石线（按线条外边线计算工程量）</t>
  </si>
  <si>
    <t>檐口干挂342mm高*493mm宽豹皮花花岗岩异型石材线条（按线条外边线计算工程量）</t>
  </si>
  <si>
    <t>21015-8-21审核</t>
  </si>
  <si>
    <t>檐口干挂338mm高*320mm厚豹皮花花岗岩异型石材线条(R=)</t>
  </si>
  <si>
    <t>6</t>
  </si>
  <si>
    <r>
      <rPr>
        <sz val="9"/>
        <rFont val="宋体"/>
        <family val="3"/>
        <charset val="134"/>
      </rPr>
      <t>檐口干挂298mm高*298mm宽豹皮花花岗岩异型石材线条(R=180)（按线条外边线计算工程量）</t>
    </r>
  </si>
  <si>
    <t>檐口干挂298mm高*298mm宽豹皮花花岗岩异型石材线条(R=180)（按线条外边线计算工程量）</t>
  </si>
  <si>
    <t>檐口干挂270mm高*275mm宽豹皮花花岗岩异型石材线条(R=180)（按线条外边线计算工程量）</t>
  </si>
  <si>
    <t>檐口干挂264mm高*275mm宽豹皮花花岗岩异型石材线条(R=180)（按线条外边线计算工程量）</t>
  </si>
  <si>
    <t>檐口干挂262mm高*280mm宽豹皮花花岗岩异型石材线条（按线条外边线计算工程量）</t>
  </si>
  <si>
    <t>2015-8-7审核</t>
  </si>
  <si>
    <t>檐口干挂218mm高*210mm宽豹皮花花岗岩异型圆弧型石材线条(R=)（按线条外边线计算工程量）</t>
  </si>
  <si>
    <t>檐口干挂218mm高*205mm宽豹皮花花岗岩异型圆弧型石材线条(R=)（按线条外边线计算工程量）</t>
  </si>
  <si>
    <t>2015-9-6审核</t>
  </si>
  <si>
    <t>檐口干挂213mm高*210mm宽豹皮花花岗岩异型石材线条(R=173)（按线条外边线计算工程量）</t>
  </si>
  <si>
    <t>檐口干挂203mm高*174mm宽豹皮花花岗岩异型圆弧型石材线条(R=)（按线条外边线计算工程量）</t>
  </si>
  <si>
    <r>
      <rPr>
        <sz val="9"/>
        <rFont val="宋体"/>
        <family val="3"/>
        <charset val="134"/>
      </rPr>
      <t>檐口干挂210mm高*210mm宽豹皮花花岗岩异型圆弧型石材线条(R=)（按线条外边线计算工程量）</t>
    </r>
  </si>
  <si>
    <t>檐口干挂210mm高*210mm宽豹皮花花岗岩异型圆弧型石材线条(R=)（按线条外边线计算工程量）</t>
  </si>
  <si>
    <t>檐口干挂181mm高*208mm厚豹皮花花岗岩异型石材线条(R=)</t>
  </si>
  <si>
    <t>檐口干挂178MM高180MM厚圆弧型光面国产豹皮花花岗岩异型圆弧形石材线条（按线条外边线计算工程量）</t>
  </si>
  <si>
    <t>门廊顶部干挂上饰线180mm高178MM厚国产光面豹皮花花岗岩异形整体装饰线</t>
  </si>
  <si>
    <t>21015-8-4审核</t>
  </si>
  <si>
    <t>檐口干挂177mm高*171mm宽豹皮花花岗岩异型圆弧型石材线条(R=182)（按线条外边线计算工程量）</t>
  </si>
  <si>
    <t>檐口干挂90mm高*100mm厚豹皮花花岗岩石材线条（按线条外边线计算工程量）</t>
  </si>
  <si>
    <t>檐口干挂90mm高*95mm厚豹皮花花岗岩石材线条（按线条外边线计算工程量）</t>
  </si>
  <si>
    <t>檐口干挂90mm高*80mm厚豹皮花花岗岩石材线条（按线条外边线计算工程量</t>
  </si>
  <si>
    <t>檐口干挂65mm高*65mm厚豹皮花花岗岩石材线条（按线条外边线计算工程量）</t>
  </si>
  <si>
    <t>檐口干挂60mm高*140mm厚豹皮花石材线条</t>
  </si>
  <si>
    <t>墙面干挂200mm高*130mm厚豹皮花花岗岩石材线条（按线条外边线计算工程量）</t>
  </si>
  <si>
    <t>墙面干挂150mm高125mm厚L型豹皮花花岗岩石材线条（按线条外边线计算工程量）</t>
  </si>
  <si>
    <t>墙面干挂150mm高95mm厚L型豹皮花花岗岩石材线条（按线条外边线计算工程量）</t>
  </si>
  <si>
    <t>墙面干挂150mm高130mm厚L型豹皮花花岗岩石材线条（按线条外边线计算工程量）</t>
  </si>
  <si>
    <t>墙面干挂200mm高128mm厚L形豹皮花花岗岩石材线条（按线条外边线计算工程量）标高3.5m处</t>
  </si>
  <si>
    <t>墙面干挂100mm高*80mm厚豹皮花花岗岩石材线条（按线条外边线计算工程量）</t>
  </si>
  <si>
    <r>
      <rPr>
        <sz val="9"/>
        <rFont val="宋体"/>
        <family val="3"/>
        <charset val="134"/>
      </rPr>
      <t>檐口干挂100mm高*95mm厚豹皮花花岗岩石材线条（按线条外边线计算工程量）</t>
    </r>
  </si>
  <si>
    <t>檐口干挂100mm高*95mm厚豹皮花花岗岩石材线条（按线条外边线计算工程量）</t>
  </si>
  <si>
    <r>
      <rPr>
        <sz val="9"/>
        <rFont val="宋体"/>
        <family val="3"/>
        <charset val="134"/>
      </rPr>
      <t>檐口干挂115mm高*80mm厚豹皮花花岗岩石材线条（按线条外边线计算工程量）</t>
    </r>
  </si>
  <si>
    <t>檐口干挂115mm高*80mm厚豹皮花花岗岩石材线条（按线条外边线计算工程量）</t>
  </si>
  <si>
    <t>檐口干挂94mm高*60mm厚豹皮花花岗岩石材线条（按线条外边线计算工程量）</t>
  </si>
  <si>
    <t>檐口干挂112mm高*70mm厚豹皮花花岗岩石材线条（按线条外边线计算工程量）</t>
  </si>
  <si>
    <t>檐口干挂170mm高*80mm厚豹皮花花岗岩石材线条（按线条外边线计算工程量）</t>
  </si>
  <si>
    <t>檐口干挂300mm高*178mm厚L形豹皮花花岗岩石材线条（按线条外边线计算工程量）标高4.4m处</t>
  </si>
  <si>
    <t>门头豹皮花石材券心石造型</t>
  </si>
  <si>
    <t>说明：</t>
  </si>
  <si>
    <r>
      <rPr>
        <sz val="9"/>
        <rFont val="宋体"/>
        <family val="3"/>
        <charset val="134"/>
      </rPr>
      <t>1、所有干挂石材、线条及造型均包含以下工作内容：1.热镀锌钢材钢骨架制作（含预埋件或后埋件）；2.石材的开槽磨边加工；3.安装不锈钢干挂件；4、石材防污及防水；5.石材安装、塞缝、打胶；6.板面清理等全部工作内容。7、所有石材均包括:防水、防污、六面防护处理、开槽、磨边及图纸设计中应完成的其它内容。
2、本清单中的甲方代供代扣代付材料主材基价为暂定，结算时按施工现场交货清单中的单价据实结算。若因甲方原因变更甲方代供代扣代付材料，则本清单除主材基价调整外，其它费、取费表、工程量不作调整，甲方代供代扣代付材料总损耗率除材料规格变化外其他因素发生变化不作调整。
3、.本清单中的基价=主材基价+主材总损耗+其它费，该基价不含综合费、利润、税金，取费标准按本清单的取费程序表。公式中的主材基价为材料到工地价，不含卸车费；主材总损耗包含材料的卸车损耗、开料损耗、加工损耗、施工损耗、二次运输损耗等损耗在内；其它费包含人工费、机械费、辅材费、材料卸车费、材料所须的各种检测费及试验费、材料场内二次运输费、合同工期内的赶工费、施工水电费、技术措施费、文明施工费、雨季或异常气候施工措施费（不包含冬季施工增加费）、垃圾清运到甲方指定地点堆放费用、现场经费等费用。
4、本清单中的主基价、消耗量及其它费不因任何因素而作任何调整。
5、本清单没有特别说明的均参照住宅装修工程标准清单中的编制说明执行。</t>
    </r>
  </si>
  <si>
    <r>
      <rPr>
        <u/>
        <sz val="16"/>
        <rFont val="宋体"/>
        <family val="3"/>
        <charset val="134"/>
      </rPr>
      <t xml:space="preserve">           </t>
    </r>
    <r>
      <rPr>
        <sz val="16"/>
        <rFont val="宋体"/>
        <family val="2"/>
        <charset val="134"/>
      </rPr>
      <t>楼装修工程</t>
    </r>
    <r>
      <rPr>
        <sz val="16"/>
        <rFont val="宋体"/>
        <family val="3"/>
        <charset val="134"/>
      </rPr>
      <t>-</t>
    </r>
    <r>
      <rPr>
        <sz val="16"/>
        <rFont val="宋体"/>
        <family val="2"/>
        <charset val="134"/>
      </rPr>
      <t>首层商铺外立面装修工程量清单</t>
    </r>
  </si>
  <si>
    <t>名户型单套工程量</t>
  </si>
  <si>
    <t>名户型单套金额</t>
  </si>
  <si>
    <t>主材基价③</t>
  </si>
  <si>
    <t>甲供人材机</t>
  </si>
  <si>
    <r>
      <rPr>
        <sz val="10"/>
        <rFont val="Helv"/>
        <family val="2"/>
        <charset val="134"/>
      </rPr>
      <t>2015-8-4</t>
    </r>
    <r>
      <rPr>
        <sz val="10"/>
        <rFont val="宋体"/>
        <family val="3"/>
        <charset val="134"/>
      </rPr>
      <t>审核</t>
    </r>
  </si>
  <si>
    <t>600mm高广告灯箱(含广告灯箱片、荧光管组；5厘白色灯箱透光胶片，周边为1mm厚砂钢板；T8灯管,背部12mm阻燃、1mm厚砂钢板收口，广告灯箱涉及的内部镀锌钢结构、、铁件及辅料、灯箱后夹板包卷闸门头顶部装饰等在内)，按灯箱的正投影面积计算（不含卷帘）</t>
  </si>
  <si>
    <t>商铺外墙15mm厚钢化玻璃双开门（包含开孔、磨边加工，不含拉手、地弹簧） ,若玻璃调整为12mm厚,则主材调整为120元/平米,其它费不作调整</t>
  </si>
  <si>
    <t>商铺不锈钢拉手安装（参考品牌：帮得手BDS-411拉手）（一扇门为一套）</t>
  </si>
  <si>
    <t>商铺玻璃门地弹簧安装（参考品牌：坚朗HD205）</t>
  </si>
  <si>
    <t>商铺玻璃门门锁安装（参考品牌：坚朗）</t>
  </si>
  <si>
    <t>壁灯</t>
  </si>
  <si>
    <t>柱脚湿贴20厚光面金砂绿花岗岩</t>
  </si>
  <si>
    <t>柱身湿贴豹皮花仿石砖</t>
  </si>
  <si>
    <t>檐口干挂242mm高豹皮花花岗岩异型石材线条(R=197)（按线条外边线计算工程量）</t>
  </si>
  <si>
    <t>门廊檐口（上饰线）干挂202mm高豹皮花花岗石造型组合线条（按线条外边线计算工程量）</t>
  </si>
  <si>
    <r>
      <rPr>
        <sz val="10"/>
        <rFont val="Helv"/>
        <family val="2"/>
        <charset val="134"/>
      </rPr>
      <t>2015-8-28</t>
    </r>
    <r>
      <rPr>
        <sz val="10"/>
        <rFont val="宋体"/>
        <family val="3"/>
        <charset val="134"/>
      </rPr>
      <t>审核</t>
    </r>
  </si>
  <si>
    <t>商铺檐口195mm高*225mm宽国产光面豹皮花花岗石弧形线条（R=200mm）</t>
  </si>
  <si>
    <t xml:space="preserve">商铺檐口105mm高*95mm宽国产光面豹皮花花岗石异型线条
</t>
  </si>
  <si>
    <t xml:space="preserve">商铺檐口125mm高*55mm宽国产光面豹皮花花岗石异型线条
</t>
  </si>
  <si>
    <t>柱脚湿贴100mm高*110mm厚金砂绿花岗岩饰线（按线条外边线计算工程量）</t>
  </si>
  <si>
    <t>门廊柱脚干挂150mm高120mm厚豹皮花花岗石线条</t>
  </si>
  <si>
    <r>
      <rPr>
        <b/>
        <u/>
        <sz val="12"/>
        <rFont val="宋体"/>
        <family val="3"/>
        <charset val="134"/>
      </rPr>
      <t xml:space="preserve">            </t>
    </r>
    <r>
      <rPr>
        <b/>
        <sz val="12"/>
        <rFont val="宋体"/>
        <family val="3"/>
        <charset val="134"/>
      </rPr>
      <t>楼室内精装修工程门牌安装工程标准清单
（由装修单位负责安装）</t>
    </r>
  </si>
  <si>
    <r>
      <rPr>
        <sz val="9"/>
        <rFont val="宋体"/>
        <family val="3"/>
        <charset val="134"/>
      </rPr>
      <t>序号</t>
    </r>
  </si>
  <si>
    <r>
      <rPr>
        <sz val="9"/>
        <rFont val="宋体"/>
        <family val="3"/>
        <charset val="134"/>
      </rPr>
      <t>工</t>
    </r>
    <r>
      <rPr>
        <sz val="9"/>
        <rFont val="Arial"/>
        <family val="2"/>
        <charset val="134"/>
      </rPr>
      <t xml:space="preserve">  </t>
    </r>
    <r>
      <rPr>
        <sz val="9"/>
        <rFont val="宋体"/>
        <family val="3"/>
        <charset val="134"/>
      </rPr>
      <t>程</t>
    </r>
    <r>
      <rPr>
        <sz val="9"/>
        <rFont val="Arial"/>
        <family val="2"/>
        <charset val="134"/>
      </rPr>
      <t xml:space="preserve">  </t>
    </r>
    <r>
      <rPr>
        <sz val="9"/>
        <rFont val="宋体"/>
        <family val="3"/>
        <charset val="134"/>
      </rPr>
      <t>项</t>
    </r>
    <r>
      <rPr>
        <sz val="9"/>
        <rFont val="Arial"/>
        <family val="2"/>
        <charset val="134"/>
      </rPr>
      <t xml:space="preserve">  </t>
    </r>
    <r>
      <rPr>
        <sz val="9"/>
        <rFont val="宋体"/>
        <family val="3"/>
        <charset val="134"/>
      </rPr>
      <t>目</t>
    </r>
  </si>
  <si>
    <r>
      <rPr>
        <sz val="9"/>
        <rFont val="宋体"/>
        <family val="3"/>
        <charset val="134"/>
      </rPr>
      <t>单位</t>
    </r>
  </si>
  <si>
    <r>
      <rPr>
        <sz val="9"/>
        <rFont val="宋体"/>
        <family val="3"/>
        <charset val="134"/>
      </rPr>
      <t>工程量</t>
    </r>
  </si>
  <si>
    <r>
      <rPr>
        <sz val="9"/>
        <rFont val="宋体"/>
        <family val="3"/>
        <charset val="134"/>
      </rPr>
      <t>基价</t>
    </r>
  </si>
  <si>
    <r>
      <rPr>
        <sz val="9"/>
        <rFont val="宋体"/>
        <family val="3"/>
        <charset val="134"/>
      </rPr>
      <t>其</t>
    </r>
    <r>
      <rPr>
        <sz val="9"/>
        <rFont val="Arial"/>
        <family val="2"/>
        <charset val="134"/>
      </rPr>
      <t xml:space="preserve">   </t>
    </r>
    <r>
      <rPr>
        <sz val="9"/>
        <rFont val="宋体"/>
        <family val="3"/>
        <charset val="134"/>
      </rPr>
      <t>中</t>
    </r>
  </si>
  <si>
    <r>
      <rPr>
        <sz val="9"/>
        <rFont val="宋体"/>
        <family val="3"/>
        <charset val="134"/>
      </rPr>
      <t>金额</t>
    </r>
  </si>
  <si>
    <r>
      <rPr>
        <sz val="9"/>
        <rFont val="宋体"/>
        <family val="3"/>
        <charset val="134"/>
      </rPr>
      <t>备注</t>
    </r>
  </si>
  <si>
    <r>
      <rPr>
        <sz val="9"/>
        <rFont val="宋体"/>
        <family val="3"/>
        <charset val="134"/>
      </rPr>
      <t>主材基价</t>
    </r>
  </si>
  <si>
    <r>
      <rPr>
        <sz val="9"/>
        <rFont val="宋体"/>
        <family val="3"/>
        <charset val="134"/>
      </rPr>
      <t>材料总损耗率</t>
    </r>
    <r>
      <rPr>
        <sz val="9"/>
        <rFont val="Arial"/>
        <family val="2"/>
        <charset val="134"/>
      </rPr>
      <t>%</t>
    </r>
  </si>
  <si>
    <r>
      <rPr>
        <sz val="9"/>
        <rFont val="宋体"/>
        <family val="3"/>
        <charset val="134"/>
      </rPr>
      <t>其它费</t>
    </r>
  </si>
  <si>
    <r>
      <rPr>
        <sz val="9"/>
        <rFont val="宋体"/>
        <family val="3"/>
        <charset val="134"/>
      </rPr>
      <t>②＝③</t>
    </r>
    <r>
      <rPr>
        <sz val="9"/>
        <rFont val="Arial"/>
        <family val="2"/>
        <charset val="134"/>
      </rPr>
      <t>+</t>
    </r>
    <r>
      <rPr>
        <sz val="9"/>
        <rFont val="宋体"/>
        <family val="3"/>
        <charset val="134"/>
      </rPr>
      <t>③</t>
    </r>
    <r>
      <rPr>
        <sz val="9"/>
        <rFont val="Arial"/>
        <family val="2"/>
        <charset val="134"/>
      </rPr>
      <t>*</t>
    </r>
    <r>
      <rPr>
        <sz val="9"/>
        <rFont val="宋体"/>
        <family val="3"/>
        <charset val="134"/>
      </rPr>
      <t>④</t>
    </r>
    <r>
      <rPr>
        <sz val="9"/>
        <rFont val="Arial"/>
        <family val="2"/>
        <charset val="134"/>
      </rPr>
      <t>+</t>
    </r>
    <r>
      <rPr>
        <sz val="9"/>
        <rFont val="宋体"/>
        <family val="3"/>
        <charset val="134"/>
      </rPr>
      <t>⑤</t>
    </r>
  </si>
  <si>
    <r>
      <rPr>
        <sz val="9"/>
        <rFont val="宋体"/>
        <family val="3"/>
        <charset val="134"/>
      </rPr>
      <t>③</t>
    </r>
  </si>
  <si>
    <r>
      <rPr>
        <sz val="9"/>
        <rFont val="宋体"/>
        <family val="3"/>
        <charset val="134"/>
      </rPr>
      <t>④</t>
    </r>
  </si>
  <si>
    <r>
      <rPr>
        <sz val="9"/>
        <rFont val="宋体"/>
        <family val="3"/>
        <charset val="134"/>
      </rPr>
      <t>⑤</t>
    </r>
  </si>
  <si>
    <r>
      <rPr>
        <sz val="9"/>
        <rFont val="Arial"/>
        <family val="2"/>
        <charset val="134"/>
      </rPr>
      <t>a*</t>
    </r>
    <r>
      <rPr>
        <sz val="9"/>
        <rFont val="宋体"/>
        <family val="3"/>
        <charset val="134"/>
      </rPr>
      <t>②</t>
    </r>
  </si>
  <si>
    <t>单元门牌安装(门牌由甲方提供，其费用不计入报价。(安装所需其他材料费如螺钉、胶等均由乙方自购)</t>
  </si>
  <si>
    <t>电梯厅门牌安装(门牌由甲方提供，其费用不计入报价。(安装所需其他材料费如螺钉、胶等均由乙方自购)</t>
  </si>
  <si>
    <t>套内单元入户门牌安装(门牌由甲方提供，其费用不计入报价。安装所需其他材料费如螺钉、胶等均由乙方自购)</t>
  </si>
  <si>
    <r>
      <rPr>
        <b/>
        <sz val="9"/>
        <rFont val="宋体"/>
        <family val="3"/>
        <charset val="134"/>
      </rPr>
      <t>【工程项目取费表】</t>
    </r>
  </si>
  <si>
    <t>门牌安装费合计</t>
  </si>
  <si>
    <r>
      <rPr>
        <sz val="9"/>
        <rFont val="宋体"/>
        <family val="3"/>
        <charset val="134"/>
      </rPr>
      <t>综合费用</t>
    </r>
    <r>
      <rPr>
        <sz val="9"/>
        <rFont val="Arial"/>
        <family val="2"/>
        <charset val="134"/>
      </rPr>
      <t>=B1*</t>
    </r>
    <r>
      <rPr>
        <sz val="9"/>
        <rFont val="宋体"/>
        <family val="3"/>
        <charset val="134"/>
      </rPr>
      <t>费率</t>
    </r>
  </si>
  <si>
    <r>
      <rPr>
        <sz val="9"/>
        <rFont val="宋体"/>
        <family val="3"/>
        <charset val="134"/>
      </rPr>
      <t>利润</t>
    </r>
    <r>
      <rPr>
        <sz val="9"/>
        <rFont val="Arial"/>
        <family val="2"/>
        <charset val="134"/>
      </rPr>
      <t>=B1*</t>
    </r>
    <r>
      <rPr>
        <sz val="9"/>
        <rFont val="宋体"/>
        <family val="3"/>
        <charset val="134"/>
      </rPr>
      <t>费率</t>
    </r>
  </si>
  <si>
    <r>
      <rPr>
        <sz val="9"/>
        <rFont val="宋体"/>
        <family val="3"/>
        <charset val="134"/>
      </rPr>
      <t>远征费</t>
    </r>
    <r>
      <rPr>
        <sz val="9"/>
        <rFont val="Arial"/>
        <family val="2"/>
        <charset val="134"/>
      </rPr>
      <t>=B1*</t>
    </r>
    <r>
      <rPr>
        <sz val="9"/>
        <rFont val="宋体"/>
        <family val="3"/>
        <charset val="134"/>
      </rPr>
      <t>费率</t>
    </r>
  </si>
  <si>
    <r>
      <rPr>
        <sz val="9"/>
        <rFont val="宋体"/>
        <family val="3"/>
        <charset val="134"/>
      </rPr>
      <t>税金</t>
    </r>
    <r>
      <rPr>
        <sz val="9"/>
        <rFont val="Arial"/>
        <family val="2"/>
        <charset val="134"/>
      </rPr>
      <t xml:space="preserve"> =(B1+B2+B3+B4)*</t>
    </r>
    <r>
      <rPr>
        <sz val="9"/>
        <rFont val="宋体"/>
        <family val="3"/>
        <charset val="134"/>
      </rPr>
      <t>费率</t>
    </r>
  </si>
  <si>
    <r>
      <rPr>
        <sz val="9"/>
        <rFont val="宋体"/>
        <family val="3"/>
        <charset val="134"/>
      </rPr>
      <t>含税装修价</t>
    </r>
    <r>
      <rPr>
        <sz val="9"/>
        <rFont val="Arial"/>
        <family val="2"/>
        <charset val="134"/>
      </rPr>
      <t xml:space="preserve"> =B1+B2+B3</t>
    </r>
    <r>
      <rPr>
        <sz val="9"/>
        <rFont val="宋体"/>
        <family val="3"/>
        <charset val="134"/>
      </rPr>
      <t>＋</t>
    </r>
    <r>
      <rPr>
        <sz val="9"/>
        <rFont val="Arial"/>
        <family val="2"/>
        <charset val="134"/>
      </rPr>
      <t>B4+B5</t>
    </r>
  </si>
  <si>
    <t>卫生间、洗消间天花墙面扇灰油白色防水乳胶漆（按展开面积，一底二面,包含石膏角线)）</t>
  </si>
  <si>
    <t>不甲供</t>
  </si>
  <si>
    <t>轻钢龙骨8MM厚硅酸钙板平面天花（含灯位开孔，按投影面积计算）</t>
  </si>
  <si>
    <t>100mm地砖配套踢脚线</t>
  </si>
  <si>
    <t>洗消间、卫生间600*300墙面砖</t>
  </si>
  <si>
    <t>卫生间地面400*400防滑砖(CT-04)</t>
  </si>
  <si>
    <t>墙体阳角75*75*1350不锈钢防撞条</t>
  </si>
  <si>
    <t>洗消间柜（带洗菜盆）</t>
  </si>
  <si>
    <t>洗消间卫生间门造型木饰面实芯门连门套M-02
(门扇700*2200)安装(M-02)</t>
  </si>
  <si>
    <t>不甲供？</t>
  </si>
  <si>
    <t xml:space="preserve">防雾筒灯 </t>
  </si>
  <si>
    <t>阳台吸顶灯(含光源)</t>
  </si>
  <si>
    <t>附件4-7</t>
  </si>
  <si>
    <t>住宅套内及其公共配套装修工程甲方代供代扣代付材料单价清单</t>
  </si>
  <si>
    <t>2015年2月份材料模板价</t>
  </si>
  <si>
    <t>货币：　人民币（元）</t>
  </si>
  <si>
    <t>设计编号</t>
  </si>
  <si>
    <t>材　料　名　称</t>
  </si>
  <si>
    <t>产品型号</t>
  </si>
  <si>
    <t>颜色</t>
  </si>
  <si>
    <t>尺寸（mm）</t>
  </si>
  <si>
    <t>应用位置</t>
  </si>
  <si>
    <t>供应商</t>
  </si>
  <si>
    <t>材料编码</t>
  </si>
  <si>
    <t>单价</t>
  </si>
  <si>
    <t>住宅套内装修</t>
  </si>
  <si>
    <t>地砖、瓷片</t>
  </si>
  <si>
    <t>CT-01</t>
  </si>
  <si>
    <t>抛釉砖</t>
  </si>
  <si>
    <t>AP80802A</t>
  </si>
  <si>
    <t>800x800</t>
  </si>
  <si>
    <t>客厅、玄关等地面</t>
  </si>
  <si>
    <t>亚细亚</t>
  </si>
  <si>
    <t>块</t>
  </si>
  <si>
    <t>400x400</t>
  </si>
  <si>
    <t>暂估</t>
  </si>
  <si>
    <t>CT-02</t>
  </si>
  <si>
    <t>抛光砖</t>
  </si>
  <si>
    <t>FG8019FH120</t>
  </si>
  <si>
    <t>120x800</t>
  </si>
  <si>
    <t>客厅、餐厅波打线</t>
  </si>
  <si>
    <t>马可波罗</t>
  </si>
  <si>
    <t xml:space="preserve">PG8019   </t>
  </si>
  <si>
    <t>800*800</t>
  </si>
  <si>
    <t>PG8019FH100</t>
  </si>
  <si>
    <t>98*800</t>
  </si>
  <si>
    <t>客厅、餐厅、走道、玄关等地脚线</t>
  </si>
  <si>
    <t>CT-03</t>
  </si>
  <si>
    <t>仿古地面砖</t>
  </si>
  <si>
    <t xml:space="preserve">6FH0052DPM </t>
  </si>
  <si>
    <t>298*600</t>
  </si>
  <si>
    <t>景观阳台、工作阳台地面、封闭阳台地脚线</t>
  </si>
  <si>
    <t>蒙娜丽莎</t>
  </si>
  <si>
    <t xml:space="preserve">4-4FN2088M </t>
  </si>
  <si>
    <t>398*398</t>
  </si>
  <si>
    <t>厨房地面砖</t>
  </si>
  <si>
    <t>CT-05</t>
  </si>
  <si>
    <t>地面砖</t>
  </si>
  <si>
    <t>主卫、工人房、工卫、贮藏间地面</t>
  </si>
  <si>
    <t>CT-06</t>
  </si>
  <si>
    <t>墙面砖</t>
  </si>
  <si>
    <t>1-60194P</t>
  </si>
  <si>
    <t>300*600</t>
  </si>
  <si>
    <t>客卫、公卫墙身</t>
  </si>
  <si>
    <t>兴辉</t>
  </si>
  <si>
    <t>CT-07</t>
  </si>
  <si>
    <t>主卫、公卫墙身</t>
  </si>
  <si>
    <t>CT-08</t>
  </si>
  <si>
    <t>客卫、公卫地面</t>
  </si>
  <si>
    <t>厨房墙身</t>
  </si>
  <si>
    <t>地砖波打线(成品,由厂家负责开界磨边)</t>
  </si>
  <si>
    <t>2015-7-30增加</t>
  </si>
  <si>
    <t>木地板</t>
  </si>
  <si>
    <t>楸木木皮复合实木地板</t>
  </si>
  <si>
    <t>127*910*12</t>
  </si>
  <si>
    <t>客卧、主卧、书房等地面</t>
  </si>
  <si>
    <t>书香门地</t>
  </si>
  <si>
    <t>10000959（非地热）</t>
  </si>
  <si>
    <t>楸木木皮复合实木地热木地板</t>
  </si>
  <si>
    <t>10000960（地热）</t>
  </si>
  <si>
    <t>楸木木皮木地脚线</t>
  </si>
  <si>
    <t>2440*100（高）*12</t>
  </si>
  <si>
    <t>洁具、龙头、卫浴挂件</t>
  </si>
  <si>
    <t>面盆（台下盆）</t>
  </si>
  <si>
    <t xml:space="preserve">贝娜：327871..1                 </t>
  </si>
  <si>
    <t>540*445*210</t>
  </si>
  <si>
    <t>主卫、公共、客房卫生间</t>
  </si>
  <si>
    <t>乐家</t>
  </si>
  <si>
    <t>面盆（半台盆）</t>
  </si>
  <si>
    <t>吉拉达系列：327467..0</t>
  </si>
  <si>
    <t>575*440*220</t>
  </si>
  <si>
    <t xml:space="preserve">座厕  </t>
  </si>
  <si>
    <t xml:space="preserve">波士顿系列：34845A..0+80N038..1   </t>
  </si>
  <si>
    <t>725*460*680</t>
  </si>
  <si>
    <t>带S弯蹲厕</t>
  </si>
  <si>
    <t xml:space="preserve">柏扶系列：345451..0   </t>
  </si>
  <si>
    <t>592*445*346</t>
  </si>
  <si>
    <t>工人房卫生间</t>
  </si>
  <si>
    <t>洗面盆龙头</t>
  </si>
  <si>
    <t>5A3007C0P</t>
  </si>
  <si>
    <t>沐浴花洒龙头</t>
  </si>
  <si>
    <t>5A2007C0P</t>
  </si>
  <si>
    <t>主卧、公共、客房卫生间</t>
  </si>
  <si>
    <t>连软管及手持花洒</t>
  </si>
  <si>
    <t>淋浴升降杆</t>
  </si>
  <si>
    <t>洗菜盆龙头</t>
  </si>
  <si>
    <t>5A8907C0P</t>
  </si>
  <si>
    <t>厨房</t>
  </si>
  <si>
    <t>洗菜盆（双盆）</t>
  </si>
  <si>
    <t xml:space="preserve"> 0.8MM　</t>
  </si>
  <si>
    <t>760*430</t>
  </si>
  <si>
    <t>联塑</t>
  </si>
  <si>
    <t>材质均为304不锈钢</t>
  </si>
  <si>
    <t>洗菜盆（单盆）</t>
  </si>
  <si>
    <t xml:space="preserve"> 450*490</t>
  </si>
  <si>
    <t>厕纸架（纸巾环）</t>
  </si>
  <si>
    <t>5j3107</t>
  </si>
  <si>
    <t>辉煌水暖</t>
  </si>
  <si>
    <t>5j3109</t>
  </si>
  <si>
    <t>灯具</t>
  </si>
  <si>
    <t>水晶灯</t>
  </si>
  <si>
    <t xml:space="preserve">6212-13  </t>
  </si>
  <si>
    <t>750*300</t>
  </si>
  <si>
    <t>客厅、家庭厅、起居室</t>
  </si>
  <si>
    <t>保时利</t>
  </si>
  <si>
    <t>2147-7</t>
  </si>
  <si>
    <t>550*260</t>
  </si>
  <si>
    <t>主卧室</t>
  </si>
  <si>
    <t>MD3102-6    （15平米以下)</t>
  </si>
  <si>
    <t>H650，φ700</t>
  </si>
  <si>
    <t>餐厅、楼梯间</t>
  </si>
  <si>
    <t>吸顶灯</t>
  </si>
  <si>
    <t>HYX-GC40DZ-N</t>
  </si>
  <si>
    <t>φ410</t>
  </si>
  <si>
    <t>客卧室</t>
  </si>
  <si>
    <t>鸿雁</t>
  </si>
  <si>
    <t>吸顶灯（嵌入式）</t>
  </si>
  <si>
    <t>HYX-JZ255-H-PBY/Q</t>
  </si>
  <si>
    <t>光源</t>
  </si>
  <si>
    <t xml:space="preserve"> 1198×298×75</t>
  </si>
  <si>
    <t>HYX-CW25-M-YMS</t>
  </si>
  <si>
    <t xml:space="preserve"> 225×45</t>
  </si>
  <si>
    <t xml:space="preserve">HYX-GC32DZ-N </t>
  </si>
  <si>
    <t>φ342</t>
  </si>
  <si>
    <t>景观、工作阳台、工人房、公卫</t>
  </si>
  <si>
    <t>筒灯</t>
  </si>
  <si>
    <t>1#筒灯\含光源</t>
  </si>
  <si>
    <t>灯具尺寸：122*127开孔尺寸:102</t>
  </si>
  <si>
    <t>住宅各空间</t>
  </si>
  <si>
    <t>嘉美时代</t>
  </si>
  <si>
    <t>包含光源</t>
  </si>
  <si>
    <t>2#筒灯\含光源</t>
  </si>
  <si>
    <t>灯具尺寸：112*125 开孔尺寸:98</t>
  </si>
  <si>
    <t>卫生间、厨房</t>
  </si>
  <si>
    <t>射灯</t>
  </si>
  <si>
    <t>2#射灯\含光源</t>
  </si>
  <si>
    <t xml:space="preserve"> 灯具尺寸：70*20    开孔尺寸:60</t>
  </si>
  <si>
    <t>2097-1</t>
  </si>
  <si>
    <t>390*200</t>
  </si>
  <si>
    <t>客厅</t>
  </si>
  <si>
    <t>吸顶式通风扇</t>
  </si>
  <si>
    <t>BP14-4DF</t>
  </si>
  <si>
    <t>（180m³/h，310*310）</t>
  </si>
  <si>
    <t>卫生间天花</t>
  </si>
  <si>
    <t>奥普</t>
  </si>
  <si>
    <t>台</t>
  </si>
  <si>
    <t>\不含光源</t>
  </si>
  <si>
    <t>锁具</t>
  </si>
  <si>
    <t>入户门锁（双开门需配假锁）</t>
  </si>
  <si>
    <t>左开锁体：JL-FHS500拉手：JL-1313-01（300）</t>
  </si>
  <si>
    <t>左开</t>
  </si>
  <si>
    <t>入户门</t>
  </si>
  <si>
    <t>巨力</t>
  </si>
  <si>
    <t>右开锁体：JL-FHS500拉手：JL-1313-01（300）</t>
  </si>
  <si>
    <t>右开</t>
  </si>
  <si>
    <t>奥珀</t>
  </si>
  <si>
    <t>左开假锁：JL-1313-01（300）</t>
  </si>
  <si>
    <t>左开假锁</t>
  </si>
  <si>
    <t>右开假锁：JL-1313-01（300）</t>
  </si>
  <si>
    <t>右开假锁</t>
  </si>
  <si>
    <t>入户门8寸暗下驳杆插销</t>
  </si>
  <si>
    <t>8英寸驳杆插销（不锈钢PVD）</t>
  </si>
  <si>
    <t>入户门18寸暗上驳杆插销</t>
  </si>
  <si>
    <t>18英寸驳杆插销（不锈钢PVD）</t>
  </si>
  <si>
    <t>入户门24寸暗上驳杆插销</t>
  </si>
  <si>
    <t>24英寸驳杆插销（不锈钢PVD）</t>
  </si>
  <si>
    <t>房门、工人房门锁（双开门需配假锁）</t>
  </si>
  <si>
    <t>户内房门锁 MC916B锁/右开-MG/GP　</t>
  </si>
  <si>
    <t>户内门</t>
  </si>
  <si>
    <t>户内房门锁 MC916B锁/左开-MG/GP　</t>
  </si>
  <si>
    <t>户内房门假锁 MC916B假锁/左开-MG/GP　</t>
  </si>
  <si>
    <t>户内房门假锁 MC916B假锁/右开-MG/GP　</t>
  </si>
  <si>
    <t>卫生间、单扇厨房储物间门锁</t>
  </si>
  <si>
    <t>户内卫生间门锁 MC916B-T锁/右开-MG/GP　</t>
  </si>
  <si>
    <t>户内卫生间门锁 MC916B-T锁/左开-MG/GP　</t>
  </si>
  <si>
    <t>推拉门拉手</t>
  </si>
  <si>
    <t>移门拉手MSL916PS-MG/GP　</t>
  </si>
  <si>
    <t>厨房、书房、衣帽间</t>
  </si>
  <si>
    <t>户内门盒插销</t>
  </si>
  <si>
    <t>WS-08 PVD　</t>
  </si>
  <si>
    <t>8寸</t>
  </si>
  <si>
    <t>立式门吸</t>
  </si>
  <si>
    <t xml:space="preserve">MSADS005-PVD/SS </t>
  </si>
  <si>
    <t>所有住宅标准房门</t>
  </si>
  <si>
    <t>合页</t>
  </si>
  <si>
    <t xml:space="preserve"> 4X3X3-4BB-PVD</t>
  </si>
  <si>
    <t>橱柜、镜框</t>
  </si>
  <si>
    <t>吸塑系列橱柜（包含地柜、吊柜、台面石、封板、抽屉导、铝薄、装饰门、洗菜安装等）</t>
  </si>
  <si>
    <t>吸塑系列 珠海好奇 HQ-2427-1</t>
  </si>
  <si>
    <t>华帝</t>
  </si>
  <si>
    <t>洗菜盆安装包含洗菜盆台下接驳安装费、排水管安装及连接地漏与排水管材料、安装费；单价暂定，结算按材料公司送货单中的单价据实结算</t>
  </si>
  <si>
    <t>新增</t>
  </si>
  <si>
    <t>1160*150　</t>
  </si>
  <si>
    <t>卫生间镜柜</t>
  </si>
  <si>
    <t>我乐</t>
  </si>
  <si>
    <t>延长米</t>
  </si>
  <si>
    <t>含T5灯管</t>
  </si>
  <si>
    <t>门</t>
  </si>
  <si>
    <t>单扇入户装甲门（甲级防火）（门框进深380mm内）</t>
  </si>
  <si>
    <t>950*2200（内开）</t>
  </si>
  <si>
    <t>步阳</t>
  </si>
  <si>
    <t>950*2200（外开）</t>
  </si>
  <si>
    <t>子母入户装甲门（甲级防火）（门框进深380mm内）</t>
  </si>
  <si>
    <t>1250*2200（内开）</t>
  </si>
  <si>
    <t>1250*2200（外开）</t>
  </si>
  <si>
    <t>单扇入户装甲门（乙级防火）（门框进深280mm内）</t>
  </si>
  <si>
    <t>950*2200</t>
  </si>
  <si>
    <t>子母入户装甲门（乙级防火）（门框进深280mm内）</t>
  </si>
  <si>
    <t>1250×2200</t>
  </si>
  <si>
    <t>单扇入户装甲门（非防火）（门框进深380mm内）</t>
  </si>
  <si>
    <t>1500*2200</t>
  </si>
  <si>
    <t>门框201-300mm</t>
  </si>
  <si>
    <t>华品</t>
  </si>
  <si>
    <t>厨房单扇平开门</t>
  </si>
  <si>
    <t>750*2200</t>
  </si>
  <si>
    <t>卫生间门</t>
  </si>
  <si>
    <t>700*2200</t>
  </si>
  <si>
    <t>房门（单开门）</t>
  </si>
  <si>
    <t>850*2200</t>
  </si>
  <si>
    <t>房门（子母门）</t>
  </si>
  <si>
    <t>1250*2400</t>
  </si>
  <si>
    <t>工人房门、储物间门</t>
  </si>
  <si>
    <t>二次入户门</t>
  </si>
  <si>
    <t>开关、插座、电线</t>
  </si>
  <si>
    <t>声光感应延时开关</t>
  </si>
  <si>
    <t>罗格朗</t>
  </si>
  <si>
    <t>红外感应开关</t>
  </si>
  <si>
    <t>一位单极开关</t>
  </si>
  <si>
    <t>二位单极开关</t>
  </si>
  <si>
    <t>三位单极开关</t>
  </si>
  <si>
    <t>四位单极开关</t>
  </si>
  <si>
    <t>一位双控开关</t>
  </si>
  <si>
    <t>二位双控开关</t>
  </si>
  <si>
    <t>单相一位三极插座（10A）</t>
  </si>
  <si>
    <t>单相一位三极插座（16A）</t>
  </si>
  <si>
    <t>单相二、三极插座（10A）</t>
  </si>
  <si>
    <t>单相二、三极插座（16A）</t>
  </si>
  <si>
    <t>暂估，甲供材料模块中未找到</t>
  </si>
  <si>
    <t>一位带单控开关三极插座(10A)</t>
  </si>
  <si>
    <t>一位带开关二三极联体插座（10A）</t>
  </si>
  <si>
    <t>单连防滴溅面板(浅型)</t>
  </si>
  <si>
    <t>空白面板(白色)</t>
  </si>
  <si>
    <t>一位八芯通信插座(超5类)(压接式)</t>
  </si>
  <si>
    <t>一位普通电视插座</t>
  </si>
  <si>
    <t>一位二芯电话插座</t>
  </si>
  <si>
    <t>照明电线</t>
  </si>
  <si>
    <t>BV-单色2.5</t>
  </si>
  <si>
    <t>上海浦东</t>
  </si>
  <si>
    <t>米</t>
  </si>
  <si>
    <t>BVR 1*2.5</t>
  </si>
  <si>
    <t>ZR-BV-单色2.5</t>
  </si>
  <si>
    <t>NH-BV-单色2.5</t>
  </si>
  <si>
    <t>BV-单色4</t>
  </si>
  <si>
    <t>BVR 1*4</t>
  </si>
  <si>
    <t>PVC电线管（305型）</t>
  </si>
  <si>
    <t>Ф20</t>
  </si>
  <si>
    <t>佑逸</t>
  </si>
  <si>
    <t>Ф25</t>
  </si>
  <si>
    <t>Ф32</t>
  </si>
  <si>
    <t>Ф16</t>
  </si>
  <si>
    <t>墙纸</t>
  </si>
  <si>
    <t>YE2:99633</t>
  </si>
  <si>
    <t>蓝图</t>
  </si>
  <si>
    <t>欧雅</t>
  </si>
  <si>
    <t>客厅电视墙造型</t>
  </si>
  <si>
    <t>十</t>
  </si>
  <si>
    <t>涂料</t>
  </si>
  <si>
    <t>PA-01</t>
  </si>
  <si>
    <t>底漆</t>
  </si>
  <si>
    <t>NP-P102</t>
  </si>
  <si>
    <t>白色</t>
  </si>
  <si>
    <t>墙身饰线及以上天花、封闭式阳台(卫生间、厨房、开放式阳台天花除外)</t>
  </si>
  <si>
    <t>立邦</t>
  </si>
  <si>
    <t>kg</t>
  </si>
  <si>
    <t>面漆</t>
  </si>
  <si>
    <t xml:space="preserve">NP-T201 </t>
  </si>
  <si>
    <t>PA-02</t>
  </si>
  <si>
    <t>米黄色</t>
  </si>
  <si>
    <t>除卫生间、厨房、开放式阳台以外各空间墙身</t>
  </si>
  <si>
    <t>卫生间、厨房、开放式阳台天花</t>
  </si>
  <si>
    <t>NP-T202</t>
  </si>
  <si>
    <t>十一</t>
  </si>
  <si>
    <t>厨房、卫生间天花</t>
  </si>
  <si>
    <t>铝扣板</t>
  </si>
  <si>
    <t>平层铝扣板TKB-29滚涂亚光白</t>
  </si>
  <si>
    <t>平层铝扣板350mm*350mm</t>
  </si>
  <si>
    <t>厨卫间</t>
  </si>
  <si>
    <t>产品优化：38#轻钢龙骨厚度更改为&gt;=0.8mm</t>
  </si>
  <si>
    <t>高低层异形扣板TKB-56滚涂亚光白</t>
  </si>
  <si>
    <t>高低层异形扣板350mm*350mm*100mm</t>
  </si>
  <si>
    <t>十二</t>
  </si>
  <si>
    <t>人造石</t>
  </si>
  <si>
    <t>台下盆洗手台面及挡水石\W600*L850mm\岗石</t>
  </si>
  <si>
    <t>金宝利</t>
  </si>
  <si>
    <t>台下盆洗手台面及挡水石\W600*L950mm\岗石</t>
  </si>
  <si>
    <t>红山玉人造石窗台</t>
  </si>
  <si>
    <t>台下盆洗手台面及挡水石\W600*L1050mm\岗石</t>
  </si>
  <si>
    <t>台上盆洗手台面及挡水石\W450*L850mm\岗石</t>
  </si>
  <si>
    <t>台上盆洗手台面及挡水石\W450*L950mm\岗石</t>
  </si>
  <si>
    <t>台上盆洗手台面及挡水石\W450*L1050mm\岗石</t>
  </si>
  <si>
    <t>台上盆洗手台面及挡水石\岗石</t>
  </si>
  <si>
    <t>台下盆面盆打孔费</t>
  </si>
  <si>
    <t>龙头孔打孔费</t>
  </si>
  <si>
    <t>台上盆面盆打孔费</t>
  </si>
  <si>
    <t>皇室啡人造石门槛石</t>
  </si>
  <si>
    <t>厨房卫生间内门套座\L62*W28*H170mm\岗石</t>
  </si>
  <si>
    <t>红山玉人造石</t>
  </si>
  <si>
    <t>窗台石</t>
  </si>
  <si>
    <t>KG001　</t>
  </si>
  <si>
    <t>含抛光费、切割费</t>
  </si>
  <si>
    <t>窗台石双层边粘接、磨边费</t>
  </si>
  <si>
    <t>8×8斜边</t>
  </si>
  <si>
    <t>2015-7-31增加</t>
  </si>
  <si>
    <t>红山玉人造石窗台双层边粘接、磨边费</t>
  </si>
  <si>
    <t>十三</t>
  </si>
  <si>
    <t>淋浴玻璃间隔</t>
  </si>
  <si>
    <t>“一”字型</t>
  </si>
  <si>
    <t>朗斯</t>
  </si>
  <si>
    <t>“L”字型</t>
  </si>
  <si>
    <t>60宽挡水石</t>
  </si>
  <si>
    <t>H50*W60*D10mm</t>
  </si>
  <si>
    <t>由厂家负责安装</t>
  </si>
  <si>
    <t>由装修单位负责安装</t>
  </si>
  <si>
    <t>十四</t>
  </si>
  <si>
    <t>其它</t>
  </si>
  <si>
    <t>飘窗台隐形栏杆</t>
  </si>
  <si>
    <t>"L"、"U"室内铝合金飘窗台栏杆</t>
  </si>
  <si>
    <t>900高</t>
  </si>
  <si>
    <t>户内矮窗、落地窗、飘窗</t>
  </si>
  <si>
    <t>碧云</t>
  </si>
  <si>
    <t>铁艺飘窗栏杆</t>
  </si>
  <si>
    <t>飘窗台栏杆（H=850）</t>
  </si>
  <si>
    <t>H=850mm</t>
  </si>
  <si>
    <t>洋房1000标准复式楼梯、中空客厅；标准层电梯厅矮窗、飘窗、落地窗；首层住户大堂中空栏杆</t>
  </si>
  <si>
    <t>朗亚</t>
  </si>
  <si>
    <t>单组份聚氨酯防水涂料</t>
  </si>
  <si>
    <t>I型</t>
  </si>
  <si>
    <t>建国伟业</t>
  </si>
  <si>
    <t>客厅电视墙造型线</t>
  </si>
  <si>
    <t>润成</t>
  </si>
  <si>
    <t>客厅电视墙造型线底座</t>
  </si>
  <si>
    <t>蹲厕冲水阀</t>
  </si>
  <si>
    <t>暂定</t>
  </si>
  <si>
    <t>蹲厕水箱及进水管</t>
  </si>
  <si>
    <t>给水管含配件（冷水）PPR</t>
  </si>
  <si>
    <t>de32</t>
  </si>
  <si>
    <t>de25</t>
  </si>
  <si>
    <t>de20</t>
  </si>
  <si>
    <t>de15</t>
  </si>
  <si>
    <t>给水管含配件（热水）PPR</t>
  </si>
  <si>
    <t>排水管含配件 PVC</t>
  </si>
  <si>
    <t>de50</t>
  </si>
  <si>
    <t>de75</t>
  </si>
  <si>
    <t>de100</t>
  </si>
  <si>
    <t>首层住户大堂及电梯厅</t>
  </si>
  <si>
    <t xml:space="preserve">BT0373 </t>
  </si>
  <si>
    <t>600×600</t>
  </si>
  <si>
    <t>首层住户大堂、电梯厅地面造型拼花内</t>
  </si>
  <si>
    <t>博德</t>
  </si>
  <si>
    <t>旧标</t>
  </si>
  <si>
    <t>BT0925</t>
  </si>
  <si>
    <t>首层住户大堂、电梯厅、墙身、地面</t>
  </si>
  <si>
    <t>电梯厅地脚线</t>
  </si>
  <si>
    <t xml:space="preserve">BT0311 </t>
  </si>
  <si>
    <t>147*600</t>
  </si>
  <si>
    <t>标准层电梯厅地脚线</t>
  </si>
  <si>
    <t>仿木纹抛光砖</t>
  </si>
  <si>
    <t>深色</t>
  </si>
  <si>
    <t>大堂、电梯厅地面拼花内，门廊大面积墙身</t>
  </si>
  <si>
    <t>新标</t>
  </si>
  <si>
    <t>浅色</t>
  </si>
  <si>
    <t>大堂、电梯厅大面积墙身、地面</t>
  </si>
  <si>
    <t>抛光砖（外波打线）</t>
  </si>
  <si>
    <t>黄色</t>
  </si>
  <si>
    <t>800*100</t>
  </si>
  <si>
    <t>大堂、电梯厅地面拼花波打线（外圈）</t>
  </si>
  <si>
    <t>抛光砖（内波打线）</t>
  </si>
  <si>
    <t>深褐色</t>
  </si>
  <si>
    <t>800*30</t>
  </si>
  <si>
    <t>大堂、电梯厅地面拼花波打线（内圈）</t>
  </si>
  <si>
    <t>大堂、电梯厅大面积地面</t>
  </si>
  <si>
    <t>800*120</t>
  </si>
  <si>
    <t>标准层电梯厅地面拼花外波打线</t>
  </si>
  <si>
    <t>800*60</t>
  </si>
  <si>
    <t>标准层电梯厅地面拼花内波打线</t>
  </si>
  <si>
    <t>仿古砖</t>
  </si>
  <si>
    <t>电梯厅连廊地面</t>
  </si>
  <si>
    <t>电梯厅连廊地脚线</t>
  </si>
  <si>
    <t>100*600</t>
  </si>
  <si>
    <t>TD1159</t>
  </si>
  <si>
    <t>天艺</t>
  </si>
  <si>
    <t>0.95*50M</t>
  </si>
  <si>
    <t>首层大堂、电梯厅天花</t>
  </si>
  <si>
    <t>特普丽</t>
  </si>
  <si>
    <t>TD1148</t>
  </si>
  <si>
    <t>绚色</t>
  </si>
  <si>
    <t>1.1*50M</t>
  </si>
  <si>
    <t>首层大堂墙面</t>
  </si>
  <si>
    <t>大堂中空吊灯</t>
  </si>
  <si>
    <t>11#水晶灯</t>
  </si>
  <si>
    <t>18头\ H1000φ1150mm</t>
  </si>
  <si>
    <t>大堂
25㎡以下</t>
  </si>
  <si>
    <t>24头\H1200φ1400mm</t>
  </si>
  <si>
    <t>大堂
25-35㎡</t>
  </si>
  <si>
    <t>30头\H1350φ1600mm</t>
  </si>
  <si>
    <t>大堂
35㎡以上</t>
  </si>
  <si>
    <t>电梯厅吊灯</t>
  </si>
  <si>
    <t xml:space="preserve">MD8240-6  </t>
  </si>
  <si>
    <t>H800，φ660</t>
  </si>
  <si>
    <t>大堂电梯厅
（电梯间宽度2.4m以下）</t>
  </si>
  <si>
    <t xml:space="preserve">MD8240-8  </t>
  </si>
  <si>
    <t>H900，φ750</t>
  </si>
  <si>
    <t>大堂电梯厅
（电梯间宽度2.4m以上）</t>
  </si>
  <si>
    <t>3#筒灯</t>
  </si>
  <si>
    <t xml:space="preserve">JTD-5W4020-0301 </t>
  </si>
  <si>
    <t>灯具尺寸：142*170开孔尺寸:120</t>
  </si>
  <si>
    <t>大堂</t>
  </si>
  <si>
    <t>嘉美</t>
  </si>
  <si>
    <t>4#筒灯</t>
  </si>
  <si>
    <t xml:space="preserve">JTD-1W4020-01B01S </t>
  </si>
  <si>
    <t>灯具尺寸：232*142*88开孔尺寸:125</t>
  </si>
  <si>
    <t>电梯厅</t>
  </si>
  <si>
    <t xml:space="preserve">6#吸顶灯     </t>
  </si>
  <si>
    <t xml:space="preserve">HYX-HGY25    </t>
  </si>
  <si>
    <t>φ300*85</t>
  </si>
  <si>
    <t>门廊、看房通道</t>
  </si>
  <si>
    <t>双头应急灯</t>
  </si>
  <si>
    <t>奥辉</t>
  </si>
  <si>
    <t>暂定价</t>
  </si>
  <si>
    <t>出口指示灯</t>
  </si>
  <si>
    <t>疏散指示灯</t>
  </si>
  <si>
    <t>门廊吊灯</t>
  </si>
  <si>
    <t>H215，φ580</t>
  </si>
  <si>
    <t>门廊</t>
  </si>
  <si>
    <t>led射灯</t>
  </si>
  <si>
    <t>PAK565250</t>
  </si>
  <si>
    <t>各空间</t>
  </si>
  <si>
    <t>led灯带</t>
  </si>
  <si>
    <t xml:space="preserve">PAK544216 </t>
  </si>
  <si>
    <t>3.5寸筒灯（1#筒灯）</t>
  </si>
  <si>
    <t>豪华吸顶灯</t>
  </si>
  <si>
    <t>H220，φ500</t>
  </si>
  <si>
    <t>天花、墙身、波纹板、石膏线</t>
  </si>
  <si>
    <t>门廊天花、石膏线</t>
  </si>
  <si>
    <t>地弹簧</t>
  </si>
  <si>
    <t>S-1400</t>
  </si>
  <si>
    <t>承重101kg-120kg</t>
  </si>
  <si>
    <t>入户大堂</t>
  </si>
  <si>
    <t>史丹利</t>
  </si>
  <si>
    <t>付</t>
  </si>
  <si>
    <t>商铺外立面</t>
  </si>
  <si>
    <t>豹皮花仿石砖</t>
  </si>
  <si>
    <t>WMS936</t>
  </si>
  <si>
    <t>松下</t>
  </si>
  <si>
    <t>WMS535</t>
  </si>
  <si>
    <t>调光开关</t>
  </si>
  <si>
    <t>(白炽灯专用)(400W)WMS549</t>
  </si>
  <si>
    <t>地脚灯</t>
  </si>
  <si>
    <t>LED地脚灯(带红外感应及环境亮度感应)WZD707</t>
  </si>
  <si>
    <t>豪华壁灯</t>
  </si>
  <si>
    <t>中意</t>
  </si>
  <si>
    <t>CT-1</t>
  </si>
  <si>
    <t>灰色抛光砖</t>
  </si>
  <si>
    <t>BT3488</t>
  </si>
  <si>
    <t>800×800</t>
  </si>
  <si>
    <t>电梯间、入户前室地面</t>
  </si>
  <si>
    <t xml:space="preserve">CT-02a </t>
  </si>
  <si>
    <t>仿洞石抛光砖</t>
  </si>
  <si>
    <t>800×801</t>
  </si>
  <si>
    <t>CT-2</t>
  </si>
  <si>
    <t>防洞石抛光砖</t>
  </si>
  <si>
    <t>BT5462</t>
  </si>
  <si>
    <t>800×800                  400×400</t>
  </si>
  <si>
    <t>电梯间、入户前室地面与墙身，电梯间地脚线</t>
  </si>
  <si>
    <t>CT-3</t>
  </si>
  <si>
    <t>黑色砖</t>
  </si>
  <si>
    <t>T58005</t>
  </si>
  <si>
    <t>100*800</t>
  </si>
  <si>
    <t xml:space="preserve">9.68 </t>
  </si>
  <si>
    <t>CT-4</t>
  </si>
  <si>
    <t>40*800</t>
  </si>
  <si>
    <t>电梯间、入户前室地花波打线</t>
  </si>
  <si>
    <t>三角形肥皂盒</t>
  </si>
  <si>
    <t>HD-1015</t>
  </si>
  <si>
    <t>浴室</t>
  </si>
  <si>
    <t>HD-2108</t>
  </si>
  <si>
    <t>衣柜</t>
  </si>
  <si>
    <t>注：甲方代供代扣代付材料的品牌、型号、价格为暂定，地区公司申报材料计划的时候按材料公司分区方案，结算时具体的价格、品牌、型号以现场收货单为准。本清单版本材料单价按材料公司2015.2版材料模板</t>
  </si>
  <si>
    <t>套内工程量计算表</t>
  </si>
  <si>
    <t>楼幢</t>
  </si>
  <si>
    <r>
      <rPr>
        <sz val="10"/>
        <rFont val="宋体"/>
        <family val="3"/>
        <charset val="134"/>
      </rPr>
      <t>3</t>
    </r>
    <r>
      <rPr>
        <sz val="10"/>
        <rFont val="宋体"/>
        <family val="3"/>
        <charset val="134"/>
      </rPr>
      <t>7-39</t>
    </r>
    <r>
      <rPr>
        <sz val="10"/>
        <rFont val="宋体"/>
        <family val="3"/>
        <charset val="134"/>
      </rPr>
      <t>#</t>
    </r>
  </si>
  <si>
    <t>单元号</t>
  </si>
  <si>
    <t>A单元</t>
  </si>
  <si>
    <t>卧室数</t>
  </si>
  <si>
    <t>玄关数</t>
  </si>
  <si>
    <t>L25-7a'</t>
  </si>
  <si>
    <t>卫生间数</t>
  </si>
  <si>
    <t>主卫数</t>
  </si>
  <si>
    <t>工人房洗手间</t>
  </si>
  <si>
    <t>空间</t>
  </si>
  <si>
    <t>项目</t>
  </si>
  <si>
    <t>周长</t>
  </si>
  <si>
    <t>面积（天花、地面）</t>
  </si>
  <si>
    <t>墙面高度(m)</t>
  </si>
  <si>
    <t>门洞（个）</t>
  </si>
  <si>
    <t>门洞宽（M）</t>
  </si>
  <si>
    <t>平窗</t>
  </si>
  <si>
    <t>顠窗</t>
  </si>
  <si>
    <t>走廊、玄关洞口上方1.1*（2.8-梁底标高）(M2)</t>
  </si>
  <si>
    <t>其它（顠窗侧面、天花）(M2)</t>
  </si>
  <si>
    <t>墙面面积(M2)</t>
  </si>
  <si>
    <t>地脚线（M）</t>
  </si>
  <si>
    <t>顠窗台栏杆（m)</t>
  </si>
  <si>
    <t>（多段线圈出）</t>
  </si>
  <si>
    <t>房门</t>
  </si>
  <si>
    <t>单开厨房门</t>
  </si>
  <si>
    <t>推拉厨房门</t>
  </si>
  <si>
    <t>客厅阳台门（高）</t>
  </si>
  <si>
    <t>窗宽（m)</t>
  </si>
  <si>
    <t>窗高(m)</t>
  </si>
  <si>
    <t>平窗台（m2）</t>
  </si>
  <si>
    <t>飘窗台（m2）</t>
  </si>
  <si>
    <t>宽0.12</t>
  </si>
  <si>
    <t>宽0.7</t>
  </si>
  <si>
    <t>客厅+餐厅+玄关+走廊</t>
  </si>
  <si>
    <t>玄关(有吊顶）（框到梁外边）</t>
  </si>
  <si>
    <t>玄关地面波打线</t>
  </si>
  <si>
    <t>走廊(有吊顶）（框到梁外边）</t>
  </si>
  <si>
    <t>走廊洞口宽</t>
  </si>
  <si>
    <t>背景墙宽（含木线）</t>
  </si>
  <si>
    <t>客厅墙面（乳胶漆）</t>
  </si>
  <si>
    <t>客厅小计</t>
  </si>
  <si>
    <t>卧室</t>
  </si>
  <si>
    <t>主卧室（多线段）（含走廊部分）</t>
  </si>
  <si>
    <t>主卧室墙面</t>
  </si>
  <si>
    <t>卧室一小计</t>
  </si>
  <si>
    <t>卧室二</t>
  </si>
  <si>
    <t>卧室二（多线段）（含走廊部分）</t>
  </si>
  <si>
    <t>卧室二墙面</t>
  </si>
  <si>
    <t>主卧二室小计</t>
  </si>
  <si>
    <t>卧室三</t>
  </si>
  <si>
    <t>卧室三（多线段）（含走廊部分）</t>
  </si>
  <si>
    <t>卧室三墙面</t>
  </si>
  <si>
    <t>主卧三室小计</t>
  </si>
  <si>
    <t>卧室小计</t>
  </si>
  <si>
    <t>储物间、更衣间、工人房</t>
  </si>
  <si>
    <t>计算高度（M)</t>
  </si>
  <si>
    <t>洗手台</t>
  </si>
  <si>
    <t>飘出洗手台外的水平板</t>
  </si>
  <si>
    <t>沐浴间档水石</t>
  </si>
  <si>
    <t xml:space="preserve">其它(橱柜背水泥砂找平)(M2) </t>
  </si>
  <si>
    <t>墙面防水面积(M2)</t>
  </si>
  <si>
    <t>墙面瓷砖面积(M2)（含窗框四周瓷砖）</t>
  </si>
  <si>
    <t>地面防水(卫生间含上翻150）（M2)</t>
  </si>
  <si>
    <t>窗宽（M)</t>
  </si>
  <si>
    <t>窗高（M)</t>
  </si>
  <si>
    <t>（M）</t>
  </si>
  <si>
    <t>40*60</t>
  </si>
  <si>
    <t>公卫</t>
  </si>
  <si>
    <t>主卫</t>
  </si>
  <si>
    <t>卫生间小计</t>
  </si>
  <si>
    <t>阳台门连窗（门高2.24m,窗高1.19m)</t>
  </si>
  <si>
    <t>阳台门不连窗（门高2.24m,窗高1.32m)</t>
  </si>
  <si>
    <t>有没有门连窗</t>
  </si>
  <si>
    <t>有没有门</t>
  </si>
  <si>
    <t>有没有窗</t>
  </si>
  <si>
    <t>门宽</t>
  </si>
  <si>
    <t>窗宽</t>
  </si>
  <si>
    <t>有1无0</t>
  </si>
  <si>
    <t xml:space="preserve"> </t>
  </si>
  <si>
    <t>厨房（多线段）</t>
  </si>
  <si>
    <t>地面水泥砂浆找平(仅为地柜底部位置)</t>
  </si>
  <si>
    <t>厨房小计</t>
  </si>
  <si>
    <t>注：1、本表格黑色数字为需填入工程量，红色字体为计算公式，无需填入。</t>
  </si>
  <si>
    <t>C单元</t>
  </si>
  <si>
    <t>B单元</t>
  </si>
  <si>
    <t>增补</t>
    <phoneticPr fontId="7" type="noConversion"/>
  </si>
  <si>
    <t>暗藏式窗帘盒（包含立面窗帘盒在内，不包含立面窗帘盒内侧饰面及油漆）</t>
    <phoneticPr fontId="7" type="noConversion"/>
  </si>
  <si>
    <t>增补</t>
    <phoneticPr fontId="7" type="noConversion"/>
  </si>
  <si>
    <t>飘窗储物柜：20mm厚中纤板面贴木饰面塑色，颜色同户内门颜色（同浴室柜门板）（含不锈钢合页；15厚基层板(柜体内侧六面）、面饰白色5mm厚中纤板；直角(pc条收口）；10×10斜边倒角）（按平面投影面积计算）（详见J立面调整J-BE-02、00）</t>
    <phoneticPr fontId="7" type="noConversion"/>
  </si>
  <si>
    <t>增补</t>
    <phoneticPr fontId="7" type="noConversion"/>
  </si>
  <si>
    <t>住户大堂入口大门1.0mm厚拉丝褐金框，镶嵌12mm厚钢化清玻璃（包含除拉手、地弹簧、门夹以外的所有五金）</t>
    <phoneticPr fontId="7" type="noConversion"/>
  </si>
  <si>
    <t>镂空隔断：20mm厚中纤板面贴木饰面塑色，颜色同户内门颜色（同浴室柜门板）；60mm厚实木线塑色边框，颜色同户内门颜色（详见J立面调整J-BE-03）（按立面正投影面积计算）</t>
    <phoneticPr fontId="7" type="noConversion"/>
  </si>
  <si>
    <t>五</t>
    <phoneticPr fontId="7" type="noConversion"/>
  </si>
  <si>
    <t>前期交叉作业配合费</t>
    <phoneticPr fontId="7" type="noConversion"/>
  </si>
  <si>
    <t>四</t>
    <phoneticPr fontId="7" type="noConversion"/>
  </si>
  <si>
    <t>工程总造价：五＝一+二+三+四</t>
    <phoneticPr fontId="7" type="noConversion"/>
  </si>
  <si>
    <t>远征费=A1*费率（取消，已综合考虑进取费中）</t>
    <phoneticPr fontId="7" type="noConversion"/>
  </si>
  <si>
    <t>远征费=B1*费率（取消，已综合考虑进取费中）</t>
    <phoneticPr fontId="7" type="noConversion"/>
  </si>
  <si>
    <t>甲方足球俱乐部配合费用，单项包干。</t>
    <phoneticPr fontId="7" type="noConversion"/>
  </si>
  <si>
    <t>远征费=A1*费率（取消，已综合考虑进取费中）</t>
    <phoneticPr fontId="7" type="noConversion"/>
  </si>
  <si>
    <r>
      <t xml:space="preserve">    15、本清单中的“远征费”费率</t>
    </r>
    <r>
      <rPr>
        <sz val="10"/>
        <rFont val="宋体"/>
        <family val="3"/>
        <charset val="134"/>
      </rPr>
      <t>，已包综合取费中。</t>
    </r>
    <phoneticPr fontId="7" type="noConversion"/>
  </si>
  <si>
    <t>部位</t>
    <phoneticPr fontId="7" type="noConversion"/>
  </si>
  <si>
    <t>部位</t>
    <phoneticPr fontId="7" type="noConversion"/>
  </si>
  <si>
    <t>恒大海口湾二期1#楼中档公寓大批量室内精装修工程-套内装修工程量单2</t>
    <phoneticPr fontId="7" type="noConversion"/>
  </si>
  <si>
    <t>恒大海口湾二期1#楼中档公寓大批量室内精装修工程-套内装修工程量清单1</t>
    <phoneticPr fontId="7" type="noConversion"/>
  </si>
  <si>
    <r>
      <t>m</t>
    </r>
    <r>
      <rPr>
        <vertAlign val="superscript"/>
        <sz val="9"/>
        <rFont val="宋体"/>
        <family val="3"/>
        <charset val="134"/>
      </rPr>
      <t>3</t>
    </r>
  </si>
  <si>
    <t>部位</t>
    <phoneticPr fontId="7" type="noConversion"/>
  </si>
  <si>
    <r>
      <t>M</t>
    </r>
    <r>
      <rPr>
        <vertAlign val="superscript"/>
        <sz val="9"/>
        <rFont val="宋体"/>
        <family val="3"/>
        <charset val="134"/>
      </rPr>
      <t>2</t>
    </r>
  </si>
  <si>
    <t>住户大堂入口大门门头1.0mm厚拉丝褐金框，镶嵌12mm厚钢化清玻璃</t>
    <phoneticPr fontId="7" type="noConversion"/>
  </si>
  <si>
    <t>住户大堂入口大门1.0mm厚拉丝褐金框，镶嵌12mm厚钢化清玻璃（包含除拉手、地弹簧、门夹以外的所有五金）</t>
    <phoneticPr fontId="7" type="noConversion"/>
  </si>
  <si>
    <t>部位</t>
    <phoneticPr fontId="7" type="noConversion"/>
  </si>
  <si>
    <r>
      <t>穿BV-2.5MM</t>
    </r>
    <r>
      <rPr>
        <vertAlign val="superscript"/>
        <sz val="9"/>
        <rFont val="宋体"/>
        <family val="3"/>
        <charset val="134"/>
      </rPr>
      <t>2</t>
    </r>
    <r>
      <rPr>
        <sz val="9"/>
        <rFont val="宋体"/>
        <family val="3"/>
        <charset val="134"/>
      </rPr>
      <t>电线</t>
    </r>
  </si>
  <si>
    <r>
      <t>穿NHBV-2.5MM</t>
    </r>
    <r>
      <rPr>
        <vertAlign val="superscript"/>
        <sz val="9"/>
        <rFont val="宋体"/>
        <family val="3"/>
        <charset val="134"/>
      </rPr>
      <t>2</t>
    </r>
    <r>
      <rPr>
        <sz val="9"/>
        <rFont val="宋体"/>
        <family val="3"/>
        <charset val="134"/>
      </rPr>
      <t>电线</t>
    </r>
  </si>
  <si>
    <t>恒大海口湾二期1#楼中档公寓大批量室内精装修工程-地下电梯厅装修工程工程量清单</t>
    <phoneticPr fontId="7" type="noConversion"/>
  </si>
  <si>
    <t>恒大海口湾二期1#楼中档公寓大批量室内精装修工程-标准层电梯前室装修工程量清单</t>
    <phoneticPr fontId="7" type="noConversion"/>
  </si>
  <si>
    <t>恒大海口湾二期1#楼中档公寓大批量室内精装修工程-首层住户大堂及电梯前室装修工程量清单</t>
    <phoneticPr fontId="7" type="noConversion"/>
  </si>
  <si>
    <t>部位</t>
    <phoneticPr fontId="7" type="noConversion"/>
  </si>
  <si>
    <t>恒大海口湾二期1#楼中档公寓大批量室内精装修工程-入户门及五金安装工程量清单</t>
    <phoneticPr fontId="7" type="noConversion"/>
  </si>
  <si>
    <t>恒大海口湾二期1#楼中档公寓大批量室内精装修工程-布草间装修工程工程量清单</t>
    <phoneticPr fontId="7" type="noConversion"/>
  </si>
  <si>
    <t>部位</t>
    <phoneticPr fontId="7" type="noConversion"/>
  </si>
  <si>
    <t>主材甲方代供代扣代付，由厂家负责制作及安装。基价暂定，结算材料公司送货单中的单价据实结算</t>
    <phoneticPr fontId="7" type="noConversion"/>
  </si>
  <si>
    <t>门套</t>
  </si>
  <si>
    <t xml:space="preserve">墙纸  </t>
  </si>
  <si>
    <t>140*220*H390</t>
  </si>
  <si>
    <t>恒大海口湾二期1#楼中档公寓大批量室内精装修工程 公共部分造价汇总表
（含甲方代供代扣代付材料部分）</t>
  </si>
  <si>
    <t>1房1厨1卫1阳台</t>
  </si>
  <si>
    <t>1房1厨1卫2阳台</t>
  </si>
  <si>
    <t>2厅2房1厨1卫2阳台</t>
  </si>
  <si>
    <t>2厅1房1厨1卫2阳台</t>
  </si>
  <si>
    <t>2厅3房1厨1卫1阳台</t>
  </si>
  <si>
    <t>2厅3房1厨2卫2阳台</t>
  </si>
  <si>
    <t>2厅2房1厨1卫1阳台</t>
  </si>
  <si>
    <t>2厅3房1厨2卫1阳台</t>
  </si>
  <si>
    <t>A：8套，B：4套，C、D：各2套，E：3套，F、G1、A1：各1套，</t>
  </si>
  <si>
    <t>3层</t>
  </si>
  <si>
    <t>A：8套，B：4套，C、D：各2套，E：3套，F、G、A1：各1套，</t>
  </si>
  <si>
    <t>4层</t>
  </si>
  <si>
    <t>5层</t>
  </si>
  <si>
    <t>6层</t>
  </si>
  <si>
    <t>7层</t>
  </si>
  <si>
    <t>8层</t>
  </si>
  <si>
    <t>10层</t>
  </si>
  <si>
    <t>11层</t>
  </si>
  <si>
    <t>12层</t>
  </si>
  <si>
    <t>A：7套，B：4套，C、D：各2套，E：3套，H、A1：各1套，</t>
  </si>
  <si>
    <t>A：6套，B、E：3套，C、D：各2套，B1、I、A1：各1套，</t>
  </si>
  <si>
    <t>A：5套，B、E：3套，C、D：各2套，J、A1：各1套，</t>
  </si>
  <si>
    <t>A：5套，E：3套，C、B：各2套，K、A1：各1套，</t>
  </si>
  <si>
    <t>恒大海口湾二期1#楼中档公寓大批量室内精装修工程 套内部分造价汇总表
（含甲方代供代扣代付材料部分）</t>
    <phoneticPr fontId="7" type="noConversion"/>
  </si>
  <si>
    <r>
      <t>每平方米套内单方造价(元/m</t>
    </r>
    <r>
      <rPr>
        <b/>
        <vertAlign val="superscript"/>
        <sz val="10"/>
        <rFont val="宋体"/>
        <family val="3"/>
        <charset val="134"/>
      </rPr>
      <t>2</t>
    </r>
    <r>
      <rPr>
        <b/>
        <sz val="10"/>
        <rFont val="宋体"/>
        <family val="3"/>
        <charset val="134"/>
      </rPr>
      <t>)</t>
    </r>
  </si>
  <si>
    <t>恒大海口湾二期1#楼中档公寓大批量室内精装修工程造价汇总表
（含甲方代供代扣代付材料部分）</t>
  </si>
  <si>
    <t>恒大海口湾二期1#、3#楼中档公寓大批量及1#商业走廊装修施工工程造价汇总表
（含甲方代供代扣代付材料部分）</t>
    <phoneticPr fontId="7" type="noConversion"/>
  </si>
  <si>
    <t xml:space="preserve">100mm高石膏角线 </t>
    <phoneticPr fontId="7" type="noConversion"/>
  </si>
  <si>
    <t>现场工程量</t>
    <phoneticPr fontId="7" type="noConversion"/>
  </si>
  <si>
    <t>现场工程量</t>
    <phoneticPr fontId="7" type="noConversion"/>
  </si>
  <si>
    <t>现场工程量</t>
    <phoneticPr fontId="7" type="noConversion"/>
  </si>
  <si>
    <t>5.42*2.8+6.19*7.13*1/2</t>
    <phoneticPr fontId="7" type="noConversion"/>
  </si>
  <si>
    <t>现场工程量计算式</t>
    <phoneticPr fontId="7" type="noConversion"/>
  </si>
  <si>
    <t>结果</t>
    <phoneticPr fontId="7" type="noConversion"/>
  </si>
  <si>
    <t>13.36*1.6【走道】</t>
    <phoneticPr fontId="7" type="noConversion"/>
  </si>
  <si>
    <t>3*2【走道】</t>
    <phoneticPr fontId="7" type="noConversion"/>
  </si>
  <si>
    <t>(1.01-0.4)+(2.7-0.4)+(3.3-0.8)+(4.5-0.4)+(2.0-0.4)+(3.42-0.8)</t>
    <phoneticPr fontId="7" type="noConversion"/>
  </si>
  <si>
    <t>甲方已测量</t>
    <phoneticPr fontId="7" type="noConversion"/>
  </si>
  <si>
    <t>5.05*2.91+1.48*4.22+4.16*0.25*1/2+0.35*1.6+1.6*0.25-0.66*1.97-0.48*1.97</t>
    <phoneticPr fontId="7" type="noConversion"/>
  </si>
  <si>
    <t>1.6*2.4</t>
    <phoneticPr fontId="7" type="noConversion"/>
  </si>
  <si>
    <t>2.4*2.4+1.34*2.4*1/2+(1.7+0.95)*2.7*1/2</t>
    <phoneticPr fontId="7" type="noConversion"/>
  </si>
  <si>
    <t>(1.27+2.22)*3.6*1/2+(4.5+2.7)*3.28*1/2-(2.51+4.0)*2.75*1/2-(1.94+1.05)*3.05*1/2</t>
    <phoneticPr fontId="7" type="noConversion"/>
  </si>
  <si>
    <t>(1.8+2.6)*2【门廊地面】</t>
    <phoneticPr fontId="7" type="noConversion"/>
  </si>
  <si>
    <t>1.0+2.45+2.45+3.8+1.75+2.75【现场为50mm宽】</t>
    <phoneticPr fontId="7" type="noConversion"/>
  </si>
  <si>
    <t>1.11+2.56+2.67+3.93+1.86+2.97</t>
    <phoneticPr fontId="7" type="noConversion"/>
  </si>
  <si>
    <t>(1.72+2.52)*2【60mm宽黑色石材波打线】+(1.88+2.68)*2【40mm宽黑色石材波打线】</t>
    <phoneticPr fontId="7" type="noConversion"/>
  </si>
  <si>
    <t>0.91*0.38*2+0.33*0.91</t>
    <phoneticPr fontId="7" type="noConversion"/>
  </si>
  <si>
    <t>0.32*2.0+0.42*1.23</t>
    <phoneticPr fontId="7" type="noConversion"/>
  </si>
  <si>
    <t>(2.64+3.37)*2*3.46-1.23*2.1+(1.23+2.1*2)*0.36-1.16*2.1*2+(2.0+4.5-1.4*2+0.15*2+2.7+1.01)*3.61+3.6*0.38</t>
    <phoneticPr fontId="7" type="noConversion"/>
  </si>
  <si>
    <t>(2*3.32*0.32+0.91*0.32)*2</t>
    <phoneticPr fontId="7" type="noConversion"/>
  </si>
  <si>
    <t>0.61*0.72*2+0.61*0.61</t>
    <phoneticPr fontId="7" type="noConversion"/>
  </si>
  <si>
    <t>(3.61*2+1.4)*2+3.46*2+1.4</t>
    <phoneticPr fontId="7" type="noConversion"/>
  </si>
  <si>
    <t>量图纸</t>
    <phoneticPr fontId="7" type="noConversion"/>
  </si>
  <si>
    <t>0.27*(3.18*2+3.03)+2*0.19*(3.26*2+3.6)【大堂通往过道的垭口门套，计算式按平方计】</t>
    <phoneticPr fontId="7" type="noConversion"/>
  </si>
  <si>
    <t>(13.36+1.6)*2*3.26-3.6*3.26-1.23*2.1-0.6*1.83*5-0.66*0.78</t>
    <phoneticPr fontId="7" type="noConversion"/>
  </si>
  <si>
    <t>2.0*0.62</t>
    <phoneticPr fontId="7" type="noConversion"/>
  </si>
  <si>
    <t>(0.05+0.12+0.24+0.03+0.05)*(3.6*2+2.9)*2+0.3*(3.16*2+2.0)</t>
    <phoneticPr fontId="7" type="noConversion"/>
  </si>
  <si>
    <t>2.0*2.4</t>
    <phoneticPr fontId="7" type="noConversion"/>
  </si>
  <si>
    <t>2.4*0.4*2+2.33*0.4*2+(1.64*0.35+0.41*0.35)*2+(2.4+1.8)*0.22+1.58*0.22+(1.58+0.41)*2*0.35+(0.06+0.2)*(1.77*2+1.75)</t>
    <phoneticPr fontId="7" type="noConversion"/>
  </si>
  <si>
    <t>2.7*3.28+3.28*1.95*1/2+(2.0+1.01)*3.6*1/2【大堂】+3.36*2.7【电梯厅前室】</t>
    <phoneticPr fontId="7" type="noConversion"/>
  </si>
  <si>
    <t>(1.1+5.86)*0.2*2【走道天花侧板】+【大堂天花侧板】+【电梯厅前室天花侧板】</t>
    <phoneticPr fontId="7" type="noConversion"/>
  </si>
  <si>
    <t>【门廊天花侧板】</t>
    <phoneticPr fontId="7" type="noConversion"/>
  </si>
  <si>
    <t>现场为古铜拉手</t>
    <phoneticPr fontId="7" type="noConversion"/>
  </si>
  <si>
    <t>1.04+2.84+1.78+3.84+2.54+2.4【现场为55mm宽】</t>
    <phoneticPr fontId="7" type="noConversion"/>
  </si>
  <si>
    <t>1.85+1.11+3.09+4.0+2.41+2.75【现场为115mm宽黄色砖】</t>
    <phoneticPr fontId="7" type="noConversion"/>
  </si>
  <si>
    <t>(1.21+2.36*2)*(2+2*2)</t>
    <phoneticPr fontId="7" type="noConversion"/>
  </si>
  <si>
    <t>(2.0+4.12+2.97+2.52+1.02+3.27)+(1.54+3.7+2.33+2.36+0.82+2.63)</t>
    <phoneticPr fontId="7" type="noConversion"/>
  </si>
  <si>
    <t>1.8+3.95+2.75+2.43+0.93+3.01</t>
    <phoneticPr fontId="7" type="noConversion"/>
  </si>
  <si>
    <t>(0.92+2.22*2)*0.28*(2+2*2)</t>
    <phoneticPr fontId="7" type="noConversion"/>
  </si>
  <si>
    <t>15层现场工程量</t>
    <phoneticPr fontId="7" type="noConversion"/>
  </si>
  <si>
    <t>5【走道】+2【消防楼梯间1、2】</t>
    <phoneticPr fontId="7" type="noConversion"/>
  </si>
  <si>
    <t>2【电梯厅1、2】</t>
    <phoneticPr fontId="7" type="noConversion"/>
  </si>
  <si>
    <t>((2.46+1.23)*3.79*1/2+(2.7+4.49)*3.45*1/2)*2【电梯厅1、2二级天花】</t>
    <phoneticPr fontId="7" type="noConversion"/>
  </si>
  <si>
    <t>((2.46+1.23)*3.79*1/2+(2.7+4.49)*3.45*1/2)*2【电梯厅1、2二级天花】</t>
    <phoneticPr fontId="7" type="noConversion"/>
  </si>
  <si>
    <t>((2.46+1.23)*3.79*1/2+(2.7+4.49)*3.45*1/2)*2【电梯厅1、2二级天花】</t>
    <phoneticPr fontId="7" type="noConversion"/>
  </si>
  <si>
    <t>2【电梯厅1、2】</t>
    <phoneticPr fontId="7" type="noConversion"/>
  </si>
  <si>
    <t>4【走道】</t>
    <phoneticPr fontId="7" type="noConversion"/>
  </si>
  <si>
    <t>3+1+4+1+3+1+3+1+3+3+1+4+2【走道】+3*2【电梯厅1、2】+2*2【消防楼梯间1、2】</t>
    <phoneticPr fontId="7" type="noConversion"/>
  </si>
  <si>
    <r>
      <t>(54.52+8.4+1.21)*1.59【走道一级天花】</t>
    </r>
    <r>
      <rPr>
        <sz val="9"/>
        <color rgb="FF0070C0"/>
        <rFont val="宋体"/>
        <family val="3"/>
        <charset val="134"/>
      </rPr>
      <t>+2.79*3.51*2【消防楼梯间1、2一级天花】</t>
    </r>
    <phoneticPr fontId="7" type="noConversion"/>
  </si>
  <si>
    <r>
      <rPr>
        <sz val="9"/>
        <color rgb="FFFF0000"/>
        <rFont val="宋体"/>
        <family val="3"/>
        <charset val="134"/>
      </rPr>
      <t>序号4计算结果</t>
    </r>
    <r>
      <rPr>
        <sz val="9"/>
        <color rgb="FF0070C0"/>
        <rFont val="宋体"/>
        <family val="3"/>
        <charset val="134"/>
      </rPr>
      <t>+((2.46+1.23)*3.78*1/2+(2.7+4.49)*3.45*1/2-(1.85+1.11)*3.09*1/2-(4.0+2.41)*2.75*1/2)*2【电梯厅1、2】</t>
    </r>
    <phoneticPr fontId="7" type="noConversion"/>
  </si>
  <si>
    <r>
      <rPr>
        <sz val="9"/>
        <color rgb="FFFF0000"/>
        <rFont val="宋体"/>
        <family val="3"/>
        <charset val="134"/>
      </rPr>
      <t>序号4计算结果</t>
    </r>
    <r>
      <rPr>
        <sz val="9"/>
        <color rgb="FF0070C0"/>
        <rFont val="宋体"/>
        <family val="3"/>
        <charset val="134"/>
      </rPr>
      <t>+((2.46+1.23)*3.78*1/2+(2.7+4.49)*3.45*1/2-(1.85+1.11)*3.09*1/2-(4.0+2.41)*2.75*1/2)*2【电梯厅1、2】</t>
    </r>
    <phoneticPr fontId="7" type="noConversion"/>
  </si>
  <si>
    <r>
      <t>(54.52+16.04+8.0)*1.58【走道一级天花】</t>
    </r>
    <r>
      <rPr>
        <sz val="9"/>
        <color rgb="FF0070C0"/>
        <rFont val="宋体"/>
        <family val="3"/>
        <charset val="134"/>
      </rPr>
      <t>+2.79*3.51*2【消防楼梯间1、2一级天花】</t>
    </r>
    <phoneticPr fontId="7" type="noConversion"/>
  </si>
  <si>
    <t>4-8、10-12层</t>
    <phoneticPr fontId="7" type="noConversion"/>
  </si>
  <si>
    <t>13层</t>
    <phoneticPr fontId="7" type="noConversion"/>
  </si>
  <si>
    <t>((2.29+1.23)*3.8*1/2+(2.58+4.5)*3.44*1/2)*2【电梯厅1、2二级天花】</t>
    <phoneticPr fontId="7" type="noConversion"/>
  </si>
  <si>
    <t>4+1+2+1+3+1+3+1+4+2+3+1+3+1+3+1+3+1+3+1+3+2【走道】+3*2【电梯厅】+2*2【消防楼梯间1、2】+1【消防楼梯间3】</t>
    <phoneticPr fontId="7" type="noConversion"/>
  </si>
  <si>
    <t>2+3+1+3+1+3+1+2+1+3+1+3+1+3+1+3+1+3+1+3+1+3+2【走道】+3*2【电梯厅】+2*2【消防楼梯间1、2】+1【消防楼梯间3】</t>
    <phoneticPr fontId="7" type="noConversion"/>
  </si>
  <si>
    <t>7【走道】+2【消防楼梯间1、2】</t>
    <phoneticPr fontId="7" type="noConversion"/>
  </si>
  <si>
    <t>7【走道】+2【消防楼梯间1、2】</t>
    <phoneticPr fontId="7" type="noConversion"/>
  </si>
  <si>
    <t>5【走道】+2【电梯厅1、2】</t>
    <phoneticPr fontId="7" type="noConversion"/>
  </si>
  <si>
    <t>5【走道】</t>
    <phoneticPr fontId="7" type="noConversion"/>
  </si>
  <si>
    <t>3+4+1+3+1+3+1+3+1+3+1+3+1+3+1+3+2【走道】+3*2【电梯厅1、2】+2*2【消防楼梯间1、2】</t>
    <phoneticPr fontId="7" type="noConversion"/>
  </si>
  <si>
    <t>8【走道】+3【消防楼梯间1、2、3】</t>
    <phoneticPr fontId="7" type="noConversion"/>
  </si>
  <si>
    <t>6【走道】+2【电梯厅1、2】</t>
    <phoneticPr fontId="7" type="noConversion"/>
  </si>
  <si>
    <t>1+4+1+3+1+4+1+3+1+3+1+3+1+3+1+3+1+4+1【走道】+3*2【电梯厅1、2】+2*2【消防楼梯间1、2】</t>
    <phoneticPr fontId="7" type="noConversion"/>
  </si>
  <si>
    <r>
      <rPr>
        <sz val="9"/>
        <color rgb="FFFF0000"/>
        <rFont val="宋体"/>
        <family val="3"/>
        <charset val="134"/>
      </rPr>
      <t>序号4计算结果</t>
    </r>
    <r>
      <rPr>
        <sz val="9"/>
        <color rgb="FF0070C0"/>
        <rFont val="宋体"/>
        <family val="3"/>
        <charset val="134"/>
      </rPr>
      <t>+((2.46+1.23)*3.78*1/2+(2.7+4.49)*3.45*1/2-(1.85+1.11)*3.09*1/2-(4.0+2.41)*2.75*1/2)*2【电梯厅1、2】</t>
    </r>
    <phoneticPr fontId="7" type="noConversion"/>
  </si>
  <si>
    <t>((1.7+1.01)*2.72*1/2+(3.74+2.33)*2.4*1/2)*2【电梯厅1、2】</t>
    <phoneticPr fontId="7" type="noConversion"/>
  </si>
  <si>
    <t>((1.7+1.01)*2.72*1/2+(3.74+2.33)*2.4*1/2)*2【电梯厅1、2】</t>
    <phoneticPr fontId="7" type="noConversion"/>
  </si>
  <si>
    <r>
      <t>(54.52+16.05+25.9)*1.6【走道一级天花】+2.78*3.51*2【消防楼梯间1、2一级天花】</t>
    </r>
    <r>
      <rPr>
        <sz val="9"/>
        <color rgb="FF0070C0"/>
        <rFont val="宋体"/>
        <family val="3"/>
        <charset val="134"/>
      </rPr>
      <t>+(1.87+1.66)*2.56*1/2+1.67*1.96*1/2【消防楼梯间3一级天花】</t>
    </r>
    <phoneticPr fontId="7" type="noConversion"/>
  </si>
  <si>
    <r>
      <t>(54.52+16.02+13.34)*1.6【走道一级天花】</t>
    </r>
    <r>
      <rPr>
        <sz val="9"/>
        <color rgb="FF0070C0"/>
        <rFont val="宋体"/>
        <family val="3"/>
        <charset val="134"/>
      </rPr>
      <t>+2.79*3.51*2【消防楼梯间1、2一级天花】</t>
    </r>
    <phoneticPr fontId="7" type="noConversion"/>
  </si>
  <si>
    <r>
      <t>(54.52+16.03+20.39)*1.6【走道一级天花】</t>
    </r>
    <r>
      <rPr>
        <sz val="9"/>
        <color rgb="FF0070C0"/>
        <rFont val="宋体"/>
        <family val="3"/>
        <charset val="134"/>
      </rPr>
      <t>+2.78*3.51*2【消防楼梯间1、2一级天花】+(1.87+1.66)*2.56*1/2+1.67*1.96*1/2【消防楼梯间3一级天花】</t>
    </r>
    <phoneticPr fontId="7" type="noConversion"/>
  </si>
  <si>
    <r>
      <t>(54.52+16.02+13.34)*2*2.29+1.6*2.29【整体墙面】-1.09*2.29*19-1.4*2.29【入户门】-0.58*1.78*18【水电井门】-0.65*0.8*8【消火栓】-1.3*2.3*2*2+(1.3+2.3)*2*0.14*2【走道窗户】-1.15*2.11*2+(1.15+2.11*2)*0.21*2【消防楼梯间1、2门洞】-4.06*2.29*2【电梯厅1、2门洞】</t>
    </r>
    <r>
      <rPr>
        <sz val="9"/>
        <color rgb="FF0070C0"/>
        <rFont val="宋体"/>
        <family val="3"/>
        <charset val="134"/>
      </rPr>
      <t>+((3.51+2.79)*2*2.36-1.21*2.36-2.13*1.19-1.15*2.11+(1.15+2.11*2)*0.18-0.65*0.8-0.84*1.05)*2【消防楼梯间1、2墙面】+((2.32+4.49-1.21*2+3.46+2.64+1.15)*2.35-2.3*1.32+(2.3+1.32)*2*0.12)*2【电梯厅1、2墙面】</t>
    </r>
    <phoneticPr fontId="7" type="noConversion"/>
  </si>
  <si>
    <r>
      <t>(54.52+16.04+8.0)*2*2.29+1.58*2.29【整体墙面】-1.09*2.29*15-1.4*2.29【入户门】-0.59*1.78*16【水电井门】-0.65*0.8*7【消火栓】-1.3*2.3*2*2+(1.3+2.3)*2*0.14*2【走道窗户】-1.15*2.11*2+(1.15+2.11*2)*0.21*2【消防楼梯间1、2门洞】-4.03*2.29*2【电梯厅1、2门洞】</t>
    </r>
    <r>
      <rPr>
        <sz val="9"/>
        <color rgb="FF0070C0"/>
        <rFont val="宋体"/>
        <family val="3"/>
        <charset val="134"/>
      </rPr>
      <t>+((3.51+2.79)*2*2.36-1.21*2.36-2.13*1.19-1.15*2.11+(1.15+2.11*2)*0.18-0.65*0.8-0.84*1.05)*2【消防楼梯间1、2墙面】+((2.32+4.49-1.21*2+3.46+2.64+1.15)*2.35-2.3*1.32+(2.3+1.32)*2*0.12)*2【电梯厅1、2墙面】</t>
    </r>
    <phoneticPr fontId="7" type="noConversion"/>
  </si>
  <si>
    <r>
      <t>(54.52+8.4+1.21)*2*2.29+1.59*2.29【整体墙面】-1.09*2.29*14-1.4*2.29【入户门】-0.58*1.78*14【水电井门】-0.65*0.8*7【消火栓】-1.3*2.3*2*2+(1.3+2.3)*2*0.15*2【走道窗户】-1.15*2.1*2+(1.15+2.1*2)*0.21*2【消防楼梯间1、2门洞】-4.07*2.29*2【电梯厅1、2门洞】</t>
    </r>
    <r>
      <rPr>
        <sz val="9"/>
        <color rgb="FF0070C0"/>
        <rFont val="宋体"/>
        <family val="3"/>
        <charset val="134"/>
      </rPr>
      <t>+((3.51+2.79)*2*2.36-1.21*2.36-2.13*1.19-1.15*2.11+(1.15+2.11*2)*0.18-0.65*0.8-0.84*1.05)*2【消防楼梯间1、2墙面】+((2.32+4.49-1.21*2+3.46+2.64+1.15)*2.35-2.3*1.32+(2.3+1.32)*2*0.12)*2【电梯厅1、2墙面】</t>
    </r>
    <phoneticPr fontId="7" type="noConversion"/>
  </si>
  <si>
    <t>1+3+1+3+1+3+1+4+1+3+1+3+1+3+1+3+1+3+1+3+1【走道】+3*2【电梯厅1、2】+2*2【消防楼梯间1、2】+1【消防楼梯间3】</t>
    <phoneticPr fontId="7" type="noConversion"/>
  </si>
  <si>
    <t>1+3+1+2+1+3+1+3+1+4+1+3+1+3+1+3+1+3+1+3+1+3+2【走道】+3*2【电梯厅1、2】+2*2【消防楼梯间1、2】+1【消防楼梯间3】</t>
    <phoneticPr fontId="7" type="noConversion"/>
  </si>
  <si>
    <t>7【走道】+3【消防楼梯间1、2、3】</t>
    <phoneticPr fontId="7" type="noConversion"/>
  </si>
  <si>
    <t>1【走道】</t>
    <phoneticPr fontId="7" type="noConversion"/>
  </si>
  <si>
    <r>
      <t>(54.52+16.01+25.89)*1.6【走道一级天花】</t>
    </r>
    <r>
      <rPr>
        <sz val="9"/>
        <color rgb="FF0070C0"/>
        <rFont val="宋体"/>
        <family val="3"/>
        <charset val="134"/>
      </rPr>
      <t>+2.78*3.51*2【消防楼梯间1、2一级天花】+(1.87+1.66)*2.56*1/2+1.67*1.96*1/2【消防楼梯间3一级天花】</t>
    </r>
    <phoneticPr fontId="7" type="noConversion"/>
  </si>
  <si>
    <t>6【走道，现场为声控开关】+2【电梯厅1、2，现场为声控开关】</t>
    <phoneticPr fontId="7" type="noConversion"/>
  </si>
  <si>
    <t>7【走道】+3【消防楼梯间1、2、3】</t>
    <phoneticPr fontId="7" type="noConversion"/>
  </si>
  <si>
    <t>1【走道】</t>
    <phoneticPr fontId="7" type="noConversion"/>
  </si>
  <si>
    <t>6【走道】+3【消防楼梯间1、2、3】</t>
    <phoneticPr fontId="7" type="noConversion"/>
  </si>
  <si>
    <t>2【走道】</t>
    <phoneticPr fontId="7" type="noConversion"/>
  </si>
  <si>
    <t>5【走道，现场为声控开关】+2【电梯厅1、2，现场为声控开关】</t>
    <phoneticPr fontId="7" type="noConversion"/>
  </si>
  <si>
    <t>((1.7+1.01)*2.72*1/2+(3.74+2.33)*2.4*1/2)*2【电梯厅1、2】</t>
    <phoneticPr fontId="7" type="noConversion"/>
  </si>
  <si>
    <t>180.24+((2.46+1.23)*3.78*1/2+(2.7+4.49)*3.45*1/2-(1.85+1.11)*3.09*1/2-(4.0+2.41)*2.75*1/2)*2【电梯厅1、2】+2.79*3.51*2【消防楼梯间1、2】+(1.87+1.66)*2.56*1/2+1.67*1.96*1/2【消防楼梯间3】</t>
    <phoneticPr fontId="7" type="noConversion"/>
  </si>
  <si>
    <t>墙面粘贴400×800mm仿洞石抛光砖含10MM鸡嘴线(CT-02、其它费含开介切角磨边加工费）</t>
    <phoneticPr fontId="7" type="noConversion"/>
  </si>
  <si>
    <t>过厅9MM厚耐水石膏板跌级天花（含灯位开孔，按投影面积计）</t>
    <phoneticPr fontId="7" type="noConversion"/>
  </si>
  <si>
    <t>天花扇灰油白色乳胶漆（按展开面积，一底二面,包含石膏角线）</t>
    <phoneticPr fontId="7" type="noConversion"/>
  </si>
  <si>
    <t>20MM厚古堡灰门槛石连磨边（单磨边）（ST-02）</t>
    <phoneticPr fontId="7" type="noConversion"/>
  </si>
  <si>
    <t>20MM厚古堡灰门槛石连磨边（无磨边）（ST-02）</t>
    <phoneticPr fontId="7" type="noConversion"/>
  </si>
  <si>
    <t>0.91*0.3*2*(2+2)【电梯厅】</t>
    <phoneticPr fontId="7" type="noConversion"/>
  </si>
  <si>
    <t>1.14*0.32*2+0.17*1.14*2【消防楼梯间1、2】+1.16*0.27+0.18*1.13【消防楼梯间3】【现场为黑色无磨边】</t>
    <phoneticPr fontId="7" type="noConversion"/>
  </si>
  <si>
    <t xml:space="preserve">4“筒灯安装连光源 </t>
    <phoneticPr fontId="7" type="noConversion"/>
  </si>
  <si>
    <t>二位单控开关（不含底盒，）</t>
    <phoneticPr fontId="7" type="noConversion"/>
  </si>
  <si>
    <t>一位单控开关（不含底盒，）</t>
    <phoneticPr fontId="7" type="noConversion"/>
  </si>
  <si>
    <t>(54.52+16.18+25.86)*2*2.3+1.6*2.3【整体墙面】-1.1*2.3*23【入户门】-0.58*1.78*22【水电井门】-0.65*0.8*9【消火栓】-1.3*2.3*2+(1.3+2.3)*2*0.12*2-1.4*1.4+1.4*2*0.12【走道窗户】-1.17*2.1*3+(1.17+2.1*2)*0.19*3【消防楼梯间1、2、3门洞】-4.1*2.3*2【电梯厅1、2门洞】+((3.51+2.79)*2*2.36-1.21*2.36-2.13*1.19-1.15*2.11+(1.15+2.11*2)*0.18-0.65*0.8-0.84*1.05)*2【消防楼梯间1、2墙面】+(1.87+2.55+1.66+1.96+1.67)*2.36-1.19*2.13-1.13*2.09+(1.13+2.09*2)*0.18【消防楼梯间3墙面】+((2.32+4.49-1.21*2+3.46+2.64+1.15)*2.35-2.3*1.32+(2.3+1.32)*2*0.12)*2【电梯厅1、2墙面】</t>
    <phoneticPr fontId="7" type="noConversion"/>
  </si>
  <si>
    <r>
      <t>(54.52+16.01+25.89)*2*2.29+1.6*2.29【整体墙面】-1.09*2.29*23【入户门】-0.58*1.78*22【水电井门】-0.65*0.8*8【消火栓】</t>
    </r>
    <r>
      <rPr>
        <sz val="9"/>
        <color rgb="FF0070C0"/>
        <rFont val="宋体"/>
        <family val="3"/>
        <charset val="134"/>
      </rPr>
      <t>-1.3*2.27*2*2+(1.3+2.27)*2*0.14*2-1.4*1.4+1.4*2*0.12【走道窗户】-1.17*2.1*3+(1.17+2.1*2)*0.2*3【消防楼梯间1、2、3门洞】-4.1*2.3*2【电梯厅1、2门洞】+(1.87+2.55+1.66+1.96+1.67)*2.36-1.19*2.13-1.13*2.09+(1.13+2.09*2)*0.18【消防楼梯间3墙面】+((2.32+4.49-1.21*2+3.46+2.64+1.15)*2.35-2.3*1.32+(2.3+1.32)*2*0.12)*2【电梯厅1、2墙面】</t>
    </r>
    <phoneticPr fontId="7" type="noConversion"/>
  </si>
  <si>
    <r>
      <t>(54.52+16.03+20.39)*2*2.29+1.6*2.29【整体墙面】-1.09*2.29*20--1.4*2.29【入户门】-0.58*1.78*20【水电井门】-0.65*0.8*8【消火栓】-1.3*2.27*2*2+(1.3+2.27)*2*0.14*2-1.4*1.4+1.4*2*0.12【走道窗户】</t>
    </r>
    <r>
      <rPr>
        <sz val="9"/>
        <color rgb="FF0070C0"/>
        <rFont val="宋体"/>
        <family val="3"/>
        <charset val="134"/>
      </rPr>
      <t>-1.17*2.1*3+(1.17+2.1*2)*0.2*3【消防楼梯间1、2、3门洞】-4.1*2.3*2【电梯厅1、2门洞】+(1.87+2.55+1.66+1.96+1.67)*2.36-1.19*2.13-1.13*2.09+(1.13+2.09*2)*0.18【消防楼梯间3墙面】+((2.32+4.49-1.21*2+3.46+2.64+1.15)*2.35-2.3*1.32+(2.3+1.32)*2*0.12)*2【电梯厅1、2墙面】</t>
    </r>
    <phoneticPr fontId="7" type="noConversion"/>
  </si>
  <si>
    <r>
      <rPr>
        <sz val="9"/>
        <color rgb="FFFF0000"/>
        <rFont val="宋体"/>
        <family val="3"/>
        <charset val="134"/>
      </rPr>
      <t>38.79+180.24【投影面积】</t>
    </r>
    <r>
      <rPr>
        <sz val="9"/>
        <rFont val="宋体"/>
        <family val="3"/>
        <charset val="134"/>
      </rPr>
      <t>+0.17*(0.96*22+(6.84+3.76+6.24+7.28+6.75+6.96+7.26+4.16+5.55+5.66+4.01)*2)【走道侧板】+0.045*(1.27+3.4+2.0+2.22+0.71+2.25)*2+0.08*(1.66+3.78+2.51+2.4+0.84+2.78)*2+0.18*(1.8+3.95+2.75+2.43+0.93+3.01)*2【电梯厅1、2侧板】+0.19*(2.16+2.91)*2*2【消防楼梯间1、2侧板】+0.19*(1.92+1.45+1.22+1.52+1.22)【消防楼梯间3侧板】</t>
    </r>
    <phoneticPr fontId="7" type="noConversion"/>
  </si>
  <si>
    <r>
      <rPr>
        <sz val="9"/>
        <color rgb="FFFF0000"/>
        <rFont val="宋体"/>
        <family val="3"/>
        <charset val="134"/>
      </rPr>
      <t>38.79+154.27【投影面积】</t>
    </r>
    <r>
      <rPr>
        <sz val="9"/>
        <rFont val="宋体"/>
        <family val="3"/>
        <charset val="134"/>
      </rPr>
      <t>+((6.0+4.58+5.9+6.47+7.09+6.27+5.77+6.3+6.18+4.72+4.8)*2+0.96*22)*0.176【走道侧板】</t>
    </r>
    <r>
      <rPr>
        <sz val="9"/>
        <color rgb="FF0070C0"/>
        <rFont val="宋体"/>
        <family val="3"/>
        <charset val="134"/>
      </rPr>
      <t>+0.045*(1.27+3.4+2.0+2.22+0.71+2.25)*2+0.08*(1.66+3.78+2.51+2.4+0.84+2.78)*2+0.18*(1.8+3.95+2.75+2.43+0.93+3.01)*2【电梯厅1、2侧板】+0.19*(2.16+2.91)*2*2【消防楼梯间1、2侧板】+0.19*(1.92+1.45+1.22+1.52+1.22)【消防楼梯间3侧板】</t>
    </r>
    <phoneticPr fontId="7" type="noConversion"/>
  </si>
  <si>
    <r>
      <rPr>
        <sz val="9"/>
        <color rgb="FFFF0000"/>
        <rFont val="宋体"/>
        <family val="3"/>
        <charset val="134"/>
      </rPr>
      <t>38.79+145.5【投影面积】</t>
    </r>
    <r>
      <rPr>
        <sz val="9"/>
        <rFont val="宋体"/>
        <family val="3"/>
        <charset val="134"/>
      </rPr>
      <t>+((4.57+5.57+5.3+6.56+6.27+6.3+6.3+4.86+5.79+5.06)*2+0.94*20)*0.16【走道侧板】</t>
    </r>
    <r>
      <rPr>
        <sz val="9"/>
        <color rgb="FF0070C0"/>
        <rFont val="宋体"/>
        <family val="3"/>
        <charset val="134"/>
      </rPr>
      <t>+0.045*(1.27+3.4+2.0+2.22+0.71+2.25)*2+0.08*(1.66+3.78+2.51+2.4+0.84+2.78)*2+0.18*(1.8+3.95+2.75+2.43+0.93+3.01)*2【电梯厅1、2侧板】+0.19*(2.16+2.91)*2*2【消防楼梯间1、2侧板】+0.19*(1.92+1.45+1.22+1.52+1.22)【消防楼梯间3侧板】</t>
    </r>
    <phoneticPr fontId="7" type="noConversion"/>
  </si>
  <si>
    <r>
      <rPr>
        <sz val="9"/>
        <color rgb="FFFF0000"/>
        <rFont val="宋体"/>
        <family val="3"/>
        <charset val="134"/>
      </rPr>
      <t>38.79+134.21【投影面积】</t>
    </r>
    <r>
      <rPr>
        <sz val="9"/>
        <rFont val="宋体"/>
        <family val="3"/>
        <charset val="134"/>
      </rPr>
      <t>+((6.39+7.28+6.61+5.44+6.01+6.62+5.41+5.41+6.61)*2+0.96*18)*0.19【走道侧板】</t>
    </r>
    <r>
      <rPr>
        <sz val="9"/>
        <color rgb="FF0070C0"/>
        <rFont val="宋体"/>
        <family val="3"/>
        <charset val="134"/>
      </rPr>
      <t>+0.045*(1.27+3.4+2.0+2.22+0.71+2.25)*2+0.08*(1.66+3.78+2.51+2.4+0.84+2.78)*2+0.18*(1.8+3.95+2.75+2.43+0.93+3.01)*2【电梯厅1、2侧板】+0.19*(2.16+2.91)*2*2【消防楼梯间1、2侧板】</t>
    </r>
    <phoneticPr fontId="7" type="noConversion"/>
  </si>
  <si>
    <r>
      <rPr>
        <sz val="9"/>
        <color rgb="FFFF0000"/>
        <rFont val="宋体"/>
        <family val="3"/>
        <charset val="134"/>
      </rPr>
      <t>38.79+124.12【投影面积】</t>
    </r>
    <r>
      <rPr>
        <sz val="9"/>
        <rFont val="宋体"/>
        <family val="3"/>
        <charset val="134"/>
      </rPr>
      <t>+((6.57+6.05+6.05+6.63+6.64+4.85+4.84+5.15)*2+0.94*16)*0.174【走道侧板】</t>
    </r>
    <r>
      <rPr>
        <sz val="9"/>
        <color rgb="FF0070C0"/>
        <rFont val="宋体"/>
        <family val="3"/>
        <charset val="134"/>
      </rPr>
      <t>+0.045*(1.27+3.4+2.0+2.22+0.71+2.25)*2+0.08*(1.66+3.78+2.51+2.4+0.84+2.78)*2+0.18*(1.8+3.95+2.75+2.43+0.93+3.01)*2【电梯厅1、2侧板】+0.19*(2.16+2.91)*2*2【消防楼梯间1、2侧板】</t>
    </r>
    <phoneticPr fontId="7" type="noConversion"/>
  </si>
  <si>
    <r>
      <rPr>
        <sz val="9"/>
        <color rgb="FFFF0000"/>
        <rFont val="宋体"/>
        <family val="3"/>
        <charset val="134"/>
      </rPr>
      <t>38.79+101.97【投影面积】</t>
    </r>
    <r>
      <rPr>
        <sz val="9"/>
        <rFont val="宋体"/>
        <family val="3"/>
        <charset val="134"/>
      </rPr>
      <t>+((5.85+6.64+5.45+6.04+6.64+5.45+6.05)*2+0.98*14)*0.17【走道侧板】</t>
    </r>
    <r>
      <rPr>
        <sz val="9"/>
        <color rgb="FF0070C0"/>
        <rFont val="宋体"/>
        <family val="3"/>
        <charset val="134"/>
      </rPr>
      <t>+0.045*(1.27+3.4+2.0+2.22+0.71+2.25)*2+0.08*(1.66+3.78+2.51+2.4+0.84+2.78)*2+0.18*(1.8+3.95+2.75+2.43+0.93+3.01)*2【电梯厅1、2侧板】+0.19*(2.16+2.91)*2*2【消防楼梯间1、2侧板】</t>
    </r>
    <phoneticPr fontId="7" type="noConversion"/>
  </si>
  <si>
    <t>按竣工图</t>
    <phoneticPr fontId="7" type="noConversion"/>
  </si>
  <si>
    <r>
      <t>地面铺800×800mm灰色抛光砖(CT-01)</t>
    </r>
    <r>
      <rPr>
        <sz val="9"/>
        <color rgb="FFFF0000"/>
        <rFont val="宋体"/>
        <family val="3"/>
        <charset val="134"/>
      </rPr>
      <t>【600×600mm深色木纹砖】</t>
    </r>
    <phoneticPr fontId="7" type="noConversion"/>
  </si>
  <si>
    <r>
      <t>地面铺800×800mm仿洞石抛光砖(CT-02)</t>
    </r>
    <r>
      <rPr>
        <sz val="9"/>
        <color rgb="FFFF0000"/>
        <rFont val="宋体"/>
        <family val="3"/>
        <charset val="134"/>
      </rPr>
      <t>【600×600mm浅色木纹砖】</t>
    </r>
    <phoneticPr fontId="7" type="noConversion"/>
  </si>
  <si>
    <t>(54.52+16.05+25.9)*2*2.3+1.6*2.3【整体墙面】-1.1*2.3*23【入户门】-0.58*1.78*22【水电井门】-0.65*0.8*9【消火栓】-1.3*2.3*2+(1.3+2.3)*2*0.12*2-1.4*1.4+1.4*2*0.12【走道窗户】-1.17*2.1*3+(1.17+2.1*2)*0.19*3【消防楼梯间1、2、3门洞】-4.1*2.3*2【电梯厅1、2门洞】+((3.51+2.79)*2*2.36-1.21*2.36-2.13*1.19-1.15*2.11+(1.15+2.11*2)*0.18-0.65*0.8-0.84*1.05)*2【消防楼梯间1、2墙面】+(1.87+2.55+1.66+1.96+1.67)*2.36-1.19*2.13-1.13*2.09+(1.13+2.09*2)*0.18【消防楼梯间3墙面】+((2.32+4.49-1.21*2+3.46+2.64+1.15)*2.35-2.3*1.32+(2.3+1.32)*2*0.12)*2【电梯厅1、2墙面】</t>
    <phoneticPr fontId="7" type="noConversion"/>
  </si>
  <si>
    <t>9层现场工程量</t>
    <phoneticPr fontId="7" type="noConversion"/>
  </si>
  <si>
    <t>2层现场工程量</t>
    <phoneticPr fontId="7" type="noConversion"/>
  </si>
  <si>
    <t>3层现场工程量</t>
    <phoneticPr fontId="7" type="noConversion"/>
  </si>
  <si>
    <t>2层现场工程量计算式</t>
    <phoneticPr fontId="7" type="noConversion"/>
  </si>
  <si>
    <t>3层现场工程量计算式</t>
    <phoneticPr fontId="7" type="noConversion"/>
  </si>
  <si>
    <t>9层现场工程量计算式</t>
    <phoneticPr fontId="7" type="noConversion"/>
  </si>
  <si>
    <t>4-8、10-12层现场工程量计算式</t>
    <phoneticPr fontId="7" type="noConversion"/>
  </si>
  <si>
    <t>13层现场工程量计算式</t>
    <phoneticPr fontId="7" type="noConversion"/>
  </si>
  <si>
    <t>4-8、10-12层现场工程量</t>
    <phoneticPr fontId="7" type="noConversion"/>
  </si>
  <si>
    <t>13层现场工程量</t>
    <phoneticPr fontId="7" type="noConversion"/>
  </si>
  <si>
    <t>14层现场工程量</t>
    <phoneticPr fontId="7" type="noConversion"/>
  </si>
  <si>
    <t>14层现场工程量计算式</t>
    <phoneticPr fontId="7" type="noConversion"/>
  </si>
  <si>
    <t>15层现场工程量计算式</t>
    <phoneticPr fontId="7" type="noConversion"/>
  </si>
  <si>
    <t>16层现场工程量计算式</t>
    <phoneticPr fontId="7" type="noConversion"/>
  </si>
  <si>
    <t>16层现场工程量</t>
    <phoneticPr fontId="7" type="noConversion"/>
  </si>
  <si>
    <t>(0.25+0.09)*0.9*(2+2*2)【现场为黑镜】</t>
    <phoneticPr fontId="7" type="noConversion"/>
  </si>
  <si>
    <t>(54.52+16.18+25.86)*1.6【走道一级天花】+2.79*3.51*2【消防楼梯间1、2一级天花】+(1.87+1.66)*2.56*1/2+1.67*1.96*1/2【消防楼梯间3一级天花】</t>
    <phoneticPr fontId="7" type="noConversion"/>
  </si>
  <si>
    <t>=</t>
    <phoneticPr fontId="7" type="noConversion"/>
  </si>
  <si>
    <t>=</t>
    <phoneticPr fontId="7" type="noConversion"/>
  </si>
  <si>
    <r>
      <rPr>
        <sz val="9"/>
        <color rgb="FFFF0000"/>
        <rFont val="宋体"/>
        <family val="3"/>
        <charset val="134"/>
      </rPr>
      <t>37.73+154.35【投影面积】</t>
    </r>
    <r>
      <rPr>
        <sz val="9"/>
        <rFont val="宋体"/>
        <family val="3"/>
        <charset val="134"/>
      </rPr>
      <t>+((6.56+5.96+5.54+4.16+4.86+6.26+6.26+6.26+5.5+5.31+5.25)*2+0.95*22)*0.16【走道侧板】</t>
    </r>
    <r>
      <rPr>
        <sz val="9"/>
        <color rgb="FF0070C0"/>
        <rFont val="宋体"/>
        <family val="3"/>
        <charset val="134"/>
      </rPr>
      <t>+0.045*(1.27+3.4+2.0+2.22+0.71+2.25)*2+0.08*(1.66+3.78+2.51+2.4+0.84+2.78)*2+0.18*(1.8+3.95+2.75+2.43+0.93+3.01)*2【电梯厅1、2侧板】+0.19*(2.16+2.91)*2*2【消防楼梯间1、2侧板】+0.19*(1.92+1.45+1.22+1.52+1.22)【消防楼梯间3侧板】</t>
    </r>
    <phoneticPr fontId="7" type="noConversion"/>
  </si>
  <si>
    <t>=</t>
    <phoneticPr fontId="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</si>
</sst>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5">
    <numFmt numFmtId="43" formatCode="_ * #,##0.00_ ;_ * \-#,##0.00_ ;_ * &quot;-&quot;??_ ;_ @_ "/>
    <numFmt numFmtId="176" formatCode="_(* #,##0.00_);_(* \(#,##0.00\);_(* &quot;-&quot;??_);_(@_)"/>
    <numFmt numFmtId="177" formatCode="0.000%"/>
    <numFmt numFmtId="178" formatCode="_ &quot;￥&quot;* #,##0_ ;_ &quot;￥&quot;* \-#,##0_ ;_ &quot;￥&quot;* \-_ ;_ @_ "/>
    <numFmt numFmtId="179" formatCode="_-* #,##0.00_-;\-* #,##0.00_-;_-* &quot;-&quot;??_-;_-@_-"/>
    <numFmt numFmtId="180" formatCode="_ \¥* #,##0_ ;_ \¥* \-#,##0_ ;_ \¥* &quot;-&quot;_ ;_ @_ "/>
    <numFmt numFmtId="181" formatCode="_ &quot;￥&quot;* #,##0.00_ ;_ &quot;￥&quot;* \-#,##0.00_ ;_ &quot;￥&quot;* \-??_ ;_ @_ "/>
    <numFmt numFmtId="182" formatCode="_ \¥* #,##0.00_ ;_ \¥* \-#,##0.00_ ;_ \¥* &quot;-&quot;??_ ;_ @_ "/>
    <numFmt numFmtId="183" formatCode="0_);[Red]\(0\)"/>
    <numFmt numFmtId="184" formatCode="0.00_ "/>
    <numFmt numFmtId="185" formatCode="0.00_);[Red]\(0.00\)"/>
    <numFmt numFmtId="186" formatCode="0.00000000"/>
    <numFmt numFmtId="187" formatCode="0.0_);[Red]\(0.0\)"/>
    <numFmt numFmtId="188" formatCode="0.00;[Red]0.00"/>
    <numFmt numFmtId="189" formatCode="0.0000%"/>
  </numFmts>
  <fonts count="87">
    <font>
      <sz val="12"/>
      <name val="宋体"/>
      <family val="3"/>
      <charset val="134"/>
    </font>
    <font>
      <sz val="10"/>
      <name val="宋体"/>
      <family val="3"/>
      <charset val="134"/>
    </font>
    <font>
      <b/>
      <sz val="10"/>
      <name val="宋体"/>
      <family val="3"/>
      <charset val="134"/>
    </font>
    <font>
      <sz val="10"/>
      <color indexed="10"/>
      <name val="宋体"/>
      <family val="3"/>
      <charset val="134"/>
    </font>
    <font>
      <sz val="9"/>
      <name val="Arial"/>
      <family val="2"/>
      <charset val="134"/>
    </font>
    <font>
      <b/>
      <sz val="10"/>
      <color indexed="10"/>
      <name val="宋体"/>
      <family val="3"/>
      <charset val="134"/>
    </font>
    <font>
      <sz val="10"/>
      <color indexed="56"/>
      <name val="宋体"/>
      <family val="3"/>
      <charset val="134"/>
    </font>
    <font>
      <sz val="9"/>
      <name val="宋体"/>
      <family val="3"/>
      <charset val="134"/>
    </font>
    <font>
      <b/>
      <sz val="9"/>
      <name val="宋体"/>
      <family val="3"/>
      <charset val="134"/>
    </font>
    <font>
      <sz val="9"/>
      <color indexed="8"/>
      <name val="宋体"/>
      <family val="3"/>
      <charset val="134"/>
    </font>
    <font>
      <b/>
      <sz val="12"/>
      <name val="宋体"/>
      <family val="3"/>
      <charset val="134"/>
    </font>
    <font>
      <b/>
      <sz val="9"/>
      <color indexed="8"/>
      <name val="宋体"/>
      <family val="3"/>
      <charset val="134"/>
    </font>
    <font>
      <sz val="10"/>
      <color indexed="8"/>
      <name val="宋体"/>
      <family val="3"/>
      <charset val="134"/>
    </font>
    <font>
      <b/>
      <sz val="14"/>
      <name val="宋体"/>
      <family val="3"/>
      <charset val="134"/>
    </font>
    <font>
      <b/>
      <sz val="12"/>
      <name val="Arial"/>
      <family val="2"/>
      <charset val="134"/>
    </font>
    <font>
      <sz val="11"/>
      <name val="宋体"/>
      <family val="3"/>
      <charset val="134"/>
    </font>
    <font>
      <b/>
      <sz val="9"/>
      <name val="Arial"/>
      <family val="2"/>
      <charset val="134"/>
    </font>
    <font>
      <sz val="10"/>
      <name val="Helv"/>
      <family val="2"/>
      <charset val="134"/>
    </font>
    <font>
      <sz val="16"/>
      <name val="宋体"/>
      <family val="3"/>
      <charset val="134"/>
    </font>
    <font>
      <sz val="9"/>
      <name val="Times New Roman"/>
      <family val="1"/>
      <charset val="134"/>
    </font>
    <font>
      <sz val="9"/>
      <name val="Helv"/>
      <family val="2"/>
      <charset val="134"/>
    </font>
    <font>
      <sz val="9"/>
      <color indexed="10"/>
      <name val="宋体"/>
      <family val="3"/>
      <charset val="134"/>
    </font>
    <font>
      <b/>
      <sz val="14"/>
      <color indexed="8"/>
      <name val="宋体"/>
      <family val="3"/>
      <charset val="134"/>
    </font>
    <font>
      <b/>
      <sz val="10"/>
      <color indexed="8"/>
      <name val="宋体"/>
      <family val="3"/>
      <charset val="134"/>
    </font>
    <font>
      <sz val="12"/>
      <color indexed="8"/>
      <name val="宋体"/>
      <family val="3"/>
      <charset val="134"/>
    </font>
    <font>
      <sz val="12"/>
      <name val="Times New Roman"/>
      <family val="1"/>
      <charset val="134"/>
    </font>
    <font>
      <sz val="12"/>
      <name val="宋体"/>
      <family val="3"/>
      <charset val="134"/>
    </font>
    <font>
      <sz val="11"/>
      <color indexed="17"/>
      <name val="宋体"/>
      <family val="3"/>
      <charset val="134"/>
    </font>
    <font>
      <b/>
      <sz val="11"/>
      <color indexed="52"/>
      <name val="宋体"/>
      <family val="3"/>
      <charset val="134"/>
    </font>
    <font>
      <b/>
      <sz val="11"/>
      <color indexed="8"/>
      <name val="宋体"/>
      <family val="3"/>
      <charset val="134"/>
    </font>
    <font>
      <b/>
      <sz val="11"/>
      <color indexed="63"/>
      <name val="宋体"/>
      <family val="3"/>
      <charset val="134"/>
    </font>
    <font>
      <sz val="11"/>
      <color indexed="62"/>
      <name val="宋体"/>
      <family val="3"/>
      <charset val="134"/>
    </font>
    <font>
      <u/>
      <sz val="12"/>
      <color indexed="12"/>
      <name val="宋体"/>
      <family val="3"/>
      <charset val="134"/>
    </font>
    <font>
      <sz val="11"/>
      <color indexed="20"/>
      <name val="宋体"/>
      <family val="3"/>
      <charset val="134"/>
    </font>
    <font>
      <sz val="11"/>
      <color indexed="8"/>
      <name val="宋体"/>
      <family val="3"/>
      <charset val="134"/>
    </font>
    <font>
      <sz val="10"/>
      <name val="Geneva"/>
      <family val="2"/>
      <charset val="134"/>
    </font>
    <font>
      <sz val="11"/>
      <color indexed="9"/>
      <name val="宋体"/>
      <family val="3"/>
      <charset val="134"/>
    </font>
    <font>
      <sz val="11"/>
      <color indexed="9"/>
      <name val="宋体"/>
      <family val="2"/>
      <charset val="134"/>
    </font>
    <font>
      <sz val="10"/>
      <name val="Arial"/>
      <family val="2"/>
      <charset val="134"/>
    </font>
    <font>
      <sz val="11"/>
      <color indexed="8"/>
      <name val="宋体"/>
      <family val="2"/>
      <charset val="134"/>
    </font>
    <font>
      <sz val="12"/>
      <color indexed="9"/>
      <name val="宋体"/>
      <family val="3"/>
      <charset val="134"/>
    </font>
    <font>
      <b/>
      <sz val="15"/>
      <color indexed="56"/>
      <name val="宋体"/>
      <family val="3"/>
      <charset val="134"/>
    </font>
    <font>
      <sz val="12"/>
      <name val="MS Sans Serif"/>
      <family val="2"/>
      <charset val="134"/>
    </font>
    <font>
      <b/>
      <sz val="11"/>
      <color indexed="9"/>
      <name val="宋体"/>
      <family val="3"/>
      <charset val="134"/>
    </font>
    <font>
      <b/>
      <sz val="13"/>
      <color indexed="56"/>
      <name val="宋体"/>
      <family val="3"/>
      <charset val="134"/>
    </font>
    <font>
      <b/>
      <sz val="12"/>
      <color indexed="8"/>
      <name val="宋体"/>
      <family val="3"/>
      <charset val="134"/>
    </font>
    <font>
      <sz val="11"/>
      <color indexed="60"/>
      <name val="宋体"/>
      <family val="3"/>
      <charset val="134"/>
    </font>
    <font>
      <sz val="10"/>
      <name val="MS Sans Serif"/>
      <family val="2"/>
      <charset val="134"/>
    </font>
    <font>
      <i/>
      <sz val="11"/>
      <color indexed="23"/>
      <name val="宋体"/>
      <family val="3"/>
      <charset val="134"/>
    </font>
    <font>
      <b/>
      <sz val="18"/>
      <color indexed="62"/>
      <name val="宋体"/>
      <family val="3"/>
      <charset val="134"/>
    </font>
    <font>
      <sz val="11"/>
      <color indexed="10"/>
      <name val="宋体"/>
      <family val="3"/>
      <charset val="134"/>
    </font>
    <font>
      <b/>
      <sz val="11"/>
      <color indexed="56"/>
      <name val="宋体"/>
      <family val="3"/>
      <charset val="134"/>
    </font>
    <font>
      <b/>
      <sz val="11"/>
      <color indexed="9"/>
      <name val="宋体"/>
      <family val="2"/>
      <charset val="134"/>
    </font>
    <font>
      <b/>
      <sz val="18"/>
      <color indexed="56"/>
      <name val="宋体"/>
      <family val="3"/>
      <charset val="134"/>
    </font>
    <font>
      <sz val="11"/>
      <color indexed="8"/>
      <name val="Tahoma"/>
      <family val="2"/>
      <charset val="134"/>
    </font>
    <font>
      <sz val="12"/>
      <color indexed="17"/>
      <name val="宋体"/>
      <family val="3"/>
      <charset val="134"/>
    </font>
    <font>
      <sz val="11"/>
      <color indexed="52"/>
      <name val="宋体"/>
      <family val="3"/>
      <charset val="134"/>
    </font>
    <font>
      <sz val="11"/>
      <color indexed="17"/>
      <name val="宋体"/>
      <family val="2"/>
      <charset val="134"/>
    </font>
    <font>
      <sz val="12"/>
      <color indexed="16"/>
      <name val="宋体"/>
      <family val="3"/>
      <charset val="134"/>
    </font>
    <font>
      <sz val="11"/>
      <name val="ＭＳ Ｐゴシック"/>
      <family val="2"/>
      <charset val="134"/>
    </font>
    <font>
      <b/>
      <sz val="18"/>
      <color indexed="62"/>
      <name val="宋体"/>
      <family val="2"/>
      <charset val="134"/>
    </font>
    <font>
      <b/>
      <sz val="10"/>
      <name val="MS Sans Serif"/>
      <family val="2"/>
      <charset val="134"/>
    </font>
    <font>
      <i/>
      <sz val="11"/>
      <color indexed="23"/>
      <name val="宋体"/>
      <family val="2"/>
      <charset val="134"/>
    </font>
    <font>
      <b/>
      <sz val="11"/>
      <color indexed="62"/>
      <name val="宋体"/>
      <family val="2"/>
      <charset val="134"/>
    </font>
    <font>
      <b/>
      <sz val="15"/>
      <color indexed="62"/>
      <name val="宋体"/>
      <family val="2"/>
      <charset val="134"/>
    </font>
    <font>
      <b/>
      <sz val="13"/>
      <color indexed="62"/>
      <name val="宋体"/>
      <family val="2"/>
      <charset val="134"/>
    </font>
    <font>
      <sz val="11"/>
      <color indexed="60"/>
      <name val="宋体"/>
      <family val="2"/>
      <charset val="134"/>
    </font>
    <font>
      <sz val="11"/>
      <color indexed="10"/>
      <name val="宋体"/>
      <family val="2"/>
      <charset val="134"/>
    </font>
    <font>
      <b/>
      <sz val="11"/>
      <color indexed="52"/>
      <name val="宋体"/>
      <family val="2"/>
      <charset val="134"/>
    </font>
    <font>
      <b/>
      <sz val="11"/>
      <color indexed="8"/>
      <name val="宋体"/>
      <family val="2"/>
      <charset val="134"/>
    </font>
    <font>
      <sz val="11"/>
      <color indexed="52"/>
      <name val="宋体"/>
      <family val="2"/>
      <charset val="134"/>
    </font>
    <font>
      <b/>
      <sz val="11"/>
      <color indexed="63"/>
      <name val="宋体"/>
      <family val="2"/>
      <charset val="134"/>
    </font>
    <font>
      <sz val="11"/>
      <color indexed="62"/>
      <name val="宋体"/>
      <family val="2"/>
      <charset val="134"/>
    </font>
    <font>
      <sz val="12"/>
      <name val="Helv"/>
      <family val="2"/>
      <charset val="134"/>
    </font>
    <font>
      <b/>
      <u/>
      <sz val="14"/>
      <name val="宋体"/>
      <family val="3"/>
      <charset val="134"/>
    </font>
    <font>
      <vertAlign val="superscript"/>
      <sz val="9"/>
      <name val="宋体"/>
      <family val="3"/>
      <charset val="134"/>
    </font>
    <font>
      <b/>
      <u/>
      <sz val="12"/>
      <name val="宋体"/>
      <family val="3"/>
      <charset val="134"/>
    </font>
    <font>
      <u/>
      <sz val="16"/>
      <name val="宋体"/>
      <family val="3"/>
      <charset val="134"/>
    </font>
    <font>
      <sz val="16"/>
      <name val="宋体"/>
      <family val="2"/>
      <charset val="134"/>
    </font>
    <font>
      <vertAlign val="superscript"/>
      <sz val="10"/>
      <name val="宋体"/>
      <family val="3"/>
      <charset val="134"/>
    </font>
    <font>
      <u/>
      <sz val="9"/>
      <color indexed="10"/>
      <name val="宋体"/>
      <family val="3"/>
      <charset val="134"/>
    </font>
    <font>
      <sz val="9"/>
      <color indexed="81"/>
      <name val="宋体"/>
      <family val="3"/>
      <charset val="134"/>
    </font>
    <font>
      <b/>
      <vertAlign val="superscript"/>
      <sz val="10"/>
      <name val="宋体"/>
      <family val="3"/>
      <charset val="134"/>
    </font>
    <font>
      <sz val="14"/>
      <name val="宋体"/>
      <family val="3"/>
      <charset val="134"/>
    </font>
    <font>
      <sz val="9"/>
      <color rgb="FFFF0000"/>
      <name val="宋体"/>
      <family val="3"/>
      <charset val="134"/>
    </font>
    <font>
      <sz val="9"/>
      <color rgb="FF0070C0"/>
      <name val="宋体"/>
      <family val="3"/>
      <charset val="134"/>
    </font>
    <font>
      <sz val="12"/>
      <color rgb="FF000000"/>
      <name val="宋体"/>
      <family val="3"/>
      <charset val="134"/>
    </font>
  </fonts>
  <fills count="35">
    <fill>
      <patternFill patternType="none"/>
    </fill>
    <fill>
      <patternFill patternType="gray125"/>
    </fill>
    <fill>
      <patternFill patternType="solid">
        <fgColor indexed="44"/>
        <bgColor indexed="64"/>
      </patternFill>
    </fill>
    <fill>
      <patternFill patternType="solid">
        <fgColor indexed="11"/>
        <bgColor indexed="64"/>
      </patternFill>
    </fill>
    <fill>
      <patternFill patternType="solid">
        <fgColor indexed="47"/>
        <bgColor indexed="64"/>
      </patternFill>
    </fill>
    <fill>
      <patternFill patternType="solid">
        <fgColor indexed="13"/>
        <bgColor indexed="64"/>
      </patternFill>
    </fill>
    <fill>
      <patternFill patternType="solid">
        <fgColor indexed="9"/>
        <bgColor indexed="64"/>
      </patternFill>
    </fill>
    <fill>
      <patternFill patternType="solid">
        <fgColor indexed="23"/>
        <bgColor indexed="64"/>
      </patternFill>
    </fill>
    <fill>
      <patternFill patternType="solid">
        <fgColor indexed="46"/>
        <bgColor indexed="64"/>
      </patternFill>
    </fill>
    <fill>
      <patternFill patternType="solid">
        <fgColor indexed="10"/>
        <bgColor indexed="64"/>
      </patternFill>
    </fill>
    <fill>
      <patternFill patternType="solid">
        <fgColor indexed="49"/>
        <bgColor indexed="64"/>
      </patternFill>
    </fill>
    <fill>
      <patternFill patternType="solid">
        <fgColor indexed="29"/>
        <bgColor indexed="64"/>
      </patternFill>
    </fill>
    <fill>
      <patternFill patternType="solid">
        <fgColor indexed="51"/>
        <bgColor indexed="64"/>
      </patternFill>
    </fill>
    <fill>
      <patternFill patternType="solid">
        <fgColor indexed="26"/>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31"/>
        <bgColor indexed="64"/>
      </patternFill>
    </fill>
    <fill>
      <patternFill patternType="solid">
        <fgColor indexed="27"/>
        <bgColor indexed="64"/>
      </patternFill>
    </fill>
    <fill>
      <patternFill patternType="solid">
        <fgColor indexed="53"/>
        <bgColor indexed="64"/>
      </patternFill>
    </fill>
    <fill>
      <patternFill patternType="solid">
        <fgColor indexed="52"/>
        <bgColor indexed="64"/>
      </patternFill>
    </fill>
    <fill>
      <patternFill patternType="solid">
        <fgColor indexed="55"/>
        <bgColor indexed="64"/>
      </patternFill>
    </fill>
    <fill>
      <patternFill patternType="lightUp">
        <fgColor indexed="9"/>
        <bgColor indexed="55"/>
      </patternFill>
    </fill>
    <fill>
      <patternFill patternType="solid">
        <fgColor indexed="43"/>
        <bgColor indexed="64"/>
      </patternFill>
    </fill>
    <fill>
      <patternFill patternType="solid">
        <fgColor indexed="36"/>
        <bgColor indexed="64"/>
      </patternFill>
    </fill>
    <fill>
      <patternFill patternType="solid">
        <fgColor indexed="30"/>
        <bgColor indexed="64"/>
      </patternFill>
    </fill>
    <fill>
      <patternFill patternType="lightUp">
        <fgColor indexed="9"/>
        <bgColor indexed="22"/>
      </patternFill>
    </fill>
    <fill>
      <patternFill patternType="solid">
        <fgColor indexed="54"/>
        <bgColor indexed="64"/>
      </patternFill>
    </fill>
    <fill>
      <patternFill patternType="solid">
        <fgColor indexed="62"/>
        <bgColor indexed="64"/>
      </patternFill>
    </fill>
    <fill>
      <patternFill patternType="solid">
        <fgColor indexed="57"/>
        <bgColor indexed="64"/>
      </patternFill>
    </fill>
    <fill>
      <patternFill patternType="solid">
        <fgColor indexed="25"/>
        <bgColor indexed="64"/>
      </patternFill>
    </fill>
    <fill>
      <patternFill patternType="lightUp">
        <fgColor indexed="9"/>
        <bgColor indexed="29"/>
      </patternFill>
    </fill>
    <fill>
      <patternFill patternType="solid">
        <fgColor theme="0" tint="-0.14999847407452621"/>
        <bgColor indexed="64"/>
      </patternFill>
    </fill>
    <fill>
      <patternFill patternType="solid">
        <fgColor rgb="FFFFFF00"/>
        <bgColor indexed="64"/>
      </patternFill>
    </fill>
    <fill>
      <patternFill patternType="solid">
        <fgColor theme="3" tint="0.79998168889431442"/>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diagonal/>
    </border>
    <border>
      <left/>
      <right/>
      <top style="thin">
        <color indexed="64"/>
      </top>
      <bottom/>
      <diagonal/>
    </border>
    <border>
      <left/>
      <right style="thin">
        <color indexed="64"/>
      </right>
      <top/>
      <bottom style="thin">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style="double">
        <color indexed="63"/>
      </left>
      <right style="double">
        <color indexed="63"/>
      </right>
      <top style="double">
        <color indexed="63"/>
      </top>
      <bottom style="double">
        <color indexed="63"/>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top/>
      <bottom style="medium">
        <color indexed="44"/>
      </bottom>
      <diagonal/>
    </border>
    <border>
      <left/>
      <right/>
      <top/>
      <bottom style="thick">
        <color indexed="49"/>
      </bottom>
      <diagonal/>
    </border>
    <border>
      <left/>
      <right/>
      <top/>
      <bottom style="thick">
        <color indexed="44"/>
      </bottom>
      <diagonal/>
    </border>
    <border>
      <left/>
      <right/>
      <top style="thin">
        <color indexed="49"/>
      </top>
      <bottom style="double">
        <color indexed="49"/>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diagonal/>
    </border>
  </borders>
  <cellStyleXfs count="41160">
    <xf numFmtId="0" fontId="0"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43" fontId="17" fillId="0" borderId="0" applyFont="0" applyFill="0" applyBorder="0" applyAlignment="0" applyProtection="0">
      <alignment vertical="center"/>
    </xf>
    <xf numFmtId="0" fontId="26" fillId="0" borderId="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17" fillId="0" borderId="0">
      <alignment vertical="center"/>
    </xf>
    <xf numFmtId="0" fontId="17"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35" fillId="0" borderId="0">
      <alignment vertical="center"/>
    </xf>
    <xf numFmtId="0" fontId="33" fillId="16" borderId="0" applyNumberFormat="0" applyBorder="0" applyAlignment="0" applyProtection="0">
      <alignment vertical="center"/>
    </xf>
    <xf numFmtId="0" fontId="36" fillId="11" borderId="0" applyNumberFormat="0" applyBorder="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38" fillId="0" borderId="0">
      <alignment vertical="center"/>
    </xf>
    <xf numFmtId="0" fontId="35" fillId="0" borderId="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17" fillId="0" borderId="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5" fillId="0" borderId="0">
      <alignment vertical="center"/>
    </xf>
    <xf numFmtId="0" fontId="28" fillId="15" borderId="24" applyNumberFormat="0" applyAlignment="0" applyProtection="0">
      <alignment vertical="center"/>
    </xf>
    <xf numFmtId="0" fontId="34" fillId="3" borderId="0" applyNumberFormat="0" applyBorder="0" applyAlignment="0" applyProtection="0">
      <alignment vertical="center"/>
    </xf>
    <xf numFmtId="0" fontId="35" fillId="0" borderId="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6" fillId="0" borderId="0">
      <alignment vertical="center"/>
    </xf>
    <xf numFmtId="0" fontId="17" fillId="0" borderId="0">
      <alignment vertical="center"/>
    </xf>
    <xf numFmtId="0" fontId="26" fillId="13" borderId="23" applyNumberFormat="0" applyFont="0" applyAlignment="0" applyProtection="0">
      <alignment vertical="center"/>
    </xf>
    <xf numFmtId="0" fontId="17" fillId="0" borderId="0">
      <alignment vertical="center"/>
    </xf>
    <xf numFmtId="0" fontId="35" fillId="0" borderId="0">
      <alignment vertical="center"/>
    </xf>
    <xf numFmtId="0" fontId="35"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5" fillId="0" borderId="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5" fillId="0" borderId="0">
      <alignment vertical="center"/>
    </xf>
    <xf numFmtId="0" fontId="27" fillId="14"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34" fillId="3" borderId="0" applyNumberFormat="0" applyBorder="0" applyAlignment="0" applyProtection="0">
      <alignment vertical="center"/>
    </xf>
    <xf numFmtId="0" fontId="35" fillId="0" borderId="0">
      <alignment vertical="center"/>
    </xf>
    <xf numFmtId="0" fontId="27" fillId="14" borderId="0" applyNumberFormat="0" applyBorder="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5" fillId="0" borderId="0">
      <alignment vertical="center"/>
    </xf>
    <xf numFmtId="0" fontId="34" fillId="3" borderId="0" applyNumberFormat="0" applyBorder="0" applyAlignment="0" applyProtection="0">
      <alignment vertical="center"/>
    </xf>
    <xf numFmtId="0" fontId="35" fillId="0" borderId="0">
      <alignment vertical="center"/>
    </xf>
    <xf numFmtId="0" fontId="26" fillId="13" borderId="23" applyNumberFormat="0" applyFont="0" applyAlignment="0" applyProtection="0">
      <alignment vertical="center"/>
    </xf>
    <xf numFmtId="0" fontId="34" fillId="0" borderId="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0" borderId="0">
      <alignment vertical="center"/>
    </xf>
    <xf numFmtId="0" fontId="34" fillId="3" borderId="0" applyNumberFormat="0" applyBorder="0" applyAlignment="0" applyProtection="0">
      <alignment vertical="center"/>
    </xf>
    <xf numFmtId="0" fontId="35"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3" borderId="0" applyNumberFormat="0" applyBorder="0" applyAlignment="0" applyProtection="0">
      <alignment vertical="center"/>
    </xf>
    <xf numFmtId="0" fontId="35" fillId="0" borderId="0">
      <alignment vertical="center"/>
    </xf>
    <xf numFmtId="0" fontId="35" fillId="0" borderId="0">
      <alignment vertical="center"/>
    </xf>
    <xf numFmtId="0" fontId="27" fillId="14" borderId="0" applyNumberFormat="0" applyBorder="0" applyAlignment="0" applyProtection="0">
      <alignment vertical="center"/>
    </xf>
    <xf numFmtId="0" fontId="26" fillId="0" borderId="0">
      <alignment vertical="center"/>
    </xf>
    <xf numFmtId="0" fontId="17"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17" fillId="0" borderId="0">
      <alignment vertical="center"/>
    </xf>
    <xf numFmtId="0" fontId="35"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31" fillId="4" borderId="24" applyNumberFormat="0" applyAlignment="0" applyProtection="0">
      <alignment vertical="center"/>
    </xf>
    <xf numFmtId="0" fontId="17"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5" fillId="0" borderId="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17" fillId="0" borderId="0">
      <alignment vertical="center"/>
    </xf>
    <xf numFmtId="0" fontId="7" fillId="0" borderId="0">
      <alignment vertical="center"/>
    </xf>
    <xf numFmtId="0" fontId="26" fillId="0" borderId="0">
      <alignment vertical="center"/>
    </xf>
    <xf numFmtId="0" fontId="17" fillId="0" borderId="0">
      <alignment vertical="center"/>
    </xf>
    <xf numFmtId="0" fontId="35"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35"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44" fillId="0" borderId="29" applyNumberFormat="0" applyFill="0" applyAlignment="0" applyProtection="0">
      <alignment vertical="center"/>
    </xf>
    <xf numFmtId="0" fontId="31" fillId="4" borderId="24" applyNumberFormat="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38"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44" fillId="0" borderId="29" applyNumberFormat="0" applyFill="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4" fillId="13" borderId="0" applyNumberFormat="0" applyBorder="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lignment vertical="center"/>
    </xf>
    <xf numFmtId="0" fontId="17"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8" fillId="0" borderId="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31" fillId="4"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8" fillId="0" borderId="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17" fillId="0" borderId="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17" fillId="0" borderId="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17" fillId="0" borderId="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17" fillId="0" borderId="0">
      <alignment vertical="center"/>
    </xf>
    <xf numFmtId="0" fontId="43" fillId="21" borderId="28" applyNumberForma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17" fillId="0" borderId="0">
      <alignment vertical="center"/>
    </xf>
    <xf numFmtId="0" fontId="17"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4" fillId="0" borderId="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5"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17" fillId="0" borderId="0">
      <alignment vertical="center"/>
    </xf>
    <xf numFmtId="0" fontId="17" fillId="0" borderId="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0" borderId="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5"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0" borderId="0">
      <alignment vertical="center"/>
    </xf>
    <xf numFmtId="0" fontId="17" fillId="0" borderId="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17" fillId="0" borderId="0">
      <alignment vertical="center"/>
    </xf>
    <xf numFmtId="0" fontId="34" fillId="0" borderId="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26" fillId="0" borderId="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8" fillId="15" borderId="24" applyNumberForma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43" fillId="21" borderId="28" applyNumberFormat="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17" fillId="0" borderId="0">
      <alignment vertical="center"/>
    </xf>
    <xf numFmtId="0" fontId="17" fillId="0" borderId="0">
      <alignment vertical="center"/>
    </xf>
    <xf numFmtId="0" fontId="31" fillId="4" borderId="24" applyNumberFormat="0" applyAlignment="0" applyProtection="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17" fillId="0" borderId="0">
      <alignment vertical="center"/>
    </xf>
    <xf numFmtId="0" fontId="17" fillId="0" borderId="0">
      <alignment vertical="center"/>
    </xf>
    <xf numFmtId="0" fontId="48" fillId="0" borderId="0" applyNumberFormat="0" applyFill="0" applyBorder="0" applyAlignment="0" applyProtection="0">
      <alignment vertical="center"/>
    </xf>
    <xf numFmtId="0" fontId="31" fillId="4" borderId="24" applyNumberFormat="0" applyAlignment="0" applyProtection="0">
      <alignment vertical="center"/>
    </xf>
    <xf numFmtId="0" fontId="17" fillId="0" borderId="0">
      <alignment vertical="center"/>
    </xf>
    <xf numFmtId="0" fontId="17"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17" fillId="0" borderId="0">
      <alignment vertical="center"/>
    </xf>
    <xf numFmtId="0" fontId="17" fillId="0" borderId="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17"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33" fillId="16" borderId="0" applyNumberFormat="0" applyBorder="0" applyAlignment="0" applyProtection="0">
      <alignment vertical="center"/>
    </xf>
    <xf numFmtId="0" fontId="17" fillId="0" borderId="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17"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17"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8" fillId="15" borderId="24" applyNumberFormat="0" applyAlignment="0" applyProtection="0">
      <alignment vertical="center"/>
    </xf>
    <xf numFmtId="0" fontId="17"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17" fillId="0" borderId="0">
      <alignment vertical="center"/>
    </xf>
    <xf numFmtId="0" fontId="28" fillId="15" borderId="24" applyNumberFormat="0" applyAlignment="0" applyProtection="0">
      <alignment vertical="center"/>
    </xf>
    <xf numFmtId="0" fontId="34" fillId="16"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6" fillId="3"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17" fillId="0" borderId="0">
      <alignment vertical="center"/>
    </xf>
    <xf numFmtId="0" fontId="36" fillId="3"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34"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17" fillId="0" borderId="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0" borderId="0">
      <alignment vertical="center"/>
    </xf>
    <xf numFmtId="0" fontId="17" fillId="0" borderId="0">
      <alignment vertical="center"/>
    </xf>
    <xf numFmtId="0" fontId="17" fillId="0" borderId="0">
      <alignment vertical="center"/>
    </xf>
    <xf numFmtId="0" fontId="17" fillId="0" borderId="0">
      <alignment vertical="center"/>
    </xf>
    <xf numFmtId="0" fontId="36" fillId="9" borderId="0" applyNumberFormat="0" applyBorder="0" applyAlignment="0" applyProtection="0">
      <alignment vertical="center"/>
    </xf>
    <xf numFmtId="0" fontId="34" fillId="8" borderId="0" applyNumberFormat="0" applyBorder="0" applyAlignment="0" applyProtection="0">
      <alignment vertical="center"/>
    </xf>
    <xf numFmtId="0" fontId="33" fillId="16" borderId="0" applyNumberFormat="0" applyBorder="0" applyAlignment="0" applyProtection="0">
      <alignment vertical="center"/>
    </xf>
    <xf numFmtId="0" fontId="25" fillId="0" borderId="0">
      <alignment vertical="center"/>
    </xf>
    <xf numFmtId="0" fontId="34" fillId="8"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38"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8" fillId="0" borderId="0">
      <alignment vertical="center"/>
    </xf>
    <xf numFmtId="0" fontId="17"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8"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8" fillId="15" borderId="24" applyNumberFormat="0" applyAlignment="0" applyProtection="0">
      <alignment vertical="center"/>
    </xf>
    <xf numFmtId="0" fontId="38" fillId="0" borderId="0">
      <alignment vertical="center"/>
    </xf>
    <xf numFmtId="0" fontId="3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38" fillId="0" borderId="0">
      <alignment vertical="center"/>
    </xf>
    <xf numFmtId="0" fontId="3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17" fillId="0" borderId="0">
      <alignment vertical="center"/>
    </xf>
    <xf numFmtId="0" fontId="38"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0" borderId="0">
      <alignment vertical="center"/>
    </xf>
    <xf numFmtId="0" fontId="17" fillId="0" borderId="0">
      <alignment vertical="center"/>
    </xf>
    <xf numFmtId="0" fontId="26" fillId="0" borderId="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2" borderId="0" applyNumberFormat="0" applyBorder="0" applyAlignment="0" applyProtection="0">
      <alignment vertical="center"/>
    </xf>
    <xf numFmtId="0" fontId="28" fillId="15" borderId="24" applyNumberFormat="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17" fillId="0" borderId="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5"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5"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17" fillId="0" borderId="0">
      <alignment vertical="center"/>
    </xf>
    <xf numFmtId="0" fontId="35" fillId="0" borderId="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0" borderId="0">
      <alignment vertical="center"/>
    </xf>
    <xf numFmtId="0" fontId="35" fillId="0" borderId="0">
      <alignment vertical="center"/>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8" fillId="15" borderId="24" applyNumberFormat="0" applyAlignment="0" applyProtection="0">
      <alignment vertical="center"/>
    </xf>
    <xf numFmtId="0" fontId="35" fillId="0" borderId="0">
      <alignment vertical="center"/>
    </xf>
    <xf numFmtId="0" fontId="32" fillId="0" borderId="0" applyNumberFormat="0" applyFill="0" applyBorder="0" applyAlignment="0" applyProtection="0">
      <alignment vertical="top"/>
      <protection locked="0"/>
    </xf>
    <xf numFmtId="0" fontId="35" fillId="0" borderId="0">
      <alignment vertical="center"/>
    </xf>
    <xf numFmtId="0" fontId="36" fillId="9" borderId="0" applyNumberFormat="0" applyBorder="0" applyAlignment="0" applyProtection="0">
      <alignment vertical="center"/>
    </xf>
    <xf numFmtId="0" fontId="25" fillId="0" borderId="0">
      <alignment vertical="center"/>
    </xf>
    <xf numFmtId="0" fontId="34" fillId="8"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8" fillId="0" borderId="0">
      <alignment vertical="center"/>
    </xf>
    <xf numFmtId="0" fontId="34" fillId="8" borderId="0" applyNumberFormat="0" applyBorder="0" applyAlignment="0" applyProtection="0">
      <alignment vertical="center"/>
    </xf>
    <xf numFmtId="0" fontId="25"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38" fillId="0" borderId="0">
      <alignment vertical="center"/>
    </xf>
    <xf numFmtId="0" fontId="34" fillId="8" borderId="0" applyNumberFormat="0" applyBorder="0" applyAlignment="0" applyProtection="0">
      <alignment vertical="center"/>
    </xf>
    <xf numFmtId="0" fontId="25" fillId="0" borderId="0">
      <alignment vertical="center"/>
    </xf>
    <xf numFmtId="0" fontId="17" fillId="0" borderId="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17" fillId="0" borderId="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8"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6" fillId="19"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0" borderId="0">
      <alignment vertical="center"/>
    </xf>
    <xf numFmtId="0" fontId="30" fillId="15" borderId="26" applyNumberFormat="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6" fillId="0" borderId="0">
      <alignment vertical="center"/>
    </xf>
    <xf numFmtId="0" fontId="17"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17" fillId="0" borderId="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43" fillId="21" borderId="28"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lignment vertical="center"/>
    </xf>
    <xf numFmtId="0" fontId="34"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34" fillId="0" borderId="0">
      <alignment vertical="center"/>
    </xf>
    <xf numFmtId="0" fontId="26" fillId="0" borderId="0">
      <alignment vertical="center"/>
    </xf>
    <xf numFmtId="0" fontId="34"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4" fillId="14" borderId="0" applyNumberFormat="0" applyBorder="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4" fillId="0" borderId="0">
      <alignment vertical="center"/>
    </xf>
    <xf numFmtId="0" fontId="26" fillId="0" borderId="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43" fillId="21" borderId="28" applyNumberFormat="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43" fillId="21" borderId="28"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6" fillId="19"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7" fillId="0" borderId="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34" fillId="0" borderId="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lignment vertical="top"/>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48" fillId="0" borderId="0" applyNumberFormat="0" applyFill="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6" fillId="28"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4" fillId="17"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4"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28"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4" fillId="0" borderId="0">
      <alignment vertical="center"/>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7"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4" fillId="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49" fillId="0" borderId="0" applyNumberForma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40" fillId="4"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43" fillId="21" borderId="28"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43" fillId="21" borderId="28"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9" fillId="14" borderId="0" applyNumberFormat="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9" fillId="8" borderId="0" applyNumberFormat="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6" fillId="24"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9" fillId="18" borderId="0" applyNumberFormat="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43" fillId="21" borderId="28" applyNumberFormat="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top"/>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42" fillId="0" borderId="0" applyNumberFormat="0" applyFill="0" applyBorder="0" applyAlignment="0" applyProtection="0">
      <alignment vertical="top"/>
      <protection locked="0"/>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0" borderId="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4" fillId="12"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6" fillId="28"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0" borderId="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9"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17"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4" fillId="12"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17"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4" fillId="2"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47" fillId="0" borderId="0">
      <alignment vertical="center"/>
    </xf>
    <xf numFmtId="0" fontId="28" fillId="15" borderId="24" applyNumberFormat="0" applyAlignment="0" applyProtection="0">
      <alignment vertical="center"/>
    </xf>
    <xf numFmtId="0" fontId="17"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4" fillId="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38"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10"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10"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6" fillId="10"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5" fillId="0" borderId="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8"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8" fillId="0" borderId="0" applyNumberFormat="0" applyFill="0" applyBorder="0" applyAlignment="0" applyProtection="0">
      <alignment vertical="top"/>
      <protection locked="0"/>
    </xf>
    <xf numFmtId="0" fontId="31" fillId="4"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43" fillId="21" borderId="28"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17"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6" fillId="10"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6" fillId="10"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4"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4" fillId="14"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6" fillId="25"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51" fillId="0" borderId="0" applyNumberForma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2"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2"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4" fillId="2"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2"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2"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2"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4" fillId="2"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4" fillId="11"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11"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3" borderId="0" applyNumberFormat="0" applyBorder="0" applyAlignment="0" applyProtection="0">
      <alignment vertical="center"/>
    </xf>
    <xf numFmtId="0" fontId="26" fillId="13" borderId="23" applyNumberFormat="0" applyFont="0" applyAlignment="0" applyProtection="0">
      <alignment vertical="center"/>
    </xf>
    <xf numFmtId="0" fontId="34" fillId="2"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7" fillId="0" borderId="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4" fillId="8"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18"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4" fillId="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178" fontId="17" fillId="0" borderId="0" applyFont="0" applyFill="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46" fillId="23"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pplyNumberFormat="0" applyFill="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pplyNumberForma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51" fillId="0" borderId="30" applyNumberFormat="0" applyFill="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40" fillId="4"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4" fillId="3"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2"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25"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43" fillId="21" borderId="28"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6" fillId="19"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6" fillId="19"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7"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4" fillId="17"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4" fillId="17"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4" fillId="17"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4"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41" fillId="0" borderId="27"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8"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7" fillId="0" borderId="0">
      <alignment vertical="center"/>
    </xf>
    <xf numFmtId="0" fontId="17" fillId="0" borderId="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8" borderId="0" applyNumberFormat="0" applyBorder="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8"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34" fillId="8"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8"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8"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25"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6" fillId="25" borderId="0" applyNumberFormat="0" applyBorder="0" applyAlignment="0" applyProtection="0">
      <alignment vertical="center"/>
    </xf>
    <xf numFmtId="0" fontId="26" fillId="13" borderId="23" applyNumberFormat="0" applyFont="0" applyAlignment="0" applyProtection="0">
      <alignment vertical="center"/>
    </xf>
    <xf numFmtId="0" fontId="36" fillId="11"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54" fillId="0" borderId="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43" fontId="17" fillId="0" borderId="0" applyFont="0" applyFill="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10"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10"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36" fillId="10"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36" fillId="10"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17" fillId="13" borderId="23" applyNumberFormat="0" applyFont="0" applyAlignment="0" applyProtection="0">
      <alignment vertical="center"/>
    </xf>
    <xf numFmtId="0" fontId="36" fillId="10"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10"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2"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2"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4" fillId="2"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4" fillId="12"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2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6" fillId="10"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11"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36" fillId="3"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6" fillId="2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8" fillId="0" borderId="0">
      <alignment vertical="center"/>
    </xf>
    <xf numFmtId="0" fontId="39"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25"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9" fillId="17"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9" fillId="11"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38"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25" borderId="0" applyNumberFormat="0" applyBorder="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0" borderId="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6" fillId="3" borderId="0" applyNumberFormat="0" applyBorder="0" applyAlignment="0" applyProtection="0">
      <alignment vertical="center"/>
    </xf>
    <xf numFmtId="0" fontId="26" fillId="13" borderId="23" applyNumberFormat="0" applyFont="0" applyAlignment="0" applyProtection="0">
      <alignment vertical="center"/>
    </xf>
    <xf numFmtId="0" fontId="36" fillId="3"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24" borderId="0" applyNumberFormat="0" applyBorder="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24" borderId="0" applyNumberFormat="0" applyBorder="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10"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10"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10"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20"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6" fillId="20"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20" borderId="0" applyNumberFormat="0" applyBorder="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34" fillId="2"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17" fillId="0" borderId="0">
      <alignment vertical="center"/>
    </xf>
    <xf numFmtId="0" fontId="34" fillId="0" borderId="0">
      <alignment vertical="center"/>
    </xf>
    <xf numFmtId="0" fontId="17"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6" fillId="19" borderId="0" applyNumberFormat="0" applyBorder="0" applyAlignment="0" applyProtection="0">
      <alignment vertical="center"/>
    </xf>
    <xf numFmtId="0" fontId="26" fillId="13" borderId="23" applyNumberFormat="0" applyFont="0" applyAlignment="0" applyProtection="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0" fontId="36" fillId="19"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43" fontId="17" fillId="0" borderId="0" applyFont="0" applyFill="0" applyBorder="0" applyAlignment="0" applyProtection="0">
      <alignment vertical="center"/>
    </xf>
    <xf numFmtId="0" fontId="34"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43" fontId="17" fillId="0" borderId="0" applyFont="0" applyFill="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51" fillId="0" borderId="0" applyNumberFormat="0" applyFill="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51" fillId="0" borderId="0" applyNumberFormat="0" applyFill="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51" fillId="0" borderId="0" applyNumberFormat="0" applyFill="0" applyBorder="0" applyAlignment="0" applyProtection="0">
      <alignment vertical="center"/>
    </xf>
    <xf numFmtId="0" fontId="26" fillId="13" borderId="23" applyNumberFormat="0" applyFont="0" applyAlignment="0" applyProtection="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51" fillId="0" borderId="0" applyNumberFormat="0" applyFill="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51" fillId="0" borderId="0" applyNumberFormat="0" applyFill="0" applyBorder="0" applyAlignment="0" applyProtection="0">
      <alignment vertical="center"/>
    </xf>
    <xf numFmtId="0" fontId="26" fillId="13" borderId="23" applyNumberFormat="0" applyFont="0" applyAlignment="0" applyProtection="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43" fontId="17" fillId="0" borderId="0" applyFont="0" applyFill="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43" fontId="17" fillId="0" borderId="0" applyFont="0" applyFill="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43" fontId="17"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43" fontId="17" fillId="0" borderId="0" applyFont="0" applyFill="0" applyBorder="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43" fillId="21" borderId="28"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0" fillId="15" borderId="26"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4" fillId="0" borderId="0">
      <alignment vertical="center"/>
    </xf>
    <xf numFmtId="0" fontId="34" fillId="0" borderId="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pplyProtection="0">
      <alignment vertical="center"/>
    </xf>
    <xf numFmtId="0" fontId="36" fillId="9" borderId="0" applyNumberFormat="0" applyBorder="0" applyAlignment="0" applyProtection="0">
      <alignment vertical="center"/>
    </xf>
    <xf numFmtId="0" fontId="26" fillId="13" borderId="23" applyNumberFormat="0" applyFont="0" applyAlignment="0" applyProtection="0">
      <alignment vertical="center"/>
    </xf>
    <xf numFmtId="0" fontId="34" fillId="17" borderId="0" applyNumberFormat="0" applyBorder="0" applyAlignment="0" applyProtection="0">
      <alignment vertical="center"/>
    </xf>
    <xf numFmtId="0" fontId="36" fillId="9"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6" fillId="9" borderId="0" applyNumberFormat="0" applyBorder="0" applyAlignment="0" applyProtection="0">
      <alignment vertical="center"/>
    </xf>
    <xf numFmtId="0" fontId="34" fillId="16" borderId="0" applyNumberFormat="0" applyBorder="0" applyAlignment="0" applyProtection="0">
      <alignment vertical="center"/>
    </xf>
    <xf numFmtId="0" fontId="36" fillId="9"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6" fillId="9" borderId="0" applyNumberFormat="0" applyBorder="0" applyAlignment="0" applyProtection="0">
      <alignment vertical="center"/>
    </xf>
    <xf numFmtId="0" fontId="34" fillId="14" borderId="0" applyNumberFormat="0" applyBorder="0" applyAlignment="0" applyProtection="0">
      <alignment vertical="center"/>
    </xf>
    <xf numFmtId="0" fontId="36" fillId="9"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6" fillId="9" borderId="0" applyNumberFormat="0" applyBorder="0" applyAlignment="0" applyProtection="0">
      <alignment vertical="center"/>
    </xf>
    <xf numFmtId="0" fontId="29" fillId="0" borderId="25" applyNumberFormat="0" applyFill="0" applyAlignment="0" applyProtection="0">
      <alignment vertical="center"/>
    </xf>
    <xf numFmtId="0" fontId="34" fillId="18" borderId="0" applyNumberFormat="0" applyBorder="0" applyAlignment="0" applyProtection="0">
      <alignment vertical="center"/>
    </xf>
    <xf numFmtId="0" fontId="36" fillId="9" borderId="0" applyNumberFormat="0" applyBorder="0" applyAlignment="0" applyProtection="0">
      <alignment vertical="center"/>
    </xf>
    <xf numFmtId="0" fontId="34" fillId="18" borderId="0" applyNumberFormat="0" applyBorder="0" applyAlignment="0" applyProtection="0">
      <alignment vertical="center"/>
    </xf>
    <xf numFmtId="0" fontId="29" fillId="0" borderId="25" applyNumberFormat="0" applyFill="0" applyAlignment="0" applyProtection="0">
      <alignment vertical="center"/>
    </xf>
    <xf numFmtId="0" fontId="34" fillId="18" borderId="0" applyNumberFormat="0" applyBorder="0" applyAlignment="0" applyProtection="0">
      <alignment vertical="center"/>
    </xf>
    <xf numFmtId="0" fontId="33" fillId="16" borderId="0" applyNumberFormat="0" applyBorder="0" applyAlignment="0" applyProtection="0">
      <alignment vertical="center"/>
    </xf>
    <xf numFmtId="0" fontId="36" fillId="9" borderId="0" applyNumberFormat="0" applyBorder="0" applyAlignment="0" applyProtection="0">
      <alignment vertical="center"/>
    </xf>
    <xf numFmtId="0" fontId="29" fillId="0" borderId="25" applyNumberFormat="0" applyFill="0" applyAlignment="0" applyProtection="0">
      <alignment vertical="center"/>
    </xf>
    <xf numFmtId="0" fontId="34" fillId="4" borderId="0" applyNumberFormat="0" applyBorder="0" applyAlignment="0" applyProtection="0">
      <alignment vertical="center"/>
    </xf>
    <xf numFmtId="0" fontId="36" fillId="9" borderId="0" applyNumberFormat="0" applyBorder="0" applyAlignment="0" applyProtection="0">
      <alignment vertical="center"/>
    </xf>
    <xf numFmtId="0" fontId="34" fillId="4"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4" fillId="4"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0" fillId="15" borderId="26" applyNumberFormat="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28" fillId="15" borderId="24" applyNumberFormat="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28" fillId="15" borderId="24" applyNumberFormat="0" applyAlignment="0" applyProtection="0">
      <alignment vertical="center"/>
    </xf>
    <xf numFmtId="0" fontId="34" fillId="17" borderId="0" applyNumberFormat="0" applyBorder="0" applyAlignment="0" applyProtection="0">
      <alignment vertical="center"/>
    </xf>
    <xf numFmtId="0" fontId="30" fillId="15" borderId="26" applyNumberFormat="0" applyAlignment="0" applyProtection="0">
      <alignment vertical="center"/>
    </xf>
    <xf numFmtId="0" fontId="34" fillId="17"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26" fillId="13" borderId="23" applyNumberFormat="0" applyFont="0" applyAlignment="0" applyProtection="0">
      <alignment vertical="center"/>
    </xf>
    <xf numFmtId="0" fontId="34" fillId="17"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17" borderId="0" applyNumberFormat="0" applyBorder="0" applyAlignment="0" applyProtection="0">
      <alignment vertical="center"/>
    </xf>
    <xf numFmtId="0" fontId="26" fillId="13" borderId="23" applyNumberFormat="0" applyFont="0" applyAlignment="0" applyProtection="0">
      <alignment vertical="center"/>
    </xf>
    <xf numFmtId="0" fontId="34" fillId="17"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17" borderId="0" applyNumberFormat="0" applyBorder="0" applyAlignment="0" applyProtection="0">
      <alignment vertical="center"/>
    </xf>
    <xf numFmtId="0" fontId="26" fillId="13" borderId="23" applyNumberFormat="0" applyFont="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34" fillId="17" borderId="0" applyNumberFormat="0" applyBorder="0" applyAlignment="0" applyProtection="0">
      <alignment vertical="center"/>
    </xf>
    <xf numFmtId="0" fontId="31" fillId="4" borderId="24" applyNumberFormat="0" applyAlignment="0" applyProtection="0">
      <alignment vertical="center"/>
    </xf>
    <xf numFmtId="0" fontId="34" fillId="17" borderId="0" applyNumberFormat="0" applyBorder="0" applyAlignment="0" applyProtection="0">
      <alignment vertical="center"/>
    </xf>
    <xf numFmtId="0" fontId="27" fillId="14" borderId="0" applyNumberFormat="0" applyBorder="0" applyAlignment="0" applyProtection="0">
      <alignment vertical="center"/>
    </xf>
    <xf numFmtId="0" fontId="34" fillId="17" borderId="0" applyNumberFormat="0" applyBorder="0" applyAlignment="0" applyProtection="0">
      <alignment vertical="center"/>
    </xf>
    <xf numFmtId="0" fontId="27" fillId="14" borderId="0" applyNumberFormat="0" applyBorder="0" applyAlignment="0" applyProtection="0">
      <alignment vertical="center"/>
    </xf>
    <xf numFmtId="0" fontId="34" fillId="17"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28" fillId="15" borderId="24" applyNumberFormat="0" applyAlignment="0" applyProtection="0">
      <alignment vertical="center"/>
    </xf>
    <xf numFmtId="0" fontId="34" fillId="16" borderId="0" applyNumberFormat="0" applyBorder="0" applyAlignment="0" applyProtection="0">
      <alignment vertical="center"/>
    </xf>
    <xf numFmtId="0" fontId="26" fillId="0" borderId="0">
      <alignment vertical="center"/>
    </xf>
    <xf numFmtId="0" fontId="34" fillId="16" borderId="0" applyNumberFormat="0" applyBorder="0" applyAlignment="0" applyProtection="0">
      <alignment vertical="center"/>
    </xf>
    <xf numFmtId="0" fontId="28" fillId="15" borderId="24" applyNumberFormat="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28" fillId="15" borderId="24" applyNumberFormat="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26" fillId="13" borderId="23" applyNumberFormat="0" applyFont="0" applyAlignment="0" applyProtection="0">
      <alignment vertical="center"/>
    </xf>
    <xf numFmtId="0" fontId="34"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16" borderId="0" applyNumberFormat="0" applyBorder="0" applyAlignment="0" applyProtection="0">
      <alignment vertical="center"/>
    </xf>
    <xf numFmtId="0" fontId="26" fillId="13" borderId="23" applyNumberFormat="0" applyFont="0" applyAlignment="0" applyProtection="0">
      <alignment vertical="center"/>
    </xf>
    <xf numFmtId="0" fontId="34" fillId="16" borderId="0" applyNumberFormat="0" applyBorder="0" applyAlignment="0" applyProtection="0">
      <alignment vertical="center"/>
    </xf>
    <xf numFmtId="0" fontId="26" fillId="13" borderId="23" applyNumberFormat="0" applyFont="0" applyAlignment="0" applyProtection="0">
      <alignment vertical="center"/>
    </xf>
    <xf numFmtId="0" fontId="34"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28" fillId="15" borderId="24" applyNumberFormat="0" applyAlignment="0" applyProtection="0">
      <alignment vertical="center"/>
    </xf>
    <xf numFmtId="0" fontId="34" fillId="16"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34" fillId="16" borderId="0" applyNumberFormat="0" applyBorder="0" applyAlignment="0" applyProtection="0">
      <alignment vertical="center"/>
    </xf>
    <xf numFmtId="0" fontId="28" fillId="15" borderId="24" applyNumberFormat="0" applyAlignment="0" applyProtection="0">
      <alignment vertical="center"/>
    </xf>
    <xf numFmtId="0" fontId="34"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4" fillId="16" borderId="0" applyNumberFormat="0" applyBorder="0" applyAlignment="0" applyProtection="0">
      <alignment vertical="center"/>
    </xf>
    <xf numFmtId="0" fontId="31" fillId="4" borderId="24" applyNumberFormat="0" applyAlignment="0" applyProtection="0">
      <alignment vertical="center"/>
    </xf>
    <xf numFmtId="0" fontId="34" fillId="16" borderId="0" applyNumberFormat="0" applyBorder="0" applyAlignment="0" applyProtection="0">
      <alignment vertical="center"/>
    </xf>
    <xf numFmtId="0" fontId="33"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29" fillId="0" borderId="25" applyNumberFormat="0" applyFill="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26" fillId="0" borderId="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26" fillId="0" borderId="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26" fillId="13" borderId="23" applyNumberFormat="0" applyFont="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26" fillId="13" borderId="23" applyNumberFormat="0" applyFont="0" applyAlignment="0" applyProtection="0">
      <alignment vertical="center"/>
    </xf>
    <xf numFmtId="0" fontId="34" fillId="14" borderId="0" applyNumberFormat="0" applyBorder="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4" fillId="14" borderId="0" applyNumberFormat="0" applyBorder="0" applyAlignment="0" applyProtection="0">
      <alignment vertical="center"/>
    </xf>
    <xf numFmtId="0" fontId="28" fillId="15" borderId="24" applyNumberFormat="0" applyAlignment="0" applyProtection="0">
      <alignment vertical="center"/>
    </xf>
    <xf numFmtId="0" fontId="34" fillId="14" borderId="0" applyNumberFormat="0" applyBorder="0" applyAlignment="0" applyProtection="0">
      <alignment vertical="center"/>
    </xf>
    <xf numFmtId="9" fontId="26" fillId="0" borderId="0" applyFont="0" applyFill="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29" fillId="0" borderId="25" applyNumberFormat="0" applyFill="0" applyAlignment="0" applyProtection="0">
      <alignment vertical="center"/>
    </xf>
    <xf numFmtId="0" fontId="34" fillId="8" borderId="0" applyNumberFormat="0" applyBorder="0" applyAlignment="0" applyProtection="0">
      <alignment vertical="center"/>
    </xf>
    <xf numFmtId="0" fontId="28" fillId="15" borderId="24" applyNumberFormat="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9" fontId="26" fillId="0" borderId="0" applyFont="0" applyFill="0" applyBorder="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9" fontId="26" fillId="0" borderId="0" applyFont="0" applyFill="0" applyBorder="0" applyAlignment="0" applyProtection="0">
      <alignment vertical="center"/>
    </xf>
    <xf numFmtId="0" fontId="34" fillId="8" borderId="0" applyNumberFormat="0" applyBorder="0" applyAlignment="0" applyProtection="0">
      <alignment vertical="center"/>
    </xf>
    <xf numFmtId="0" fontId="26" fillId="13" borderId="23" applyNumberFormat="0" applyFont="0" applyAlignment="0" applyProtection="0">
      <alignment vertical="center"/>
    </xf>
    <xf numFmtId="0" fontId="34" fillId="8" borderId="0" applyNumberFormat="0" applyBorder="0" applyAlignment="0" applyProtection="0">
      <alignment vertical="center"/>
    </xf>
    <xf numFmtId="9" fontId="26" fillId="0" borderId="0" applyFont="0" applyFill="0" applyBorder="0" applyAlignment="0" applyProtection="0">
      <alignment vertical="center"/>
    </xf>
    <xf numFmtId="0" fontId="34" fillId="8" borderId="0" applyNumberFormat="0" applyBorder="0" applyAlignment="0" applyProtection="0">
      <alignment vertical="center"/>
    </xf>
    <xf numFmtId="0" fontId="33" fillId="16" borderId="0" applyNumberFormat="0" applyBorder="0" applyAlignment="0" applyProtection="0">
      <alignment vertical="center"/>
    </xf>
    <xf numFmtId="0" fontId="34" fillId="8"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4" fillId="8" borderId="0" applyNumberFormat="0" applyBorder="0" applyAlignment="0" applyProtection="0">
      <alignment vertical="center"/>
    </xf>
    <xf numFmtId="0" fontId="30" fillId="15" borderId="26" applyNumberFormat="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4" fillId="8" borderId="0" applyNumberFormat="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4" fillId="8" borderId="0" applyNumberFormat="0" applyBorder="0" applyAlignment="0" applyProtection="0">
      <alignment vertical="center"/>
    </xf>
    <xf numFmtId="0" fontId="33" fillId="16" borderId="0" applyNumberFormat="0" applyBorder="0" applyAlignment="0" applyProtection="0">
      <alignment vertical="center"/>
    </xf>
    <xf numFmtId="0" fontId="34" fillId="8" borderId="0" applyNumberFormat="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4" fillId="8" borderId="0" applyNumberFormat="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34" fillId="18" borderId="0" applyNumberFormat="0" applyBorder="0" applyAlignment="0" applyProtection="0">
      <alignment vertical="center"/>
    </xf>
    <xf numFmtId="0" fontId="17" fillId="0" borderId="0">
      <alignment vertical="center"/>
    </xf>
    <xf numFmtId="0" fontId="34" fillId="18" borderId="0" applyNumberFormat="0" applyBorder="0" applyAlignment="0" applyProtection="0">
      <alignment vertical="center"/>
    </xf>
    <xf numFmtId="9" fontId="26" fillId="0" borderId="0" applyFont="0" applyFill="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9" fontId="26" fillId="0" borderId="0" applyFont="0" applyFill="0" applyBorder="0" applyAlignment="0" applyProtection="0">
      <alignment vertical="center"/>
    </xf>
    <xf numFmtId="0" fontId="34" fillId="18" borderId="0" applyNumberFormat="0" applyBorder="0" applyAlignment="0" applyProtection="0">
      <alignment vertical="center"/>
    </xf>
    <xf numFmtId="0" fontId="27" fillId="14" borderId="0" applyNumberFormat="0" applyBorder="0" applyAlignment="0" applyProtection="0">
      <alignment vertical="center"/>
    </xf>
    <xf numFmtId="0" fontId="34" fillId="18" borderId="0" applyNumberFormat="0" applyBorder="0" applyAlignment="0" applyProtection="0">
      <alignment vertical="center"/>
    </xf>
    <xf numFmtId="9" fontId="26" fillId="0" borderId="0" applyFont="0" applyFill="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4" fillId="18"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4" fillId="18"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9" fontId="26" fillId="0" borderId="0" applyFont="0" applyFill="0" applyBorder="0" applyAlignment="0" applyProtection="0">
      <alignment vertical="center"/>
    </xf>
    <xf numFmtId="0" fontId="34" fillId="18" borderId="0" applyNumberFormat="0" applyBorder="0" applyAlignment="0" applyProtection="0">
      <alignment vertical="center"/>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4" fillId="18"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4" fillId="18"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9" fontId="26" fillId="0" borderId="0" applyFont="0" applyFill="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27" fillId="14"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3" fillId="16" borderId="0" applyNumberFormat="0" applyBorder="0" applyAlignment="0" applyProtection="0">
      <alignment vertical="center"/>
    </xf>
    <xf numFmtId="0" fontId="34" fillId="4" borderId="0" applyNumberFormat="0" applyBorder="0" applyAlignment="0" applyProtection="0">
      <alignment vertical="center"/>
    </xf>
    <xf numFmtId="0" fontId="34" fillId="4" borderId="0" applyNumberFormat="0" applyBorder="0" applyAlignment="0" applyProtection="0">
      <alignment vertical="center"/>
    </xf>
    <xf numFmtId="0" fontId="34" fillId="4" borderId="0" applyNumberFormat="0" applyBorder="0" applyAlignment="0" applyProtection="0">
      <alignment vertical="center"/>
    </xf>
    <xf numFmtId="0" fontId="33" fillId="16" borderId="0" applyNumberFormat="0" applyBorder="0" applyAlignment="0" applyProtection="0">
      <alignment vertical="center"/>
    </xf>
    <xf numFmtId="0" fontId="34" fillId="4" borderId="0" applyNumberFormat="0" applyBorder="0" applyAlignment="0" applyProtection="0">
      <alignment vertical="center"/>
    </xf>
    <xf numFmtId="0" fontId="33" fillId="16" borderId="0" applyNumberFormat="0" applyBorder="0" applyAlignment="0" applyProtection="0">
      <alignment vertical="center"/>
    </xf>
    <xf numFmtId="0" fontId="34" fillId="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4" fillId="4" borderId="0" applyNumberFormat="0" applyBorder="0" applyAlignment="0" applyProtection="0">
      <alignment vertical="center"/>
    </xf>
    <xf numFmtId="0" fontId="34" fillId="4" borderId="0" applyNumberFormat="0" applyBorder="0" applyAlignment="0" applyProtection="0">
      <alignment vertical="center"/>
    </xf>
    <xf numFmtId="0" fontId="34" fillId="4" borderId="0" applyNumberFormat="0" applyBorder="0" applyAlignment="0" applyProtection="0">
      <alignment vertical="center"/>
    </xf>
    <xf numFmtId="0" fontId="34" fillId="4" borderId="0" applyNumberFormat="0" applyBorder="0" applyAlignment="0" applyProtection="0">
      <alignment vertical="center"/>
    </xf>
    <xf numFmtId="0" fontId="33" fillId="16" borderId="0" applyNumberFormat="0" applyBorder="0" applyAlignment="0" applyProtection="0">
      <alignment vertical="center"/>
    </xf>
    <xf numFmtId="0" fontId="34" fillId="4" borderId="0" applyNumberFormat="0" applyBorder="0" applyAlignment="0" applyProtection="0">
      <alignment vertical="center"/>
    </xf>
    <xf numFmtId="0" fontId="34" fillId="4" borderId="0" applyNumberFormat="0" applyBorder="0" applyAlignment="0" applyProtection="0">
      <alignment vertical="center"/>
    </xf>
    <xf numFmtId="0" fontId="34" fillId="4" borderId="0" applyNumberFormat="0" applyBorder="0" applyAlignment="0" applyProtection="0">
      <alignment vertical="center"/>
    </xf>
    <xf numFmtId="0" fontId="34" fillId="4" borderId="0" applyNumberFormat="0" applyBorder="0" applyAlignment="0" applyProtection="0">
      <alignment vertical="center"/>
    </xf>
    <xf numFmtId="0" fontId="34" fillId="4" borderId="0" applyNumberFormat="0" applyBorder="0" applyAlignment="0" applyProtection="0">
      <alignment vertical="center"/>
    </xf>
    <xf numFmtId="0" fontId="26" fillId="0" borderId="0">
      <alignment vertical="center"/>
    </xf>
    <xf numFmtId="0" fontId="34" fillId="4" borderId="0" applyNumberFormat="0" applyBorder="0" applyAlignment="0" applyProtection="0">
      <alignment vertical="center"/>
    </xf>
    <xf numFmtId="0" fontId="33" fillId="16" borderId="0" applyNumberFormat="0" applyBorder="0" applyAlignment="0" applyProtection="0">
      <alignment vertical="center"/>
    </xf>
    <xf numFmtId="0" fontId="34" fillId="4" borderId="0" applyNumberFormat="0" applyBorder="0" applyAlignment="0" applyProtection="0">
      <alignment vertical="center"/>
    </xf>
    <xf numFmtId="0" fontId="34" fillId="4" borderId="0" applyNumberFormat="0" applyBorder="0" applyAlignment="0" applyProtection="0">
      <alignment vertical="center"/>
    </xf>
    <xf numFmtId="0" fontId="34" fillId="4" borderId="0" applyNumberFormat="0" applyBorder="0" applyAlignment="0" applyProtection="0">
      <alignment vertical="center"/>
    </xf>
    <xf numFmtId="0" fontId="34" fillId="4" borderId="0" applyNumberFormat="0" applyBorder="0" applyAlignment="0" applyProtection="0">
      <alignment vertical="center"/>
    </xf>
    <xf numFmtId="0" fontId="33" fillId="16" borderId="0" applyNumberFormat="0" applyBorder="0" applyAlignment="0" applyProtection="0">
      <alignment vertical="center"/>
    </xf>
    <xf numFmtId="0" fontId="34" fillId="4" borderId="0" applyNumberFormat="0" applyBorder="0" applyAlignment="0" applyProtection="0">
      <alignment vertical="center"/>
    </xf>
    <xf numFmtId="0" fontId="33" fillId="16" borderId="0" applyNumberFormat="0" applyBorder="0" applyAlignment="0" applyProtection="0">
      <alignment vertical="center"/>
    </xf>
    <xf numFmtId="0" fontId="34" fillId="4" borderId="0" applyNumberFormat="0" applyBorder="0" applyAlignment="0" applyProtection="0">
      <alignment vertical="center"/>
    </xf>
    <xf numFmtId="0" fontId="33" fillId="16" borderId="0" applyNumberFormat="0" applyBorder="0" applyAlignment="0" applyProtection="0">
      <alignment vertical="center"/>
    </xf>
    <xf numFmtId="0" fontId="34" fillId="4" borderId="0" applyNumberFormat="0" applyBorder="0" applyAlignment="0" applyProtection="0">
      <alignment vertical="center"/>
    </xf>
    <xf numFmtId="0" fontId="33" fillId="16" borderId="0" applyNumberFormat="0" applyBorder="0" applyAlignment="0" applyProtection="0">
      <alignment vertical="center"/>
    </xf>
    <xf numFmtId="0" fontId="34" fillId="4" borderId="0" applyNumberFormat="0" applyBorder="0" applyAlignment="0" applyProtection="0">
      <alignment vertical="center"/>
    </xf>
    <xf numFmtId="0" fontId="27" fillId="14" borderId="0" applyNumberFormat="0" applyBorder="0" applyAlignment="0" applyProtection="0">
      <alignment vertical="center"/>
    </xf>
    <xf numFmtId="0" fontId="34" fillId="4" borderId="0" applyNumberFormat="0" applyBorder="0" applyAlignment="0" applyProtection="0">
      <alignment vertical="center"/>
    </xf>
    <xf numFmtId="0" fontId="34" fillId="4" borderId="0" applyNumberFormat="0" applyBorder="0" applyAlignment="0" applyProtection="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34" fillId="4" borderId="0" applyNumberFormat="0" applyBorder="0" applyAlignment="0" applyProtection="0">
      <alignment vertical="center"/>
    </xf>
    <xf numFmtId="0" fontId="31" fillId="4" borderId="24" applyNumberFormat="0" applyAlignment="0" applyProtection="0">
      <alignment vertical="center"/>
    </xf>
    <xf numFmtId="0" fontId="39" fillId="4" borderId="0" applyNumberFormat="0" applyBorder="0" applyAlignment="0" applyProtection="0">
      <alignment vertical="center"/>
    </xf>
    <xf numFmtId="0" fontId="27" fillId="14" borderId="0" applyNumberFormat="0" applyBorder="0" applyAlignment="0" applyProtection="0">
      <alignment vertical="center"/>
    </xf>
    <xf numFmtId="0" fontId="34" fillId="2" borderId="0" applyNumberFormat="0" applyBorder="0" applyAlignment="0" applyProtection="0">
      <alignment vertical="center"/>
    </xf>
    <xf numFmtId="0" fontId="26" fillId="0" borderId="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26" fillId="0" borderId="0">
      <alignment vertical="center"/>
    </xf>
    <xf numFmtId="0" fontId="34" fillId="3" borderId="0" applyNumberFormat="0" applyBorder="0" applyAlignment="0" applyProtection="0">
      <alignment vertical="center"/>
    </xf>
    <xf numFmtId="0" fontId="34" fillId="3" borderId="0" applyNumberFormat="0" applyBorder="0" applyAlignment="0" applyProtection="0">
      <alignment vertical="center"/>
    </xf>
    <xf numFmtId="0" fontId="34" fillId="8" borderId="0" applyNumberFormat="0" applyBorder="0" applyAlignment="0" applyProtection="0">
      <alignment vertical="center"/>
    </xf>
    <xf numFmtId="0" fontId="29" fillId="0" borderId="25" applyNumberFormat="0" applyFill="0" applyAlignment="0" applyProtection="0">
      <alignment vertical="center"/>
    </xf>
    <xf numFmtId="0" fontId="34" fillId="8" borderId="0" applyNumberFormat="0" applyBorder="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34" fillId="12" borderId="0" applyNumberFormat="0" applyBorder="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33" fillId="16" borderId="0" applyNumberFormat="0" applyBorder="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4" fillId="2" borderId="0" applyNumberFormat="0" applyBorder="0" applyAlignment="0" applyProtection="0">
      <alignment vertical="center"/>
    </xf>
    <xf numFmtId="0" fontId="33" fillId="16" borderId="0" applyNumberFormat="0" applyBorder="0" applyAlignment="0" applyProtection="0">
      <alignment vertical="center"/>
    </xf>
    <xf numFmtId="0" fontId="34" fillId="2" borderId="0" applyNumberFormat="0" applyBorder="0" applyAlignment="0" applyProtection="0">
      <alignment vertical="center"/>
    </xf>
    <xf numFmtId="0" fontId="33" fillId="16" borderId="0" applyNumberFormat="0" applyBorder="0" applyAlignment="0" applyProtection="0">
      <alignment vertical="center"/>
    </xf>
    <xf numFmtId="0" fontId="34" fillId="2" borderId="0" applyNumberFormat="0" applyBorder="0" applyAlignment="0" applyProtection="0">
      <alignment vertical="center"/>
    </xf>
    <xf numFmtId="0" fontId="33" fillId="16" borderId="0" applyNumberFormat="0" applyBorder="0" applyAlignment="0" applyProtection="0">
      <alignment vertical="center"/>
    </xf>
    <xf numFmtId="0" fontId="34" fillId="2" borderId="0" applyNumberFormat="0" applyBorder="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4" fillId="2"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4" fillId="2"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4" fillId="2" borderId="0" applyNumberFormat="0" applyBorder="0" applyAlignment="0" applyProtection="0">
      <alignment vertical="center"/>
    </xf>
    <xf numFmtId="0" fontId="29" fillId="0" borderId="25" applyNumberFormat="0" applyFill="0" applyAlignment="0" applyProtection="0">
      <alignment vertical="center"/>
    </xf>
    <xf numFmtId="0" fontId="34" fillId="2" borderId="0" applyNumberFormat="0" applyBorder="0" applyAlignment="0" applyProtection="0">
      <alignment vertical="center"/>
    </xf>
    <xf numFmtId="0" fontId="28" fillId="15" borderId="24" applyNumberFormat="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4" fillId="11" borderId="0" applyNumberFormat="0" applyBorder="0" applyAlignment="0" applyProtection="0">
      <alignment vertical="center"/>
    </xf>
    <xf numFmtId="0" fontId="28" fillId="15" borderId="24" applyNumberFormat="0" applyAlignment="0" applyProtection="0">
      <alignment vertical="center"/>
    </xf>
    <xf numFmtId="0" fontId="34" fillId="11" borderId="0" applyNumberFormat="0" applyBorder="0" applyAlignment="0" applyProtection="0">
      <alignment vertical="center"/>
    </xf>
    <xf numFmtId="0" fontId="28" fillId="15" borderId="24" applyNumberFormat="0" applyAlignment="0" applyProtection="0">
      <alignment vertical="center"/>
    </xf>
    <xf numFmtId="0" fontId="34" fillId="11" borderId="0" applyNumberFormat="0" applyBorder="0" applyAlignment="0" applyProtection="0">
      <alignment vertical="center"/>
    </xf>
    <xf numFmtId="0" fontId="28" fillId="15" borderId="24" applyNumberFormat="0" applyAlignment="0" applyProtection="0">
      <alignment vertical="center"/>
    </xf>
    <xf numFmtId="0" fontId="34" fillId="11" borderId="0" applyNumberFormat="0" applyBorder="0" applyAlignment="0" applyProtection="0">
      <alignment vertical="center"/>
    </xf>
    <xf numFmtId="0" fontId="28" fillId="15" borderId="24" applyNumberFormat="0" applyAlignment="0" applyProtection="0">
      <alignment vertical="center"/>
    </xf>
    <xf numFmtId="0" fontId="34" fillId="11" borderId="0" applyNumberFormat="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4" fillId="11" borderId="0" applyNumberFormat="0" applyBorder="0" applyAlignment="0" applyProtection="0">
      <alignment vertical="center"/>
    </xf>
    <xf numFmtId="0" fontId="28" fillId="15" borderId="24" applyNumberFormat="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4" fillId="11" borderId="0" applyNumberFormat="0" applyBorder="0" applyAlignment="0" applyProtection="0">
      <alignment vertical="center"/>
    </xf>
    <xf numFmtId="0" fontId="28" fillId="15" borderId="24" applyNumberFormat="0" applyAlignment="0" applyProtection="0">
      <alignment vertical="center"/>
    </xf>
    <xf numFmtId="0" fontId="34" fillId="11" borderId="0" applyNumberFormat="0" applyBorder="0" applyAlignment="0" applyProtection="0">
      <alignment vertical="center"/>
    </xf>
    <xf numFmtId="0" fontId="28" fillId="15" borderId="24" applyNumberFormat="0" applyAlignment="0" applyProtection="0">
      <alignment vertical="center"/>
    </xf>
    <xf numFmtId="0" fontId="34" fillId="11" borderId="0" applyNumberFormat="0" applyBorder="0" applyAlignment="0" applyProtection="0">
      <alignment vertical="center"/>
    </xf>
    <xf numFmtId="0" fontId="28" fillId="15" borderId="24" applyNumberFormat="0" applyAlignment="0" applyProtection="0">
      <alignment vertical="center"/>
    </xf>
    <xf numFmtId="0" fontId="34" fillId="11" borderId="0" applyNumberFormat="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4" fillId="11"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4" fillId="11" borderId="0" applyNumberFormat="0" applyBorder="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4" fillId="11"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4" fillId="11" borderId="0" applyNumberFormat="0" applyBorder="0" applyAlignment="0" applyProtection="0">
      <alignment vertical="center"/>
    </xf>
    <xf numFmtId="0" fontId="29" fillId="0" borderId="25" applyNumberFormat="0" applyFill="0" applyAlignment="0" applyProtection="0">
      <alignment vertical="center"/>
    </xf>
    <xf numFmtId="0" fontId="34" fillId="11" borderId="0" applyNumberFormat="0" applyBorder="0" applyAlignment="0" applyProtection="0">
      <alignment vertical="center"/>
    </xf>
    <xf numFmtId="0" fontId="28" fillId="15" borderId="24" applyNumberFormat="0" applyAlignment="0" applyProtection="0">
      <alignment vertical="center"/>
    </xf>
    <xf numFmtId="0" fontId="34" fillId="3" borderId="0" applyNumberFormat="0" applyBorder="0" applyAlignment="0" applyProtection="0">
      <alignment vertical="center"/>
    </xf>
    <xf numFmtId="0" fontId="34" fillId="3" borderId="0" applyNumberFormat="0" applyBorder="0" applyAlignment="0" applyProtection="0">
      <alignment vertical="center"/>
    </xf>
    <xf numFmtId="0" fontId="33" fillId="16" borderId="0" applyNumberFormat="0" applyBorder="0" applyAlignment="0" applyProtection="0">
      <alignment vertical="center"/>
    </xf>
    <xf numFmtId="0" fontId="34" fillId="3" borderId="0" applyNumberFormat="0" applyBorder="0" applyAlignment="0" applyProtection="0">
      <alignment vertical="center"/>
    </xf>
    <xf numFmtId="0" fontId="28" fillId="15" borderId="24" applyNumberFormat="0" applyAlignment="0" applyProtection="0">
      <alignment vertical="center"/>
    </xf>
    <xf numFmtId="0" fontId="34" fillId="3" borderId="0" applyNumberFormat="0" applyBorder="0" applyAlignment="0" applyProtection="0">
      <alignment vertical="center"/>
    </xf>
    <xf numFmtId="0" fontId="26" fillId="0" borderId="0">
      <alignment vertical="center"/>
    </xf>
    <xf numFmtId="0" fontId="34" fillId="3" borderId="0" applyNumberFormat="0" applyBorder="0" applyAlignment="0" applyProtection="0">
      <alignment vertical="center"/>
    </xf>
    <xf numFmtId="0" fontId="29" fillId="0" borderId="25" applyNumberFormat="0" applyFill="0" applyAlignment="0" applyProtection="0">
      <alignment vertical="center"/>
    </xf>
    <xf numFmtId="0" fontId="34" fillId="3" borderId="0" applyNumberFormat="0" applyBorder="0" applyAlignment="0" applyProtection="0">
      <alignment vertical="center"/>
    </xf>
    <xf numFmtId="0" fontId="34" fillId="3" borderId="0" applyNumberFormat="0" applyBorder="0" applyAlignment="0" applyProtection="0">
      <alignment vertical="center"/>
    </xf>
    <xf numFmtId="0" fontId="34" fillId="3" borderId="0" applyNumberFormat="0" applyBorder="0" applyAlignment="0" applyProtection="0">
      <alignment vertical="center"/>
    </xf>
    <xf numFmtId="0" fontId="34" fillId="3" borderId="0" applyNumberFormat="0" applyBorder="0" applyAlignment="0" applyProtection="0">
      <alignment vertical="center"/>
    </xf>
    <xf numFmtId="0" fontId="34" fillId="3" borderId="0" applyNumberFormat="0" applyBorder="0" applyAlignment="0" applyProtection="0">
      <alignment vertical="center"/>
    </xf>
    <xf numFmtId="0" fontId="34" fillId="3" borderId="0" applyNumberFormat="0" applyBorder="0" applyAlignment="0" applyProtection="0">
      <alignment vertical="center"/>
    </xf>
    <xf numFmtId="0" fontId="34" fillId="3"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4" fillId="3" borderId="0" applyNumberFormat="0" applyBorder="0" applyAlignment="0" applyProtection="0">
      <alignment vertical="center"/>
    </xf>
    <xf numFmtId="0" fontId="34" fillId="3" borderId="0" applyNumberFormat="0" applyBorder="0" applyAlignment="0" applyProtection="0">
      <alignment vertical="center"/>
    </xf>
    <xf numFmtId="0" fontId="29" fillId="0" borderId="25" applyNumberFormat="0" applyFill="0" applyAlignment="0" applyProtection="0">
      <alignment vertical="center"/>
    </xf>
    <xf numFmtId="0" fontId="34" fillId="3" borderId="0" applyNumberFormat="0" applyBorder="0" applyAlignment="0" applyProtection="0">
      <alignment vertical="center"/>
    </xf>
    <xf numFmtId="0" fontId="29" fillId="0" borderId="25" applyNumberFormat="0" applyFill="0" applyAlignment="0" applyProtection="0">
      <alignment vertical="center"/>
    </xf>
    <xf numFmtId="0" fontId="34" fillId="3" borderId="0" applyNumberFormat="0" applyBorder="0" applyAlignment="0" applyProtection="0">
      <alignment vertical="center"/>
    </xf>
    <xf numFmtId="0" fontId="34" fillId="3" borderId="0" applyNumberFormat="0" applyBorder="0" applyAlignment="0" applyProtection="0">
      <alignment vertical="center"/>
    </xf>
    <xf numFmtId="0" fontId="34" fillId="3"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4" fillId="3"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4" fillId="3" borderId="0" applyNumberFormat="0" applyBorder="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4" fillId="3"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4" fillId="3"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0" fontId="28" fillId="15" borderId="24" applyNumberFormat="0" applyAlignment="0" applyProtection="0">
      <alignment vertical="center"/>
    </xf>
    <xf numFmtId="0" fontId="34" fillId="8" borderId="0" applyNumberFormat="0" applyBorder="0" applyAlignment="0" applyProtection="0">
      <alignment vertical="center"/>
    </xf>
    <xf numFmtId="0" fontId="17" fillId="0" borderId="0">
      <alignment vertical="center"/>
    </xf>
    <xf numFmtId="0" fontId="28" fillId="15" borderId="24" applyNumberFormat="0" applyAlignment="0" applyProtection="0">
      <alignment vertical="center"/>
    </xf>
    <xf numFmtId="0" fontId="26" fillId="0" borderId="0">
      <alignment vertical="center"/>
    </xf>
    <xf numFmtId="0" fontId="34" fillId="8" borderId="0" applyNumberFormat="0" applyBorder="0" applyAlignment="0" applyProtection="0">
      <alignment vertical="center"/>
    </xf>
    <xf numFmtId="0" fontId="29" fillId="0" borderId="25" applyNumberFormat="0" applyFill="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0" fontId="26" fillId="0" borderId="0">
      <alignment vertical="center"/>
    </xf>
    <xf numFmtId="0" fontId="34" fillId="8" borderId="0" applyNumberFormat="0" applyBorder="0" applyAlignment="0" applyProtection="0">
      <alignment vertical="center"/>
    </xf>
    <xf numFmtId="0" fontId="29" fillId="0" borderId="25" applyNumberFormat="0" applyFill="0" applyAlignment="0" applyProtection="0">
      <alignment vertical="center"/>
    </xf>
    <xf numFmtId="0" fontId="34" fillId="8" borderId="0" applyNumberFormat="0" applyBorder="0" applyAlignment="0" applyProtection="0">
      <alignment vertical="center"/>
    </xf>
    <xf numFmtId="0" fontId="29" fillId="0" borderId="25" applyNumberFormat="0" applyFill="0" applyAlignment="0" applyProtection="0">
      <alignment vertical="center"/>
    </xf>
    <xf numFmtId="0" fontId="34" fillId="8"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4" fillId="8" borderId="0" applyNumberFormat="0" applyBorder="0" applyAlignment="0" applyProtection="0">
      <alignment vertical="center"/>
    </xf>
    <xf numFmtId="0" fontId="28" fillId="15" borderId="24" applyNumberFormat="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0" fontId="34" fillId="8" borderId="0" applyNumberFormat="0" applyBorder="0" applyAlignment="0" applyProtection="0">
      <alignment vertical="center"/>
    </xf>
    <xf numFmtId="0" fontId="28" fillId="15" borderId="24" applyNumberFormat="0" applyAlignment="0" applyProtection="0">
      <alignment vertical="center"/>
    </xf>
    <xf numFmtId="0" fontId="34" fillId="8"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4" fillId="8"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4" fillId="8" borderId="0" applyNumberFormat="0" applyBorder="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4" fillId="8"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4" fillId="8"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4" fillId="8"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28" fillId="15" borderId="24" applyNumberFormat="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28" fillId="15" borderId="24" applyNumberFormat="0" applyAlignment="0" applyProtection="0">
      <alignment vertical="center"/>
    </xf>
    <xf numFmtId="0" fontId="34" fillId="2" borderId="0" applyNumberFormat="0" applyBorder="0" applyAlignment="0" applyProtection="0">
      <alignment vertical="center"/>
    </xf>
    <xf numFmtId="0" fontId="29" fillId="0" borderId="25" applyNumberFormat="0" applyFill="0" applyAlignment="0" applyProtection="0">
      <alignment vertical="center"/>
    </xf>
    <xf numFmtId="0" fontId="34" fillId="2" borderId="0" applyNumberFormat="0" applyBorder="0" applyAlignment="0" applyProtection="0">
      <alignment vertical="center"/>
    </xf>
    <xf numFmtId="0" fontId="34" fillId="2"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4" fillId="2" borderId="0" applyNumberFormat="0" applyBorder="0" applyAlignment="0" applyProtection="0">
      <alignment vertical="center"/>
    </xf>
    <xf numFmtId="0" fontId="27" fillId="14" borderId="0" applyNumberFormat="0" applyBorder="0" applyAlignment="0" applyProtection="0">
      <alignment vertical="center"/>
    </xf>
    <xf numFmtId="0" fontId="34" fillId="2" borderId="0" applyNumberFormat="0" applyBorder="0" applyAlignment="0" applyProtection="0">
      <alignment vertical="center"/>
    </xf>
    <xf numFmtId="0" fontId="27" fillId="14" borderId="0" applyNumberFormat="0" applyBorder="0" applyAlignment="0" applyProtection="0">
      <alignment vertical="center"/>
    </xf>
    <xf numFmtId="0" fontId="34" fillId="2" borderId="0" applyNumberFormat="0" applyBorder="0" applyAlignment="0" applyProtection="0">
      <alignment vertical="center"/>
    </xf>
    <xf numFmtId="0" fontId="27" fillId="14" borderId="0" applyNumberFormat="0" applyBorder="0" applyAlignment="0" applyProtection="0">
      <alignment vertical="center"/>
    </xf>
    <xf numFmtId="0" fontId="34" fillId="2" borderId="0" applyNumberFormat="0" applyBorder="0" applyAlignment="0" applyProtection="0">
      <alignment vertical="center"/>
    </xf>
    <xf numFmtId="0" fontId="27" fillId="14" borderId="0" applyNumberFormat="0" applyBorder="0" applyAlignment="0" applyProtection="0">
      <alignment vertical="center"/>
    </xf>
    <xf numFmtId="0" fontId="34" fillId="2" borderId="0" applyNumberFormat="0" applyBorder="0" applyAlignment="0" applyProtection="0">
      <alignment vertical="center"/>
    </xf>
    <xf numFmtId="0" fontId="28" fillId="15" borderId="24" applyNumberFormat="0" applyAlignment="0" applyProtection="0">
      <alignment vertical="center"/>
    </xf>
    <xf numFmtId="0" fontId="34" fillId="2"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4" fillId="2"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4" fillId="2" borderId="0" applyNumberFormat="0" applyBorder="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4" fillId="2"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4" fillId="2"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4" fillId="2"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26" fillId="0" borderId="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26" fillId="0" borderId="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26" fillId="0" borderId="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1" fillId="4" borderId="24" applyNumberFormat="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26" fillId="0" borderId="0">
      <alignment vertical="center"/>
    </xf>
    <xf numFmtId="0" fontId="34" fillId="12" borderId="0" applyNumberFormat="0" applyBorder="0" applyAlignment="0" applyProtection="0">
      <alignment vertical="center"/>
    </xf>
    <xf numFmtId="0" fontId="29" fillId="0" borderId="25" applyNumberFormat="0" applyFill="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26" fillId="0" borderId="0">
      <alignment vertical="center"/>
    </xf>
    <xf numFmtId="0" fontId="26" fillId="0" borderId="0">
      <alignment vertical="center"/>
    </xf>
    <xf numFmtId="0" fontId="34" fillId="12"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4" fillId="12" borderId="0" applyNumberFormat="0" applyBorder="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34" fillId="12" borderId="0" applyNumberFormat="0" applyBorder="0" applyAlignment="0" applyProtection="0">
      <alignment vertical="center"/>
    </xf>
    <xf numFmtId="0" fontId="29" fillId="0" borderId="25" applyNumberFormat="0" applyFill="0" applyAlignment="0" applyProtection="0">
      <alignment vertical="center"/>
    </xf>
    <xf numFmtId="0" fontId="34" fillId="12" borderId="0" applyNumberFormat="0" applyBorder="0" applyAlignment="0" applyProtection="0">
      <alignment vertical="center"/>
    </xf>
    <xf numFmtId="0" fontId="29" fillId="0" borderId="25" applyNumberFormat="0" applyFill="0" applyAlignment="0" applyProtection="0">
      <alignment vertical="center"/>
    </xf>
    <xf numFmtId="0" fontId="34" fillId="12" borderId="0" applyNumberFormat="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9" fillId="2" borderId="0" applyNumberFormat="0" applyBorder="0" applyAlignment="0" applyProtection="0">
      <alignment vertical="center"/>
    </xf>
    <xf numFmtId="0" fontId="39" fillId="11" borderId="0" applyNumberFormat="0" applyBorder="0" applyAlignment="0" applyProtection="0">
      <alignment vertical="center"/>
    </xf>
    <xf numFmtId="0" fontId="39" fillId="14" borderId="0" applyNumberFormat="0" applyBorder="0" applyAlignment="0" applyProtection="0">
      <alignment vertical="center"/>
    </xf>
    <xf numFmtId="0" fontId="33" fillId="16" borderId="0" applyNumberFormat="0" applyBorder="0" applyAlignment="0" applyProtection="0">
      <alignment vertical="center"/>
    </xf>
    <xf numFmtId="0" fontId="39" fillId="8" borderId="0" applyNumberFormat="0" applyBorder="0" applyAlignment="0" applyProtection="0">
      <alignment vertical="center"/>
    </xf>
    <xf numFmtId="0" fontId="39" fillId="2"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9" fillId="4"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6" fillId="25" borderId="0" applyNumberFormat="0" applyBorder="0" applyAlignment="0" applyProtection="0">
      <alignment vertical="center"/>
    </xf>
    <xf numFmtId="0" fontId="31" fillId="4" borderId="24" applyNumberFormat="0" applyAlignment="0" applyProtection="0">
      <alignment vertical="center"/>
    </xf>
    <xf numFmtId="0" fontId="36" fillId="25" borderId="0" applyNumberFormat="0" applyBorder="0" applyAlignment="0" applyProtection="0">
      <alignment vertical="center"/>
    </xf>
    <xf numFmtId="0" fontId="26" fillId="0" borderId="0">
      <alignment vertical="center"/>
    </xf>
    <xf numFmtId="0" fontId="36" fillId="11" borderId="0" applyNumberFormat="0" applyBorder="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6" fillId="11" borderId="0" applyNumberFormat="0" applyBorder="0" applyAlignment="0" applyProtection="0">
      <alignment vertical="center"/>
    </xf>
    <xf numFmtId="0" fontId="26" fillId="0" borderId="0">
      <alignment vertical="center"/>
    </xf>
    <xf numFmtId="0" fontId="36" fillId="3" borderId="0" applyNumberFormat="0" applyBorder="0" applyAlignment="0" applyProtection="0">
      <alignment vertical="center"/>
    </xf>
    <xf numFmtId="0" fontId="36" fillId="3"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26" fillId="0" borderId="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17" fillId="13" borderId="23" applyNumberFormat="0" applyFont="0" applyAlignment="0" applyProtection="0">
      <alignment vertical="center"/>
    </xf>
    <xf numFmtId="0" fontId="17" fillId="0" borderId="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27" fillId="14"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28" fillId="15" borderId="24" applyNumberFormat="0" applyAlignment="0" applyProtection="0">
      <alignment vertical="center"/>
    </xf>
    <xf numFmtId="0" fontId="36" fillId="25"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27" fillId="14"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6" fillId="25" borderId="0" applyNumberFormat="0" applyBorder="0" applyAlignment="0" applyProtection="0">
      <alignment vertical="center"/>
    </xf>
    <xf numFmtId="0" fontId="33" fillId="16" borderId="0" applyNumberFormat="0" applyBorder="0" applyAlignment="0" applyProtection="0">
      <alignment vertical="center"/>
    </xf>
    <xf numFmtId="0" fontId="36" fillId="25" borderId="0" applyNumberFormat="0" applyBorder="0" applyAlignment="0" applyProtection="0">
      <alignment vertical="center"/>
    </xf>
    <xf numFmtId="0" fontId="33" fillId="16"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17" fillId="0" borderId="0">
      <alignment vertical="center"/>
    </xf>
    <xf numFmtId="0" fontId="36" fillId="25" borderId="0" applyNumberFormat="0" applyBorder="0" applyAlignment="0" applyProtection="0">
      <alignment vertical="center"/>
    </xf>
    <xf numFmtId="0" fontId="28" fillId="15" borderId="24" applyNumberFormat="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26" fillId="13" borderId="23" applyNumberFormat="0" applyFont="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11" borderId="0" applyNumberFormat="0" applyBorder="0" applyAlignment="0" applyProtection="0">
      <alignment vertical="center"/>
    </xf>
    <xf numFmtId="0" fontId="36" fillId="11" borderId="0" applyNumberFormat="0" applyBorder="0" applyAlignment="0" applyProtection="0">
      <alignment vertical="center"/>
    </xf>
    <xf numFmtId="0" fontId="36" fillId="11" borderId="0" applyNumberFormat="0" applyBorder="0" applyAlignment="0" applyProtection="0">
      <alignment vertical="center"/>
    </xf>
    <xf numFmtId="0" fontId="28" fillId="15" borderId="24" applyNumberFormat="0" applyAlignment="0" applyProtection="0">
      <alignment vertical="center"/>
    </xf>
    <xf numFmtId="0" fontId="36" fillId="11" borderId="0" applyNumberFormat="0" applyBorder="0" applyAlignment="0" applyProtection="0">
      <alignment vertical="center"/>
    </xf>
    <xf numFmtId="0" fontId="27" fillId="14" borderId="0" applyNumberFormat="0" applyBorder="0" applyAlignment="0" applyProtection="0">
      <alignment vertical="center"/>
    </xf>
    <xf numFmtId="0" fontId="36" fillId="11" borderId="0" applyNumberFormat="0" applyBorder="0" applyAlignment="0" applyProtection="0">
      <alignment vertical="center"/>
    </xf>
    <xf numFmtId="0" fontId="36" fillId="11" borderId="0" applyNumberFormat="0" applyBorder="0" applyAlignment="0" applyProtection="0">
      <alignment vertical="center"/>
    </xf>
    <xf numFmtId="0" fontId="27" fillId="14" borderId="0" applyNumberFormat="0" applyBorder="0" applyAlignment="0" applyProtection="0">
      <alignment vertical="center"/>
    </xf>
    <xf numFmtId="0" fontId="36" fillId="11" borderId="0" applyNumberFormat="0" applyBorder="0" applyAlignment="0" applyProtection="0">
      <alignment vertical="center"/>
    </xf>
    <xf numFmtId="0" fontId="26" fillId="0" borderId="0">
      <alignment vertical="center"/>
    </xf>
    <xf numFmtId="0" fontId="36" fillId="3" borderId="0" applyNumberFormat="0" applyBorder="0" applyAlignment="0" applyProtection="0">
      <alignment vertical="center"/>
    </xf>
    <xf numFmtId="0" fontId="36" fillId="11" borderId="0" applyNumberFormat="0" applyBorder="0" applyAlignment="0" applyProtection="0">
      <alignment vertical="center"/>
    </xf>
    <xf numFmtId="0" fontId="36" fillId="3" borderId="0" applyNumberFormat="0" applyBorder="0" applyAlignment="0" applyProtection="0">
      <alignment vertical="center"/>
    </xf>
    <xf numFmtId="0" fontId="36" fillId="11" borderId="0" applyNumberFormat="0" applyBorder="0" applyAlignment="0" applyProtection="0">
      <alignment vertical="center"/>
    </xf>
    <xf numFmtId="0" fontId="36" fillId="11" borderId="0" applyNumberFormat="0" applyBorder="0" applyAlignment="0" applyProtection="0">
      <alignment vertical="center"/>
    </xf>
    <xf numFmtId="0" fontId="36" fillId="11" borderId="0" applyNumberFormat="0" applyBorder="0" applyAlignment="0" applyProtection="0">
      <alignment vertical="center"/>
    </xf>
    <xf numFmtId="0" fontId="36" fillId="11" borderId="0" applyNumberFormat="0" applyBorder="0" applyAlignment="0" applyProtection="0">
      <alignment vertical="center"/>
    </xf>
    <xf numFmtId="0" fontId="33" fillId="16" borderId="0" applyNumberFormat="0" applyBorder="0" applyAlignment="0" applyProtection="0">
      <alignment vertical="center"/>
    </xf>
    <xf numFmtId="0" fontId="36" fillId="11" borderId="0" applyNumberFormat="0" applyBorder="0" applyAlignment="0" applyProtection="0">
      <alignment vertical="center"/>
    </xf>
    <xf numFmtId="0" fontId="36" fillId="11" borderId="0" applyNumberFormat="0" applyBorder="0" applyAlignment="0" applyProtection="0">
      <alignment vertical="center"/>
    </xf>
    <xf numFmtId="0" fontId="36" fillId="11" borderId="0" applyNumberFormat="0" applyBorder="0" applyAlignment="0" applyProtection="0">
      <alignment vertical="center"/>
    </xf>
    <xf numFmtId="0" fontId="36" fillId="11" borderId="0" applyNumberFormat="0" applyBorder="0" applyAlignment="0" applyProtection="0">
      <alignment vertical="center"/>
    </xf>
    <xf numFmtId="0" fontId="36" fillId="11" borderId="0" applyNumberFormat="0" applyBorder="0" applyAlignment="0" applyProtection="0">
      <alignment vertical="center"/>
    </xf>
    <xf numFmtId="0" fontId="36" fillId="11" borderId="0" applyNumberFormat="0" applyBorder="0" applyAlignment="0" applyProtection="0">
      <alignment vertical="center"/>
    </xf>
    <xf numFmtId="0" fontId="27" fillId="14" borderId="0" applyNumberFormat="0" applyBorder="0" applyAlignment="0" applyProtection="0">
      <alignment vertical="center"/>
    </xf>
    <xf numFmtId="0" fontId="36" fillId="11" borderId="0" applyNumberFormat="0" applyBorder="0" applyAlignment="0" applyProtection="0">
      <alignment vertical="center"/>
    </xf>
    <xf numFmtId="0" fontId="36" fillId="11" borderId="0" applyNumberFormat="0" applyBorder="0" applyAlignment="0" applyProtection="0">
      <alignment vertical="center"/>
    </xf>
    <xf numFmtId="0" fontId="26" fillId="0" borderId="0">
      <alignment vertical="center"/>
    </xf>
    <xf numFmtId="0" fontId="36" fillId="24" borderId="0" applyNumberFormat="0" applyBorder="0" applyAlignment="0" applyProtection="0">
      <alignment vertical="center"/>
    </xf>
    <xf numFmtId="0" fontId="36" fillId="11" borderId="0" applyNumberFormat="0" applyBorder="0" applyAlignment="0" applyProtection="0">
      <alignment vertical="center"/>
    </xf>
    <xf numFmtId="0" fontId="36" fillId="11" borderId="0" applyNumberFormat="0" applyBorder="0" applyAlignment="0" applyProtection="0">
      <alignment vertical="center"/>
    </xf>
    <xf numFmtId="0" fontId="26" fillId="13" borderId="23" applyNumberFormat="0" applyFont="0" applyAlignment="0" applyProtection="0">
      <alignment vertical="center"/>
    </xf>
    <xf numFmtId="0" fontId="36" fillId="11" borderId="0" applyNumberFormat="0" applyBorder="0" applyAlignment="0" applyProtection="0">
      <alignment vertical="center"/>
    </xf>
    <xf numFmtId="0" fontId="27" fillId="14" borderId="0" applyNumberFormat="0" applyBorder="0" applyAlignment="0" applyProtection="0">
      <alignment vertical="center"/>
    </xf>
    <xf numFmtId="0" fontId="36" fillId="11" borderId="0" applyNumberFormat="0" applyBorder="0" applyAlignment="0" applyProtection="0">
      <alignment vertical="center"/>
    </xf>
    <xf numFmtId="0" fontId="36" fillId="11" borderId="0" applyNumberFormat="0" applyBorder="0" applyAlignment="0" applyProtection="0">
      <alignment vertical="center"/>
    </xf>
    <xf numFmtId="0" fontId="36" fillId="11" borderId="0" applyNumberFormat="0" applyBorder="0" applyAlignment="0" applyProtection="0">
      <alignment vertical="center"/>
    </xf>
    <xf numFmtId="0" fontId="36" fillId="3"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6" fillId="3" borderId="0" applyNumberFormat="0" applyBorder="0" applyAlignment="0" applyProtection="0">
      <alignment vertical="center"/>
    </xf>
    <xf numFmtId="0" fontId="26" fillId="0" borderId="0">
      <alignment vertical="center"/>
    </xf>
    <xf numFmtId="0" fontId="26" fillId="0" borderId="0">
      <alignment vertical="center"/>
    </xf>
    <xf numFmtId="0" fontId="36" fillId="3"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6" fillId="3" borderId="0" applyNumberFormat="0" applyBorder="0" applyAlignment="0" applyProtection="0">
      <alignment vertical="center"/>
    </xf>
    <xf numFmtId="0" fontId="26" fillId="0" borderId="0">
      <alignment vertical="center"/>
    </xf>
    <xf numFmtId="0" fontId="36" fillId="3"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6" fillId="3"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6" fillId="3" borderId="0" applyNumberFormat="0" applyBorder="0" applyAlignment="0" applyProtection="0">
      <alignment vertical="center"/>
    </xf>
    <xf numFmtId="0" fontId="26" fillId="0" borderId="0">
      <alignment vertical="center"/>
    </xf>
    <xf numFmtId="0" fontId="26" fillId="0" borderId="0">
      <alignment vertical="center"/>
    </xf>
    <xf numFmtId="0" fontId="36" fillId="3" borderId="0" applyNumberFormat="0" applyBorder="0" applyAlignment="0" applyProtection="0">
      <alignment vertical="center"/>
    </xf>
    <xf numFmtId="0" fontId="26" fillId="0" borderId="0">
      <alignment vertical="center"/>
    </xf>
    <xf numFmtId="0" fontId="26" fillId="0" borderId="0">
      <alignment vertical="center"/>
    </xf>
    <xf numFmtId="0" fontId="36" fillId="3" borderId="0" applyNumberFormat="0" applyBorder="0" applyAlignment="0" applyProtection="0">
      <alignment vertical="center"/>
    </xf>
    <xf numFmtId="0" fontId="36" fillId="3"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6" fillId="3" borderId="0" applyNumberFormat="0" applyBorder="0" applyAlignment="0" applyProtection="0">
      <alignment vertical="center"/>
    </xf>
    <xf numFmtId="0" fontId="26" fillId="0" borderId="0">
      <alignment vertical="center"/>
    </xf>
    <xf numFmtId="0" fontId="26" fillId="0" borderId="0">
      <alignment vertical="center"/>
    </xf>
    <xf numFmtId="0" fontId="36" fillId="3" borderId="0" applyNumberFormat="0" applyBorder="0" applyAlignment="0" applyProtection="0">
      <alignment vertical="center"/>
    </xf>
    <xf numFmtId="0" fontId="26" fillId="0" borderId="0">
      <alignment vertical="center"/>
    </xf>
    <xf numFmtId="0" fontId="26" fillId="0" borderId="0">
      <alignment vertical="center"/>
    </xf>
    <xf numFmtId="0" fontId="36" fillId="3" borderId="0" applyNumberFormat="0" applyBorder="0" applyAlignment="0" applyProtection="0">
      <alignment vertical="center"/>
    </xf>
    <xf numFmtId="0" fontId="26" fillId="0" borderId="0">
      <alignment vertical="center"/>
    </xf>
    <xf numFmtId="0" fontId="26" fillId="0" borderId="0">
      <alignment vertical="center"/>
    </xf>
    <xf numFmtId="0" fontId="36" fillId="3" borderId="0" applyNumberFormat="0" applyBorder="0" applyAlignment="0" applyProtection="0">
      <alignment vertical="center"/>
    </xf>
    <xf numFmtId="0" fontId="26" fillId="0" borderId="0">
      <alignment vertical="center"/>
    </xf>
    <xf numFmtId="0" fontId="26" fillId="0" borderId="0">
      <alignment vertical="center"/>
    </xf>
    <xf numFmtId="0" fontId="36" fillId="3" borderId="0" applyNumberFormat="0" applyBorder="0" applyAlignment="0" applyProtection="0">
      <alignment vertical="center"/>
    </xf>
    <xf numFmtId="0" fontId="36" fillId="3" borderId="0" applyNumberFormat="0" applyBorder="0" applyAlignment="0" applyProtection="0">
      <alignment vertical="center"/>
    </xf>
    <xf numFmtId="0" fontId="36" fillId="3" borderId="0" applyNumberFormat="0" applyBorder="0" applyAlignment="0" applyProtection="0">
      <alignment vertical="center"/>
    </xf>
    <xf numFmtId="0" fontId="36" fillId="3" borderId="0" applyNumberFormat="0" applyBorder="0" applyAlignment="0" applyProtection="0">
      <alignment vertical="center"/>
    </xf>
    <xf numFmtId="0" fontId="36" fillId="3" borderId="0" applyNumberFormat="0" applyBorder="0" applyAlignment="0" applyProtection="0">
      <alignment vertical="center"/>
    </xf>
    <xf numFmtId="0" fontId="33" fillId="16" borderId="0" applyNumberFormat="0" applyBorder="0" applyAlignment="0" applyProtection="0">
      <alignment vertical="center"/>
    </xf>
    <xf numFmtId="0" fontId="36" fillId="3" borderId="0" applyNumberFormat="0" applyBorder="0" applyAlignment="0" applyProtection="0">
      <alignment vertical="center"/>
    </xf>
    <xf numFmtId="0" fontId="36" fillId="3" borderId="0" applyNumberFormat="0" applyBorder="0" applyAlignment="0" applyProtection="0">
      <alignment vertical="center"/>
    </xf>
    <xf numFmtId="0" fontId="36" fillId="3"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26" fillId="0" borderId="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26" fillId="0" borderId="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26" fillId="0" borderId="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26" fillId="0" borderId="0">
      <alignment vertical="center"/>
    </xf>
    <xf numFmtId="0" fontId="36" fillId="24" borderId="0" applyNumberFormat="0" applyBorder="0" applyAlignment="0" applyProtection="0">
      <alignment vertical="center"/>
    </xf>
    <xf numFmtId="0" fontId="28" fillId="15" borderId="24" applyNumberFormat="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10" borderId="0" applyNumberFormat="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36" fillId="10" borderId="0" applyNumberFormat="0" applyBorder="0" applyAlignment="0" applyProtection="0">
      <alignment vertical="center"/>
    </xf>
    <xf numFmtId="0" fontId="26" fillId="0" borderId="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28" fillId="15" borderId="24" applyNumberFormat="0" applyAlignment="0" applyProtection="0">
      <alignment vertical="center"/>
    </xf>
    <xf numFmtId="0" fontId="36" fillId="10" borderId="0" applyNumberFormat="0" applyBorder="0" applyAlignment="0" applyProtection="0">
      <alignment vertical="center"/>
    </xf>
    <xf numFmtId="0" fontId="33" fillId="16" borderId="0" applyNumberFormat="0" applyBorder="0" applyAlignment="0" applyProtection="0">
      <alignment vertical="center"/>
    </xf>
    <xf numFmtId="0" fontId="36" fillId="10"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6" fillId="10"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6" fillId="10"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6" fillId="10" borderId="0" applyNumberFormat="0" applyBorder="0" applyAlignment="0" applyProtection="0">
      <alignment vertical="center"/>
    </xf>
    <xf numFmtId="0" fontId="33" fillId="16" borderId="0" applyNumberFormat="0" applyBorder="0" applyAlignment="0" applyProtection="0">
      <alignment vertical="center"/>
    </xf>
    <xf numFmtId="0" fontId="36" fillId="10"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58" fillId="16" borderId="0" applyNumberFormat="0" applyBorder="0" applyAlignment="0" applyProtection="0">
      <alignment vertical="center"/>
    </xf>
    <xf numFmtId="0" fontId="36" fillId="20"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33" fillId="16" borderId="0" applyNumberFormat="0" applyBorder="0" applyAlignment="0" applyProtection="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26" fillId="0" borderId="0">
      <alignment vertical="center"/>
    </xf>
    <xf numFmtId="0" fontId="38" fillId="0" borderId="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26" fillId="0" borderId="0">
      <alignment vertical="center"/>
    </xf>
    <xf numFmtId="0" fontId="26" fillId="0" borderId="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33" fillId="16" borderId="0" applyNumberFormat="0" applyBorder="0" applyAlignment="0" applyProtection="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26" fillId="0" borderId="0">
      <alignment vertical="center"/>
    </xf>
    <xf numFmtId="0" fontId="37" fillId="2" borderId="0" applyNumberFormat="0" applyBorder="0" applyAlignment="0" applyProtection="0">
      <alignment vertical="center"/>
    </xf>
    <xf numFmtId="0" fontId="33" fillId="16" borderId="0" applyNumberFormat="0" applyBorder="0" applyAlignment="0" applyProtection="0">
      <alignment vertical="center"/>
    </xf>
    <xf numFmtId="0" fontId="37" fillId="11" borderId="0" applyNumberFormat="0" applyBorder="0" applyAlignment="0" applyProtection="0">
      <alignment vertical="center"/>
    </xf>
    <xf numFmtId="0" fontId="37" fillId="14" borderId="0" applyNumberFormat="0" applyBorder="0" applyAlignment="0" applyProtection="0">
      <alignment vertical="center"/>
    </xf>
    <xf numFmtId="0" fontId="37" fillId="8" borderId="0" applyNumberFormat="0" applyBorder="0" applyAlignment="0" applyProtection="0">
      <alignment vertical="center"/>
    </xf>
    <xf numFmtId="0" fontId="37" fillId="2" borderId="0" applyNumberFormat="0" applyBorder="0" applyAlignment="0" applyProtection="0">
      <alignment vertical="center"/>
    </xf>
    <xf numFmtId="0" fontId="37" fillId="4" borderId="0" applyNumberFormat="0" applyBorder="0" applyAlignment="0" applyProtection="0">
      <alignment vertical="center"/>
    </xf>
    <xf numFmtId="0" fontId="24" fillId="17" borderId="0" applyNumberFormat="0" applyBorder="0" applyAlignment="0" applyProtection="0">
      <alignment vertical="center"/>
    </xf>
    <xf numFmtId="0" fontId="24" fillId="17" borderId="0" applyNumberFormat="0" applyBorder="0" applyAlignment="0" applyProtection="0">
      <alignment vertical="center"/>
    </xf>
    <xf numFmtId="0" fontId="24" fillId="17" borderId="0" applyNumberFormat="0" applyBorder="0" applyAlignment="0" applyProtection="0">
      <alignment vertical="center"/>
    </xf>
    <xf numFmtId="0" fontId="24" fillId="17" borderId="0" applyNumberFormat="0" applyBorder="0" applyAlignment="0" applyProtection="0">
      <alignment vertical="center"/>
    </xf>
    <xf numFmtId="0" fontId="33" fillId="16" borderId="0" applyNumberFormat="0" applyBorder="0" applyAlignment="0" applyProtection="0">
      <alignment vertical="center"/>
    </xf>
    <xf numFmtId="0" fontId="40" fillId="2" borderId="0" applyNumberFormat="0" applyBorder="0" applyAlignment="0" applyProtection="0">
      <alignment vertical="center"/>
    </xf>
    <xf numFmtId="0" fontId="40" fillId="2" borderId="0" applyNumberFormat="0" applyBorder="0" applyAlignment="0" applyProtection="0">
      <alignment vertical="center"/>
    </xf>
    <xf numFmtId="0" fontId="29" fillId="0" borderId="25" applyNumberFormat="0" applyFill="0" applyAlignment="0" applyProtection="0">
      <alignment vertical="center"/>
    </xf>
    <xf numFmtId="0" fontId="36" fillId="28"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40" fillId="27" borderId="0" applyNumberFormat="0" applyBorder="0" applyAlignment="0" applyProtection="0">
      <alignment vertical="center"/>
    </xf>
    <xf numFmtId="0" fontId="26" fillId="13" borderId="23" applyNumberFormat="0" applyFont="0" applyAlignment="0" applyProtection="0">
      <alignment vertical="center"/>
    </xf>
    <xf numFmtId="0" fontId="40" fillId="27" borderId="0" applyNumberFormat="0" applyBorder="0" applyAlignment="0" applyProtection="0">
      <alignment vertical="center"/>
    </xf>
    <xf numFmtId="0" fontId="28" fillId="15" borderId="24" applyNumberFormat="0" applyAlignment="0" applyProtection="0">
      <alignment vertical="center"/>
    </xf>
    <xf numFmtId="0" fontId="36" fillId="9" borderId="0" applyNumberFormat="0" applyBorder="0" applyAlignment="0" applyProtection="0">
      <alignment vertical="center"/>
    </xf>
    <xf numFmtId="0" fontId="24" fillId="13" borderId="0" applyNumberFormat="0" applyBorder="0" applyAlignment="0" applyProtection="0">
      <alignment vertical="center"/>
    </xf>
    <xf numFmtId="0" fontId="24" fillId="13" borderId="0" applyNumberFormat="0" applyBorder="0" applyAlignment="0" applyProtection="0">
      <alignment vertical="center"/>
    </xf>
    <xf numFmtId="0" fontId="24" fillId="15" borderId="0" applyNumberFormat="0" applyBorder="0" applyAlignment="0" applyProtection="0">
      <alignment vertical="center"/>
    </xf>
    <xf numFmtId="0" fontId="29" fillId="0" borderId="25" applyNumberFormat="0" applyFill="0" applyAlignment="0" applyProtection="0">
      <alignment vertical="center"/>
    </xf>
    <xf numFmtId="0" fontId="24" fillId="15" borderId="0" applyNumberFormat="0" applyBorder="0" applyAlignment="0" applyProtection="0">
      <alignment vertical="center"/>
    </xf>
    <xf numFmtId="0" fontId="33" fillId="16" borderId="0" applyNumberFormat="0" applyBorder="0" applyAlignment="0" applyProtection="0">
      <alignment vertical="center"/>
    </xf>
    <xf numFmtId="0" fontId="40" fillId="21" borderId="0" applyNumberFormat="0" applyBorder="0" applyAlignment="0" applyProtection="0">
      <alignment vertical="center"/>
    </xf>
    <xf numFmtId="0" fontId="29" fillId="0" borderId="25" applyNumberFormat="0" applyFill="0" applyAlignment="0" applyProtection="0">
      <alignment vertical="center"/>
    </xf>
    <xf numFmtId="0" fontId="40" fillId="21" borderId="0" applyNumberFormat="0" applyBorder="0" applyAlignment="0" applyProtection="0">
      <alignment vertical="center"/>
    </xf>
    <xf numFmtId="0" fontId="36" fillId="9" borderId="0" applyNumberFormat="0" applyBorder="0" applyAlignment="0" applyProtection="0">
      <alignment vertical="center"/>
    </xf>
    <xf numFmtId="0" fontId="40" fillId="30" borderId="0" applyNumberFormat="0" applyBorder="0" applyAlignment="0" applyProtection="0">
      <alignment vertical="center"/>
    </xf>
    <xf numFmtId="0" fontId="40" fillId="30" borderId="0" applyNumberFormat="0" applyBorder="0" applyAlignment="0" applyProtection="0">
      <alignment vertical="center"/>
    </xf>
    <xf numFmtId="0" fontId="36" fillId="29" borderId="0" applyNumberFormat="0" applyBorder="0" applyAlignment="0" applyProtection="0">
      <alignment vertical="center"/>
    </xf>
    <xf numFmtId="0" fontId="33" fillId="16" borderId="0" applyNumberFormat="0" applyBorder="0" applyAlignment="0" applyProtection="0">
      <alignment vertical="center"/>
    </xf>
    <xf numFmtId="0" fontId="24" fillId="13" borderId="0" applyNumberFormat="0" applyBorder="0" applyAlignment="0" applyProtection="0">
      <alignment vertical="center"/>
    </xf>
    <xf numFmtId="0" fontId="33" fillId="16" borderId="0" applyNumberFormat="0" applyBorder="0" applyAlignment="0" applyProtection="0">
      <alignment vertical="center"/>
    </xf>
    <xf numFmtId="0" fontId="24" fillId="13" borderId="0" applyNumberFormat="0" applyBorder="0" applyAlignment="0" applyProtection="0">
      <alignment vertical="center"/>
    </xf>
    <xf numFmtId="0" fontId="26" fillId="13" borderId="23" applyNumberFormat="0" applyFont="0" applyAlignment="0" applyProtection="0">
      <alignment vertical="center"/>
    </xf>
    <xf numFmtId="0" fontId="24" fillId="14" borderId="0" applyNumberFormat="0" applyBorder="0" applyAlignment="0" applyProtection="0">
      <alignment vertical="center"/>
    </xf>
    <xf numFmtId="0" fontId="26" fillId="13" borderId="23" applyNumberFormat="0" applyFont="0" applyAlignment="0" applyProtection="0">
      <alignment vertical="center"/>
    </xf>
    <xf numFmtId="0" fontId="24" fillId="14" borderId="0" applyNumberFormat="0" applyBorder="0" applyAlignment="0" applyProtection="0">
      <alignment vertical="center"/>
    </xf>
    <xf numFmtId="0" fontId="40" fillId="15" borderId="0" applyNumberFormat="0" applyBorder="0" applyAlignment="0" applyProtection="0">
      <alignment vertical="center"/>
    </xf>
    <xf numFmtId="0" fontId="27" fillId="14" borderId="0" applyNumberFormat="0" applyBorder="0" applyAlignment="0" applyProtection="0">
      <alignment vertical="center"/>
    </xf>
    <xf numFmtId="0" fontId="40" fillId="15" borderId="0" applyNumberFormat="0" applyBorder="0" applyAlignment="0" applyProtection="0">
      <alignment vertical="center"/>
    </xf>
    <xf numFmtId="0" fontId="36" fillId="29" borderId="0" applyNumberFormat="0" applyBorder="0" applyAlignment="0" applyProtection="0">
      <alignment vertical="center"/>
    </xf>
    <xf numFmtId="0" fontId="40" fillId="21" borderId="0" applyNumberFormat="0" applyBorder="0" applyAlignment="0" applyProtection="0">
      <alignment vertical="center"/>
    </xf>
    <xf numFmtId="0" fontId="40" fillId="21" borderId="0" applyNumberFormat="0" applyBorder="0" applyAlignment="0" applyProtection="0">
      <alignment vertical="center"/>
    </xf>
    <xf numFmtId="0" fontId="36" fillId="24" borderId="0" applyNumberFormat="0" applyBorder="0" applyAlignment="0" applyProtection="0">
      <alignment vertical="center"/>
    </xf>
    <xf numFmtId="0" fontId="26" fillId="0" borderId="0">
      <alignment vertical="center"/>
    </xf>
    <xf numFmtId="0" fontId="24" fillId="17" borderId="0" applyNumberFormat="0" applyBorder="0" applyAlignment="0" applyProtection="0">
      <alignment vertical="center"/>
    </xf>
    <xf numFmtId="0" fontId="24" fillId="17" borderId="0" applyNumberFormat="0" applyBorder="0" applyAlignment="0" applyProtection="0">
      <alignment vertical="center"/>
    </xf>
    <xf numFmtId="0" fontId="24" fillId="15" borderId="0" applyNumberFormat="0" applyBorder="0" applyAlignment="0" applyProtection="0">
      <alignment vertical="center"/>
    </xf>
    <xf numFmtId="0" fontId="24" fillId="15" borderId="0" applyNumberFormat="0" applyBorder="0" applyAlignment="0" applyProtection="0">
      <alignment vertical="center"/>
    </xf>
    <xf numFmtId="0" fontId="40" fillId="15" borderId="0" applyNumberFormat="0" applyBorder="0" applyAlignment="0" applyProtection="0">
      <alignment vertical="center"/>
    </xf>
    <xf numFmtId="0" fontId="40" fillId="15" borderId="0" applyNumberFormat="0" applyBorder="0" applyAlignment="0" applyProtection="0">
      <alignment vertical="center"/>
    </xf>
    <xf numFmtId="0" fontId="36" fillId="24" borderId="0" applyNumberFormat="0" applyBorder="0" applyAlignment="0" applyProtection="0">
      <alignment vertical="center"/>
    </xf>
    <xf numFmtId="0" fontId="40" fillId="27" borderId="0" applyNumberFormat="0" applyBorder="0" applyAlignment="0" applyProtection="0">
      <alignment vertical="center"/>
    </xf>
    <xf numFmtId="0" fontId="40" fillId="27" borderId="0" applyNumberFormat="0" applyBorder="0" applyAlignment="0" applyProtection="0">
      <alignment vertical="center"/>
    </xf>
    <xf numFmtId="0" fontId="36" fillId="10" borderId="0" applyNumberFormat="0" applyBorder="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24" fillId="18" borderId="0" applyNumberFormat="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4" fillId="18" borderId="0" applyNumberFormat="0" applyBorder="0" applyAlignment="0" applyProtection="0">
      <alignment vertical="center"/>
    </xf>
    <xf numFmtId="0" fontId="24" fillId="17" borderId="0" applyNumberFormat="0" applyBorder="0" applyAlignment="0" applyProtection="0">
      <alignment vertical="center"/>
    </xf>
    <xf numFmtId="0" fontId="24" fillId="17" borderId="0" applyNumberFormat="0" applyBorder="0" applyAlignment="0" applyProtection="0">
      <alignment vertical="center"/>
    </xf>
    <xf numFmtId="0" fontId="40" fillId="2" borderId="0" applyNumberFormat="0" applyBorder="0" applyAlignment="0" applyProtection="0">
      <alignment vertical="center"/>
    </xf>
    <xf numFmtId="0" fontId="26" fillId="0" borderId="0">
      <alignment vertical="center"/>
    </xf>
    <xf numFmtId="0" fontId="40" fillId="2" borderId="0" applyNumberFormat="0" applyBorder="0" applyAlignment="0" applyProtection="0">
      <alignment vertical="center"/>
    </xf>
    <xf numFmtId="0" fontId="36" fillId="10" borderId="0" applyNumberFormat="0" applyBorder="0" applyAlignment="0" applyProtection="0">
      <alignment vertical="center"/>
    </xf>
    <xf numFmtId="0" fontId="40" fillId="10"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40" fillId="10" borderId="0" applyNumberFormat="0" applyBorder="0" applyAlignment="0" applyProtection="0">
      <alignment vertical="center"/>
    </xf>
    <xf numFmtId="0" fontId="36" fillId="19" borderId="0" applyNumberFormat="0" applyBorder="0" applyAlignment="0" applyProtection="0">
      <alignment vertical="center"/>
    </xf>
    <xf numFmtId="0" fontId="33" fillId="16" borderId="0" applyNumberFormat="0" applyBorder="0" applyAlignment="0" applyProtection="0">
      <alignment vertical="center"/>
    </xf>
    <xf numFmtId="0" fontId="24" fillId="13" borderId="0" applyNumberFormat="0" applyBorder="0" applyAlignment="0" applyProtection="0">
      <alignment vertical="center"/>
    </xf>
    <xf numFmtId="0" fontId="33" fillId="16" borderId="0" applyNumberFormat="0" applyBorder="0" applyAlignment="0" applyProtection="0">
      <alignment vertical="center"/>
    </xf>
    <xf numFmtId="0" fontId="24" fillId="4" borderId="0" applyNumberFormat="0" applyBorder="0" applyAlignment="0" applyProtection="0">
      <alignment vertical="center"/>
    </xf>
    <xf numFmtId="0" fontId="36" fillId="19" borderId="0" applyNumberFormat="0" applyBorder="0" applyAlignment="0" applyProtection="0">
      <alignment vertical="center"/>
    </xf>
    <xf numFmtId="0" fontId="40" fillId="20" borderId="0" applyNumberFormat="0" applyBorder="0" applyAlignment="0" applyProtection="0">
      <alignment vertical="center"/>
    </xf>
    <xf numFmtId="0" fontId="40" fillId="20"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0" borderId="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17" fillId="0" borderId="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44" fillId="0" borderId="29"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51" fillId="0" borderId="30" applyNumberFormat="0" applyFill="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46" fillId="23"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4" fillId="0" borderId="0">
      <alignment vertical="center"/>
    </xf>
    <xf numFmtId="0" fontId="34" fillId="0" borderId="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179" fontId="17"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28" borderId="0" applyNumberFormat="0" applyBorder="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pplyNumberFormat="0" applyFill="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7" fillId="0" borderId="0">
      <alignment vertical="center"/>
    </xf>
    <xf numFmtId="0" fontId="32" fillId="0" borderId="0" applyNumberFormat="0" applyFill="0" applyBorder="0" applyAlignment="0" applyProtection="0">
      <alignment vertical="top"/>
      <protection locked="0"/>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6" fillId="28"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6" fillId="28"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28"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28" borderId="0" applyNumberFormat="0" applyBorder="0" applyAlignment="0" applyProtection="0">
      <alignment vertical="center"/>
    </xf>
    <xf numFmtId="0" fontId="17"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56" fillId="0" borderId="31"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56" fillId="0" borderId="31"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56" fillId="0" borderId="31"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56" fillId="0" borderId="31"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59"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46" fillId="23"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31" fillId="4" borderId="24" applyNumberFormat="0" applyAlignment="0" applyProtection="0">
      <alignment vertical="center"/>
    </xf>
    <xf numFmtId="0" fontId="34" fillId="0" borderId="0">
      <alignment vertical="center"/>
    </xf>
    <xf numFmtId="0" fontId="34" fillId="0" borderId="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8" fillId="15" borderId="24"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9" fillId="0" borderId="0">
      <alignment vertical="center"/>
    </xf>
    <xf numFmtId="0" fontId="28" fillId="15" borderId="24" applyNumberFormat="0" applyAlignment="0" applyProtection="0">
      <alignment vertical="center"/>
    </xf>
    <xf numFmtId="0" fontId="26" fillId="0" borderId="0">
      <alignment vertical="center"/>
    </xf>
    <xf numFmtId="0" fontId="39" fillId="0" borderId="0">
      <alignment vertical="center"/>
    </xf>
    <xf numFmtId="0" fontId="28" fillId="15" borderId="24" applyNumberFormat="0" applyAlignment="0" applyProtection="0">
      <alignment vertical="center"/>
    </xf>
    <xf numFmtId="0" fontId="39" fillId="0" borderId="0">
      <alignment vertical="center"/>
    </xf>
    <xf numFmtId="0" fontId="28" fillId="15" borderId="24" applyNumberFormat="0" applyAlignment="0" applyProtection="0">
      <alignment vertical="center"/>
    </xf>
    <xf numFmtId="0" fontId="39" fillId="0" borderId="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9" fillId="0" borderId="0">
      <alignment vertical="center"/>
    </xf>
    <xf numFmtId="0" fontId="28" fillId="15" borderId="24" applyNumberFormat="0" applyAlignment="0" applyProtection="0">
      <alignment vertical="center"/>
    </xf>
    <xf numFmtId="0" fontId="39"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4" fillId="0" borderId="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6" fillId="0" borderId="0">
      <alignment vertical="top"/>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4"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28"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6" fillId="28"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6" fillId="28"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6" fillId="28"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9"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4" fillId="0" borderId="0">
      <alignment vertical="center"/>
    </xf>
    <xf numFmtId="0" fontId="34"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29"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0" borderId="0">
      <alignment vertical="center"/>
    </xf>
    <xf numFmtId="0" fontId="17" fillId="0" borderId="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29"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29"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6" fillId="29"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6" fillId="29"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36" fillId="2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2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2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24" borderId="0" applyNumberFormat="0" applyBorder="0" applyAlignment="0" applyProtection="0">
      <alignment vertical="center"/>
    </xf>
    <xf numFmtId="0" fontId="28" fillId="15" borderId="24" applyNumberFormat="0" applyAlignment="0" applyProtection="0">
      <alignment vertical="center"/>
    </xf>
    <xf numFmtId="0" fontId="34" fillId="0" borderId="0">
      <alignment vertical="center"/>
    </xf>
    <xf numFmtId="0" fontId="34" fillId="0" borderId="0">
      <alignment vertical="center"/>
    </xf>
    <xf numFmtId="0" fontId="26" fillId="0" borderId="0">
      <alignment vertical="center"/>
    </xf>
    <xf numFmtId="0" fontId="28" fillId="15" borderId="24" applyNumberFormat="0" applyAlignment="0" applyProtection="0">
      <alignment vertical="center"/>
    </xf>
    <xf numFmtId="0" fontId="36" fillId="10"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6" fillId="10"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10"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10"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36" fillId="19"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4" fillId="0" borderId="0">
      <alignment vertical="center"/>
    </xf>
    <xf numFmtId="0" fontId="28" fillId="15"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4" fillId="0" borderId="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34" fillId="0" borderId="0">
      <alignment vertical="center"/>
    </xf>
    <xf numFmtId="0" fontId="34"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50" fillId="0" borderId="0" applyNumberForma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0" borderId="0">
      <alignment vertical="center"/>
    </xf>
    <xf numFmtId="0" fontId="34"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28"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4"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17" fillId="0" borderId="0">
      <alignment vertical="center"/>
    </xf>
    <xf numFmtId="0" fontId="28" fillId="15" borderId="24" applyNumberFormat="0" applyAlignment="0" applyProtection="0">
      <alignment vertical="center"/>
    </xf>
    <xf numFmtId="0" fontId="34"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43" fillId="21" borderId="28" applyNumberFormat="0" applyAlignment="0" applyProtection="0">
      <alignment vertical="center"/>
    </xf>
    <xf numFmtId="0" fontId="43" fillId="21" borderId="28" applyNumberFormat="0" applyAlignment="0" applyProtection="0">
      <alignment vertical="center"/>
    </xf>
    <xf numFmtId="0" fontId="61" fillId="0" borderId="0" applyNumberFormat="0" applyFill="0" applyBorder="0" applyAlignment="0" applyProtection="0">
      <alignment vertical="center"/>
    </xf>
    <xf numFmtId="0" fontId="29" fillId="0" borderId="25" applyNumberFormat="0" applyFill="0" applyAlignment="0" applyProtection="0">
      <alignment vertical="center"/>
    </xf>
    <xf numFmtId="176" fontId="26" fillId="0" borderId="0" applyFont="0" applyFill="0" applyBorder="0" applyAlignment="0" applyProtection="0">
      <alignment vertical="center"/>
    </xf>
    <xf numFmtId="0" fontId="36" fillId="24" borderId="0" applyNumberFormat="0" applyBorder="0" applyAlignment="0" applyProtection="0">
      <alignment vertical="center"/>
    </xf>
    <xf numFmtId="0" fontId="48" fillId="0" borderId="0" applyNumberFormat="0" applyFill="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41" fillId="0" borderId="27" applyNumberFormat="0" applyFill="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44" fillId="0" borderId="29" applyNumberFormat="0" applyFill="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51" fillId="0" borderId="30" applyNumberFormat="0" applyFill="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51" fillId="0" borderId="0" applyNumberForma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6" fillId="2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6" fillId="2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6" fillId="24" borderId="0" applyNumberFormat="0" applyBorder="0" applyAlignment="0" applyProtection="0">
      <alignment vertical="center"/>
    </xf>
    <xf numFmtId="43" fontId="17"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6" fillId="10"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2" fillId="0" borderId="0" applyNumberFormat="0" applyFill="0" applyBorder="0" applyAlignment="0" applyProtection="0">
      <alignment vertical="top"/>
      <protection locked="0"/>
    </xf>
    <xf numFmtId="0" fontId="31" fillId="4" borderId="24" applyNumberFormat="0" applyAlignment="0" applyProtection="0">
      <alignment vertical="center"/>
    </xf>
    <xf numFmtId="0" fontId="31" fillId="4" borderId="24" applyNumberFormat="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17"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4"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6" fillId="9"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4" fillId="0" borderId="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17" fillId="0" borderId="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46" fillId="11"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2" fillId="0" borderId="0" applyNumberFormat="0" applyFill="0" applyBorder="0" applyAlignment="0" applyProtection="0">
      <alignment vertical="top"/>
      <protection locked="0"/>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43" fontId="17" fillId="0" borderId="0" applyFont="0" applyFill="0" applyBorder="0" applyAlignment="0" applyProtection="0">
      <alignment vertical="center"/>
    </xf>
    <xf numFmtId="0" fontId="31" fillId="4" borderId="24" applyNumberFormat="0" applyAlignment="0" applyProtection="0">
      <alignment vertical="center"/>
    </xf>
    <xf numFmtId="43" fontId="17" fillId="0" borderId="0" applyFont="0" applyFill="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43" fontId="17" fillId="0" borderId="0" applyFont="0" applyFill="0" applyBorder="0" applyAlignment="0" applyProtection="0">
      <alignment vertical="center"/>
    </xf>
    <xf numFmtId="0" fontId="31" fillId="4" borderId="24" applyNumberFormat="0" applyAlignment="0" applyProtection="0">
      <alignment vertical="center"/>
    </xf>
    <xf numFmtId="43" fontId="17" fillId="0" borderId="0" applyFont="0" applyFill="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43" fontId="17"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4"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pplyNumberForma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43" fontId="17" fillId="0" borderId="0" applyFont="0" applyFill="0" applyBorder="0" applyAlignment="0" applyProtection="0">
      <alignment vertical="center"/>
    </xf>
    <xf numFmtId="0" fontId="28" fillId="15" borderId="24" applyNumberFormat="0" applyAlignment="0" applyProtection="0">
      <alignment vertical="center"/>
    </xf>
    <xf numFmtId="0" fontId="26" fillId="0" borderId="0" applyNumberFormat="0" applyFill="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8"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8" fillId="0" borderId="0">
      <alignment vertical="center"/>
    </xf>
    <xf numFmtId="0" fontId="38"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6" fillId="10"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8" fillId="0" borderId="0">
      <alignment vertical="center"/>
    </xf>
    <xf numFmtId="0" fontId="38"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4" fillId="0" borderId="0">
      <alignment vertical="center"/>
    </xf>
    <xf numFmtId="0" fontId="38" fillId="0" borderId="0">
      <alignment vertical="center"/>
    </xf>
    <xf numFmtId="0" fontId="38"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4"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8" fillId="0" borderId="0">
      <alignment vertical="center"/>
    </xf>
    <xf numFmtId="0" fontId="39" fillId="0" borderId="0">
      <alignment vertical="center"/>
    </xf>
    <xf numFmtId="0" fontId="31" fillId="4" borderId="24" applyNumberFormat="0" applyAlignment="0" applyProtection="0">
      <alignment vertical="center"/>
    </xf>
    <xf numFmtId="0" fontId="38" fillId="0" borderId="0">
      <alignment vertical="center"/>
    </xf>
    <xf numFmtId="0" fontId="39" fillId="0" borderId="0">
      <alignment vertical="center"/>
    </xf>
    <xf numFmtId="0" fontId="31" fillId="4" borderId="24" applyNumberFormat="0" applyAlignment="0" applyProtection="0">
      <alignment vertical="center"/>
    </xf>
    <xf numFmtId="0" fontId="39" fillId="0" borderId="0">
      <alignment vertical="center"/>
    </xf>
    <xf numFmtId="0" fontId="17" fillId="0" borderId="0">
      <alignment vertical="center"/>
    </xf>
    <xf numFmtId="0" fontId="31" fillId="4" borderId="24" applyNumberFormat="0" applyAlignment="0" applyProtection="0">
      <alignment vertical="center"/>
    </xf>
    <xf numFmtId="0" fontId="39" fillId="0" borderId="0">
      <alignment vertical="center"/>
    </xf>
    <xf numFmtId="0" fontId="17"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56" fillId="0" borderId="31" applyNumberFormat="0" applyFill="0" applyAlignment="0" applyProtection="0">
      <alignment vertical="center"/>
    </xf>
    <xf numFmtId="0" fontId="46" fillId="23" borderId="0" applyNumberFormat="0" applyBorder="0" applyAlignment="0" applyProtection="0">
      <alignment vertical="center"/>
    </xf>
    <xf numFmtId="0" fontId="29" fillId="0" borderId="25" applyNumberFormat="0" applyFill="0" applyAlignment="0" applyProtection="0">
      <alignment vertical="center"/>
    </xf>
    <xf numFmtId="0" fontId="46" fillId="23" borderId="0" applyNumberFormat="0" applyBorder="0" applyAlignment="0" applyProtection="0">
      <alignment vertical="center"/>
    </xf>
    <xf numFmtId="0" fontId="28" fillId="15" borderId="24" applyNumberFormat="0" applyAlignment="0" applyProtection="0">
      <alignment vertical="center"/>
    </xf>
    <xf numFmtId="0" fontId="44" fillId="0" borderId="29" applyNumberFormat="0" applyFill="0" applyAlignment="0" applyProtection="0">
      <alignment vertical="center"/>
    </xf>
    <xf numFmtId="0" fontId="46" fillId="23"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9" borderId="0" applyNumberFormat="0" applyBorder="0" applyAlignment="0" applyProtection="0">
      <alignment vertical="center"/>
    </xf>
    <xf numFmtId="0" fontId="26" fillId="13" borderId="23" applyNumberFormat="0" applyFont="0" applyAlignment="0" applyProtection="0">
      <alignment vertical="center"/>
    </xf>
    <xf numFmtId="0" fontId="36" fillId="9" borderId="0" applyNumberFormat="0" applyBorder="0" applyAlignment="0" applyProtection="0">
      <alignment vertical="center"/>
    </xf>
    <xf numFmtId="0" fontId="26" fillId="13" borderId="23" applyNumberFormat="0" applyFont="0" applyAlignment="0" applyProtection="0">
      <alignment vertical="center"/>
    </xf>
    <xf numFmtId="0" fontId="36" fillId="9"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9"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46" fillId="11" borderId="0" applyNumberFormat="0" applyBorder="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17"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6" fillId="29"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6" fillId="29" borderId="0" applyNumberFormat="0" applyBorder="0" applyAlignment="0" applyProtection="0">
      <alignment vertical="center"/>
    </xf>
    <xf numFmtId="0" fontId="26" fillId="13" borderId="23" applyNumberFormat="0" applyFont="0" applyAlignment="0" applyProtection="0">
      <alignment vertical="center"/>
    </xf>
    <xf numFmtId="0" fontId="36" fillId="29" borderId="0" applyNumberFormat="0" applyBorder="0" applyAlignment="0" applyProtection="0">
      <alignment vertical="center"/>
    </xf>
    <xf numFmtId="0" fontId="26" fillId="13" borderId="23" applyNumberFormat="0" applyFont="0" applyAlignment="0" applyProtection="0">
      <alignment vertical="center"/>
    </xf>
    <xf numFmtId="0" fontId="36" fillId="29" borderId="0" applyNumberFormat="0" applyBorder="0" applyAlignment="0" applyProtection="0">
      <alignment vertical="center"/>
    </xf>
    <xf numFmtId="0" fontId="26" fillId="13" borderId="23" applyNumberFormat="0" applyFont="0" applyAlignment="0" applyProtection="0">
      <alignment vertical="center"/>
    </xf>
    <xf numFmtId="0" fontId="36" fillId="29"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4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46" fillId="11" borderId="0" applyNumberFormat="0" applyBorder="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17"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45" fillId="22"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4"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6" fillId="28"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6" fillId="2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6" fillId="2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6" fillId="2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6" fillId="2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6" fillId="24" borderId="0" applyNumberFormat="0" applyBorder="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1" fillId="4"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55" fillId="14"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55"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6" fillId="10" borderId="0" applyNumberFormat="0" applyBorder="0" applyAlignment="0" applyProtection="0">
      <alignment vertical="center"/>
    </xf>
    <xf numFmtId="0" fontId="26" fillId="13" borderId="23" applyNumberFormat="0" applyFont="0" applyAlignment="0" applyProtection="0">
      <alignment vertical="center"/>
    </xf>
    <xf numFmtId="0" fontId="36" fillId="10" borderId="0" applyNumberFormat="0" applyBorder="0" applyAlignment="0" applyProtection="0">
      <alignment vertical="center"/>
    </xf>
    <xf numFmtId="0" fontId="26" fillId="13" borderId="23" applyNumberFormat="0" applyFont="0" applyAlignment="0" applyProtection="0">
      <alignment vertical="center"/>
    </xf>
    <xf numFmtId="0" fontId="36" fillId="10"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17"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9" fillId="0" borderId="25" applyNumberFormat="0" applyFill="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17" fillId="0" borderId="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9" fontId="26" fillId="0" borderId="0" applyFont="0" applyFill="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7" fillId="14" borderId="0" applyNumberFormat="0" applyBorder="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8" fillId="15" borderId="24" applyNumberFormat="0" applyAlignment="0" applyProtection="0">
      <alignment vertical="center"/>
    </xf>
    <xf numFmtId="0" fontId="26"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6" fillId="13" borderId="23" applyNumberFormat="0" applyFont="0" applyAlignment="0" applyProtection="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13" borderId="23" applyNumberFormat="0" applyFont="0" applyAlignment="0" applyProtection="0">
      <alignment vertical="center"/>
    </xf>
    <xf numFmtId="0" fontId="26"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51" fillId="0" borderId="0" applyNumberFormat="0" applyFill="0" applyBorder="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51" fillId="0" borderId="0" applyNumberFormat="0" applyFill="0" applyBorder="0" applyAlignment="0" applyProtection="0">
      <alignment vertical="center"/>
    </xf>
    <xf numFmtId="0" fontId="30" fillId="15" borderId="26"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51" fillId="0" borderId="0" applyNumberFormat="0" applyFill="0" applyBorder="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51" fillId="0" borderId="0" applyNumberFormat="0" applyFill="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43" fontId="17" fillId="0" borderId="0" applyFont="0" applyFill="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43" fontId="17" fillId="0" borderId="0" applyFont="0" applyFill="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0" borderId="0">
      <alignment vertical="center"/>
    </xf>
    <xf numFmtId="0" fontId="30" fillId="15" borderId="26" applyNumberFormat="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43" fontId="17" fillId="0" borderId="0" applyFont="0" applyFill="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43" fontId="17" fillId="0" borderId="0" applyFont="0" applyFill="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43" fontId="17" fillId="0" borderId="0" applyFont="0" applyFill="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43" fontId="17" fillId="0" borderId="0" applyFont="0" applyFill="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43" fontId="17" fillId="0" borderId="0" applyFont="0" applyFill="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8"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43" fontId="17" fillId="0" borderId="0" applyFont="0" applyFill="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4" fillId="0" borderId="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17" fillId="0" borderId="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30" fillId="15" borderId="26" applyNumberFormat="0" applyAlignment="0" applyProtection="0">
      <alignment vertical="center"/>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9" fillId="0" borderId="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0" borderId="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5"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45" fillId="22"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45" fillId="31" borderId="0" applyNumberFormat="0" applyBorder="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45" fillId="31"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45" fillId="2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4"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4" fillId="0" borderId="0">
      <alignment vertical="center"/>
    </xf>
    <xf numFmtId="0" fontId="30" fillId="15" borderId="26" applyNumberFormat="0" applyAlignment="0" applyProtection="0">
      <alignment vertical="center"/>
    </xf>
    <xf numFmtId="0" fontId="17"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4"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6" fillId="28" borderId="0" applyNumberFormat="0" applyBorder="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34"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6" fillId="9" borderId="0" applyNumberFormat="0" applyBorder="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17" fillId="0" borderId="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6" fillId="29"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180" fontId="17"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7"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181" fontId="17" fillId="0" borderId="0" applyFont="0" applyFill="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2" fillId="0" borderId="0" applyNumberFormat="0" applyFill="0" applyBorder="0" applyAlignment="0" applyProtection="0">
      <alignment vertical="top"/>
      <protection locked="0"/>
    </xf>
    <xf numFmtId="0" fontId="31" fillId="4" borderId="24" applyNumberFormat="0" applyAlignment="0" applyProtection="0">
      <alignment vertical="center"/>
    </xf>
    <xf numFmtId="0" fontId="31" fillId="4" borderId="24" applyNumberFormat="0" applyAlignment="0" applyProtection="0">
      <alignment vertical="center"/>
    </xf>
    <xf numFmtId="0" fontId="32" fillId="0" borderId="0" applyNumberFormat="0" applyFill="0" applyBorder="0" applyAlignment="0" applyProtection="0">
      <alignment vertical="top"/>
      <protection locked="0"/>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10" fillId="0" borderId="0" applyNumberFormat="0" applyFill="0" applyBorder="0" applyAlignment="0" applyProtection="0">
      <alignment vertical="center"/>
    </xf>
    <xf numFmtId="0" fontId="28" fillId="15" borderId="24" applyNumberFormat="0" applyAlignment="0" applyProtection="0">
      <alignment vertical="center"/>
    </xf>
    <xf numFmtId="0" fontId="53" fillId="0" borderId="0" applyNumberFormat="0" applyFill="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47" fillId="0" borderId="0">
      <alignment vertical="center"/>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7"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9" fillId="0" borderId="0">
      <alignment vertical="center"/>
    </xf>
    <xf numFmtId="0" fontId="17"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43" fontId="17" fillId="0" borderId="0" applyFont="0" applyFill="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43" fontId="17"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43" fontId="17"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43" fontId="17"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4"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top"/>
    </xf>
    <xf numFmtId="0" fontId="26" fillId="0" borderId="0">
      <alignment vertical="top"/>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43" fontId="17"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43" fontId="17" fillId="0" borderId="0" applyFont="0" applyFill="0" applyBorder="0" applyAlignment="0" applyProtection="0">
      <alignment vertical="center"/>
    </xf>
    <xf numFmtId="0" fontId="29" fillId="0" borderId="25" applyNumberFormat="0" applyFill="0" applyAlignment="0" applyProtection="0">
      <alignment vertical="center"/>
    </xf>
    <xf numFmtId="43" fontId="17"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43" fontId="17"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50" fillId="0" borderId="0" applyNumberForma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0" borderId="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43" fillId="21" borderId="28" applyNumberFormat="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17"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0" borderId="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34"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34" fillId="0" borderId="0">
      <alignment vertical="center"/>
    </xf>
    <xf numFmtId="0" fontId="34"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4" fillId="0" borderId="0">
      <alignment vertical="center"/>
    </xf>
    <xf numFmtId="0" fontId="26" fillId="0" borderId="0">
      <alignment vertical="center"/>
    </xf>
    <xf numFmtId="0" fontId="34"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34" fillId="0" borderId="0">
      <alignment vertical="center"/>
    </xf>
    <xf numFmtId="0" fontId="34"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4"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0" fontId="17"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13" borderId="23" applyNumberFormat="0" applyFont="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36" fillId="19" borderId="0" applyNumberFormat="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36" fillId="19" borderId="0" applyNumberFormat="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34" fillId="0" borderId="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34"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17"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34" fillId="0" borderId="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7" fillId="0" borderId="0">
      <alignment vertical="center"/>
    </xf>
    <xf numFmtId="0" fontId="26" fillId="0" borderId="0">
      <alignment vertical="center"/>
    </xf>
    <xf numFmtId="9" fontId="26" fillId="0" borderId="0" applyFont="0" applyFill="0" applyBorder="0" applyAlignment="0" applyProtection="0">
      <alignment vertical="center"/>
    </xf>
    <xf numFmtId="0" fontId="7" fillId="0" borderId="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17" fillId="13" borderId="23" applyNumberFormat="0" applyFon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6" fillId="28"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6" fillId="28"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0" borderId="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6" fillId="28"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6" fillId="28"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6" fillId="28"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0" borderId="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41" fillId="0" borderId="27" applyNumberFormat="0" applyFill="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36" fillId="28"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53" fillId="0" borderId="0" applyNumberForma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4"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4"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17"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17" fillId="13" borderId="23" applyNumberFormat="0" applyFont="0" applyAlignment="0" applyProtection="0">
      <alignment vertical="center"/>
    </xf>
    <xf numFmtId="0" fontId="53" fillId="0" borderId="0" applyNumberForma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17" fillId="13" borderId="23" applyNumberFormat="0" applyFont="0" applyAlignment="0" applyProtection="0">
      <alignment vertical="center"/>
    </xf>
    <xf numFmtId="0" fontId="53" fillId="0" borderId="0" applyNumberFormat="0" applyFill="0" applyBorder="0" applyAlignment="0" applyProtection="0">
      <alignment vertical="center"/>
    </xf>
    <xf numFmtId="9" fontId="26" fillId="0" borderId="0" applyFont="0" applyFill="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15" borderId="24"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7" fillId="0" borderId="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34" fillId="0" borderId="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0" fontId="34" fillId="0" borderId="0">
      <alignment vertical="center"/>
    </xf>
    <xf numFmtId="0" fontId="30" fillId="15" borderId="26" applyNumberFormat="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4"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26" fillId="0" borderId="0">
      <alignment vertical="center"/>
    </xf>
    <xf numFmtId="0" fontId="26"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9" fillId="0" borderId="25" applyNumberFormat="0" applyFill="0" applyAlignment="0" applyProtection="0">
      <alignment vertical="center"/>
    </xf>
    <xf numFmtId="9" fontId="26" fillId="0" borderId="0" applyFont="0" applyFill="0" applyBorder="0" applyAlignment="0" applyProtection="0">
      <alignment vertical="center"/>
    </xf>
    <xf numFmtId="0" fontId="33" fillId="16" borderId="0" applyNumberFormat="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34" fillId="0" borderId="0">
      <alignment vertical="center"/>
    </xf>
    <xf numFmtId="0" fontId="26" fillId="0" borderId="0">
      <alignment vertical="center"/>
    </xf>
    <xf numFmtId="9" fontId="26" fillId="0" borderId="0" applyFont="0" applyFill="0" applyBorder="0" applyAlignment="0" applyProtection="0">
      <alignment vertical="center"/>
    </xf>
    <xf numFmtId="0" fontId="26" fillId="0" borderId="0">
      <alignment vertical="center"/>
    </xf>
    <xf numFmtId="9" fontId="26" fillId="0" borderId="0" applyFont="0" applyFill="0" applyBorder="0" applyAlignment="0" applyProtection="0">
      <alignment vertical="center"/>
    </xf>
    <xf numFmtId="0" fontId="34" fillId="0" borderId="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6" fillId="0" borderId="0" applyFont="0" applyFill="0" applyBorder="0" applyAlignment="0" applyProtection="0">
      <alignment vertical="center"/>
    </xf>
    <xf numFmtId="0" fontId="48" fillId="0" borderId="0" applyNumberFormat="0" applyFill="0" applyBorder="0" applyAlignment="0" applyProtection="0">
      <alignment vertical="center"/>
    </xf>
    <xf numFmtId="0" fontId="60" fillId="0" borderId="0" applyNumberFormat="0" applyFill="0" applyBorder="0" applyAlignment="0" applyProtection="0">
      <alignment vertical="center"/>
    </xf>
    <xf numFmtId="0" fontId="64" fillId="0" borderId="33"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41" fillId="0" borderId="27" applyNumberFormat="0" applyFill="0" applyAlignment="0" applyProtection="0">
      <alignment vertical="center"/>
    </xf>
    <xf numFmtId="0" fontId="41" fillId="0" borderId="27" applyNumberFormat="0" applyFill="0" applyAlignment="0" applyProtection="0">
      <alignment vertical="center"/>
    </xf>
    <xf numFmtId="0" fontId="41" fillId="0" borderId="27" applyNumberFormat="0" applyFill="0" applyAlignment="0" applyProtection="0">
      <alignment vertical="center"/>
    </xf>
    <xf numFmtId="0" fontId="41" fillId="0" borderId="27" applyNumberFormat="0" applyFill="0" applyAlignment="0" applyProtection="0">
      <alignment vertical="center"/>
    </xf>
    <xf numFmtId="0" fontId="41" fillId="0" borderId="27" applyNumberFormat="0" applyFill="0" applyAlignment="0" applyProtection="0">
      <alignment vertical="center"/>
    </xf>
    <xf numFmtId="0" fontId="41" fillId="0" borderId="27" applyNumberFormat="0" applyFill="0" applyAlignment="0" applyProtection="0">
      <alignment vertical="center"/>
    </xf>
    <xf numFmtId="0" fontId="41" fillId="0" borderId="27" applyNumberFormat="0" applyFill="0" applyAlignment="0" applyProtection="0">
      <alignment vertical="center"/>
    </xf>
    <xf numFmtId="0" fontId="29" fillId="0" borderId="25" applyNumberFormat="0" applyFill="0" applyAlignment="0" applyProtection="0">
      <alignment vertical="center"/>
    </xf>
    <xf numFmtId="0" fontId="41" fillId="0" borderId="27" applyNumberFormat="0" applyFill="0" applyAlignment="0" applyProtection="0">
      <alignment vertical="center"/>
    </xf>
    <xf numFmtId="0" fontId="29" fillId="0" borderId="25" applyNumberFormat="0" applyFill="0" applyAlignment="0" applyProtection="0">
      <alignment vertical="center"/>
    </xf>
    <xf numFmtId="0" fontId="41" fillId="0" borderId="27" applyNumberFormat="0" applyFill="0" applyAlignment="0" applyProtection="0">
      <alignment vertical="center"/>
    </xf>
    <xf numFmtId="0" fontId="41" fillId="0" borderId="27" applyNumberFormat="0" applyFill="0" applyAlignment="0" applyProtection="0">
      <alignment vertical="center"/>
    </xf>
    <xf numFmtId="0" fontId="29" fillId="0" borderId="25" applyNumberFormat="0" applyFill="0" applyAlignment="0" applyProtection="0">
      <alignment vertical="center"/>
    </xf>
    <xf numFmtId="0" fontId="41" fillId="0" borderId="27" applyNumberFormat="0" applyFill="0" applyAlignment="0" applyProtection="0">
      <alignment vertical="center"/>
    </xf>
    <xf numFmtId="0" fontId="29" fillId="0" borderId="25" applyNumberFormat="0" applyFill="0" applyAlignment="0" applyProtection="0">
      <alignment vertical="center"/>
    </xf>
    <xf numFmtId="0" fontId="41" fillId="0" borderId="27" applyNumberFormat="0" applyFill="0" applyAlignment="0" applyProtection="0">
      <alignment vertical="center"/>
    </xf>
    <xf numFmtId="0" fontId="41" fillId="0" borderId="27" applyNumberFormat="0" applyFill="0" applyAlignment="0" applyProtection="0">
      <alignment vertical="center"/>
    </xf>
    <xf numFmtId="0" fontId="41" fillId="0" borderId="27" applyNumberFormat="0" applyFill="0" applyAlignment="0" applyProtection="0">
      <alignment vertical="center"/>
    </xf>
    <xf numFmtId="0" fontId="41" fillId="0" borderId="27" applyNumberFormat="0" applyFill="0" applyAlignment="0" applyProtection="0">
      <alignment vertical="center"/>
    </xf>
    <xf numFmtId="0" fontId="53" fillId="0" borderId="0" applyNumberFormat="0" applyFill="0" applyBorder="0" applyAlignment="0" applyProtection="0">
      <alignment vertical="center"/>
    </xf>
    <xf numFmtId="0" fontId="29" fillId="0" borderId="25" applyNumberFormat="0" applyFill="0" applyAlignment="0" applyProtection="0">
      <alignment vertical="center"/>
    </xf>
    <xf numFmtId="0" fontId="65" fillId="0" borderId="34" applyNumberFormat="0" applyFill="0" applyAlignment="0" applyProtection="0">
      <alignment vertical="center"/>
    </xf>
    <xf numFmtId="0" fontId="29" fillId="0" borderId="25" applyNumberFormat="0" applyFill="0" applyAlignment="0" applyProtection="0">
      <alignment vertical="center"/>
    </xf>
    <xf numFmtId="0" fontId="44" fillId="0" borderId="29" applyNumberFormat="0" applyFill="0" applyAlignment="0" applyProtection="0">
      <alignment vertical="center"/>
    </xf>
    <xf numFmtId="0" fontId="29" fillId="0" borderId="25" applyNumberFormat="0" applyFill="0" applyAlignment="0" applyProtection="0">
      <alignment vertical="center"/>
    </xf>
    <xf numFmtId="0" fontId="44" fillId="0" borderId="29" applyNumberFormat="0" applyFill="0" applyAlignment="0" applyProtection="0">
      <alignment vertical="center"/>
    </xf>
    <xf numFmtId="0" fontId="44" fillId="0" borderId="29" applyNumberFormat="0" applyFill="0" applyAlignment="0" applyProtection="0">
      <alignment vertical="center"/>
    </xf>
    <xf numFmtId="0" fontId="44" fillId="0" borderId="29" applyNumberFormat="0" applyFill="0" applyAlignment="0" applyProtection="0">
      <alignment vertical="center"/>
    </xf>
    <xf numFmtId="0" fontId="28" fillId="15" borderId="24" applyNumberFormat="0" applyAlignment="0" applyProtection="0">
      <alignment vertical="center"/>
    </xf>
    <xf numFmtId="0" fontId="44" fillId="0" borderId="29" applyNumberFormat="0" applyFill="0" applyAlignment="0" applyProtection="0">
      <alignment vertical="center"/>
    </xf>
    <xf numFmtId="0" fontId="28" fillId="15" borderId="24" applyNumberFormat="0" applyAlignment="0" applyProtection="0">
      <alignment vertical="center"/>
    </xf>
    <xf numFmtId="0" fontId="44" fillId="0" borderId="29" applyNumberFormat="0" applyFill="0" applyAlignment="0" applyProtection="0">
      <alignment vertical="center"/>
    </xf>
    <xf numFmtId="0" fontId="29" fillId="0" borderId="25" applyNumberFormat="0" applyFill="0" applyAlignment="0" applyProtection="0">
      <alignment vertical="center"/>
    </xf>
    <xf numFmtId="0" fontId="44" fillId="0" borderId="29" applyNumberFormat="0" applyFill="0" applyAlignment="0" applyProtection="0">
      <alignment vertical="center"/>
    </xf>
    <xf numFmtId="0" fontId="29" fillId="0" borderId="25" applyNumberFormat="0" applyFill="0" applyAlignment="0" applyProtection="0">
      <alignment vertical="center"/>
    </xf>
    <xf numFmtId="0" fontId="44" fillId="0" borderId="29" applyNumberFormat="0" applyFill="0" applyAlignment="0" applyProtection="0">
      <alignment vertical="center"/>
    </xf>
    <xf numFmtId="0" fontId="44" fillId="0" borderId="29" applyNumberFormat="0" applyFill="0" applyAlignment="0" applyProtection="0">
      <alignment vertical="center"/>
    </xf>
    <xf numFmtId="0" fontId="29" fillId="0" borderId="25" applyNumberFormat="0" applyFill="0" applyAlignment="0" applyProtection="0">
      <alignment vertical="center"/>
    </xf>
    <xf numFmtId="0" fontId="44" fillId="0" borderId="29" applyNumberFormat="0" applyFill="0" applyAlignment="0" applyProtection="0">
      <alignment vertical="center"/>
    </xf>
    <xf numFmtId="0" fontId="44" fillId="0" borderId="29" applyNumberFormat="0" applyFill="0" applyAlignment="0" applyProtection="0">
      <alignment vertical="center"/>
    </xf>
    <xf numFmtId="0" fontId="44" fillId="0" borderId="29" applyNumberFormat="0" applyFill="0" applyAlignment="0" applyProtection="0">
      <alignment vertical="center"/>
    </xf>
    <xf numFmtId="0" fontId="44" fillId="0" borderId="29" applyNumberFormat="0" applyFill="0" applyAlignment="0" applyProtection="0">
      <alignment vertical="center"/>
    </xf>
    <xf numFmtId="0" fontId="29" fillId="0" borderId="25" applyNumberFormat="0" applyFill="0" applyAlignment="0" applyProtection="0">
      <alignment vertical="center"/>
    </xf>
    <xf numFmtId="0" fontId="63" fillId="0" borderId="32" applyNumberFormat="0" applyFill="0" applyAlignment="0" applyProtection="0">
      <alignment vertical="center"/>
    </xf>
    <xf numFmtId="0" fontId="29" fillId="0" borderId="25" applyNumberFormat="0" applyFill="0" applyAlignment="0" applyProtection="0">
      <alignment vertical="center"/>
    </xf>
    <xf numFmtId="0" fontId="51" fillId="0" borderId="30" applyNumberFormat="0" applyFill="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51" fillId="0" borderId="30" applyNumberFormat="0" applyFill="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51" fillId="0" borderId="30" applyNumberFormat="0" applyFill="0" applyAlignment="0" applyProtection="0">
      <alignment vertical="center"/>
    </xf>
    <xf numFmtId="0" fontId="51" fillId="0" borderId="30" applyNumberFormat="0" applyFill="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51" fillId="0" borderId="30" applyNumberFormat="0" applyFill="0" applyAlignment="0" applyProtection="0">
      <alignment vertical="center"/>
    </xf>
    <xf numFmtId="0" fontId="26" fillId="0" borderId="0">
      <alignment vertical="center"/>
    </xf>
    <xf numFmtId="0" fontId="26" fillId="0" borderId="0">
      <alignment vertical="center"/>
    </xf>
    <xf numFmtId="0" fontId="51" fillId="0" borderId="30" applyNumberFormat="0" applyFill="0" applyAlignment="0" applyProtection="0">
      <alignment vertical="center"/>
    </xf>
    <xf numFmtId="0" fontId="51" fillId="0" borderId="30" applyNumberFormat="0" applyFill="0" applyAlignment="0" applyProtection="0">
      <alignment vertical="center"/>
    </xf>
    <xf numFmtId="0" fontId="51" fillId="0" borderId="30" applyNumberFormat="0" applyFill="0" applyAlignment="0" applyProtection="0">
      <alignment vertical="center"/>
    </xf>
    <xf numFmtId="0" fontId="51" fillId="0" borderId="30" applyNumberFormat="0" applyFill="0" applyAlignment="0" applyProtection="0">
      <alignment vertical="center"/>
    </xf>
    <xf numFmtId="0" fontId="28" fillId="15" borderId="24" applyNumberFormat="0" applyAlignment="0" applyProtection="0">
      <alignment vertical="center"/>
    </xf>
    <xf numFmtId="0" fontId="51" fillId="0" borderId="30" applyNumberFormat="0" applyFill="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51" fillId="0" borderId="30" applyNumberFormat="0" applyFill="0" applyAlignment="0" applyProtection="0">
      <alignment vertical="center"/>
    </xf>
    <xf numFmtId="0" fontId="51" fillId="0" borderId="30" applyNumberFormat="0" applyFill="0" applyAlignment="0" applyProtection="0">
      <alignment vertical="center"/>
    </xf>
    <xf numFmtId="0" fontId="51" fillId="0" borderId="30" applyNumberFormat="0" applyFill="0" applyAlignment="0" applyProtection="0">
      <alignment vertical="center"/>
    </xf>
    <xf numFmtId="0" fontId="51" fillId="0" borderId="30" applyNumberFormat="0" applyFill="0" applyAlignment="0" applyProtection="0">
      <alignment vertical="center"/>
    </xf>
    <xf numFmtId="0" fontId="26" fillId="0" borderId="0">
      <alignment vertical="center"/>
    </xf>
    <xf numFmtId="0" fontId="26" fillId="0" borderId="0">
      <alignment vertical="center"/>
    </xf>
    <xf numFmtId="0" fontId="51" fillId="0" borderId="30" applyNumberFormat="0" applyFill="0" applyAlignment="0" applyProtection="0">
      <alignment vertical="center"/>
    </xf>
    <xf numFmtId="0" fontId="29" fillId="0" borderId="25" applyNumberFormat="0" applyFill="0" applyAlignment="0" applyProtection="0">
      <alignment vertical="center"/>
    </xf>
    <xf numFmtId="0" fontId="6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33" fillId="16" borderId="0" applyNumberFormat="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26" fillId="0" borderId="0">
      <alignment vertical="center"/>
    </xf>
    <xf numFmtId="0" fontId="26" fillId="0" borderId="0">
      <alignment vertical="center"/>
    </xf>
    <xf numFmtId="0" fontId="51"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33" fillId="16" borderId="0" applyNumberFormat="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66" fillId="11"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46" fillId="11"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56" fillId="0" borderId="31" applyNumberFormat="0" applyFill="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46" fillId="11"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6" fillId="10"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6" fillId="2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6" fillId="10" borderId="0" applyNumberFormat="0" applyBorder="0" applyAlignment="0" applyProtection="0">
      <alignment vertical="center"/>
    </xf>
    <xf numFmtId="0" fontId="33" fillId="16" borderId="0" applyNumberFormat="0" applyBorder="0" applyAlignment="0" applyProtection="0">
      <alignment vertical="center"/>
    </xf>
    <xf numFmtId="0" fontId="36" fillId="19"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6" fillId="9"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9"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6" fillId="19"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46" fillId="23"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46" fillId="23"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180" fontId="17" fillId="0" borderId="0" applyFont="0" applyFill="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6" fillId="10"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9"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6" fillId="29"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6" fillId="19"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43" fontId="17" fillId="0" borderId="0" applyFont="0" applyFill="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9"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17" fillId="0" borderId="0">
      <alignment vertical="center"/>
    </xf>
    <xf numFmtId="0" fontId="17" fillId="0" borderId="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4"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34"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4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6" fillId="24"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6" fillId="24" borderId="0" applyNumberFormat="0" applyBorder="0" applyAlignment="0" applyProtection="0">
      <alignment vertical="center"/>
    </xf>
    <xf numFmtId="0" fontId="33" fillId="16" borderId="0" applyNumberFormat="0" applyBorder="0" applyAlignment="0" applyProtection="0">
      <alignment vertical="center"/>
    </xf>
    <xf numFmtId="0" fontId="36" fillId="24" borderId="0" applyNumberFormat="0" applyBorder="0" applyAlignment="0" applyProtection="0">
      <alignment vertical="center"/>
    </xf>
    <xf numFmtId="0" fontId="33" fillId="16" borderId="0" applyNumberFormat="0" applyBorder="0" applyAlignment="0" applyProtection="0">
      <alignment vertical="center"/>
    </xf>
    <xf numFmtId="0" fontId="36" fillId="2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7"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9"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4"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50" fillId="0" borderId="0" applyNumberFormat="0" applyFill="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43" fontId="17" fillId="0" borderId="0" applyFont="0" applyFill="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62" fillId="0" borderId="0" applyNumberFormat="0" applyFill="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50" fillId="0" borderId="0" applyNumberFormat="0" applyFill="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17"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17" fillId="0" borderId="0">
      <alignment vertical="center"/>
    </xf>
    <xf numFmtId="0" fontId="33" fillId="16" borderId="0" applyNumberFormat="0" applyBorder="0" applyAlignment="0" applyProtection="0">
      <alignment vertical="center"/>
    </xf>
    <xf numFmtId="0" fontId="4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4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17" fillId="13" borderId="23" applyNumberFormat="0" applyFon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58" fillId="16" borderId="0" applyNumberFormat="0" applyBorder="0" applyAlignment="0" applyProtection="0">
      <alignment vertical="center"/>
    </xf>
    <xf numFmtId="0" fontId="29" fillId="0" borderId="25" applyNumberFormat="0" applyFill="0" applyAlignment="0" applyProtection="0">
      <alignment vertical="center"/>
    </xf>
    <xf numFmtId="0" fontId="58"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9" fillId="0" borderId="25" applyNumberFormat="0" applyFill="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7" fillId="0" borderId="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1" fillId="4"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0" fillId="15" borderId="26"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8" fillId="15" borderId="24" applyNumberFormat="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26" fillId="0" borderId="0">
      <alignment vertical="center"/>
    </xf>
    <xf numFmtId="0" fontId="33" fillId="16" borderId="0" applyNumberFormat="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pplyNumberFormat="0" applyFill="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pplyNumberFormat="0" applyFill="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4"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39" fillId="0" borderId="0">
      <alignment vertical="center"/>
    </xf>
    <xf numFmtId="0" fontId="26" fillId="0" borderId="0">
      <alignment vertical="center"/>
    </xf>
    <xf numFmtId="0" fontId="39" fillId="0" borderId="0">
      <alignment vertical="center"/>
    </xf>
    <xf numFmtId="0" fontId="26" fillId="0" borderId="0">
      <alignment vertical="center"/>
    </xf>
    <xf numFmtId="0" fontId="34"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17" fillId="0" borderId="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34" fillId="0" borderId="0">
      <alignment vertical="center"/>
    </xf>
    <xf numFmtId="0" fontId="30" fillId="15" borderId="26" applyNumberFormat="0" applyAlignment="0" applyProtection="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34"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34" fillId="0" borderId="0">
      <alignment vertical="center"/>
    </xf>
    <xf numFmtId="0" fontId="26"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26" fillId="0" borderId="0">
      <alignment vertical="center"/>
    </xf>
    <xf numFmtId="0" fontId="34" fillId="0" borderId="0">
      <alignment vertical="center"/>
    </xf>
    <xf numFmtId="0" fontId="26" fillId="0" borderId="0">
      <alignment vertical="center"/>
    </xf>
    <xf numFmtId="0" fontId="34" fillId="0" borderId="0">
      <alignment vertical="center"/>
    </xf>
    <xf numFmtId="0" fontId="34"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34" fillId="0" borderId="0">
      <alignment vertical="center"/>
    </xf>
    <xf numFmtId="0" fontId="34" fillId="0" borderId="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34" fillId="0" borderId="0">
      <alignment vertical="center"/>
    </xf>
    <xf numFmtId="0" fontId="26" fillId="0" borderId="0">
      <alignment vertical="center"/>
    </xf>
    <xf numFmtId="0" fontId="27" fillId="14" borderId="0" applyNumberFormat="0" applyBorder="0" applyAlignment="0" applyProtection="0">
      <alignment vertical="center"/>
    </xf>
    <xf numFmtId="0" fontId="34" fillId="0" borderId="0">
      <alignment vertical="center"/>
    </xf>
    <xf numFmtId="0" fontId="26" fillId="0" borderId="0">
      <alignment vertical="center"/>
    </xf>
    <xf numFmtId="0" fontId="26" fillId="0" borderId="0">
      <alignment vertical="center"/>
    </xf>
    <xf numFmtId="0" fontId="34" fillId="0" borderId="0">
      <alignment vertical="center"/>
    </xf>
    <xf numFmtId="0" fontId="34"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46" fillId="23"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46" fillId="23" borderId="0" applyNumberFormat="0" applyBorder="0" applyAlignment="0" applyProtection="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17"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43" fontId="17" fillId="0" borderId="0" applyFont="0" applyFill="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7" fillId="0" borderId="0">
      <alignment vertical="center"/>
    </xf>
    <xf numFmtId="0" fontId="26" fillId="0" borderId="0">
      <alignment vertical="center"/>
    </xf>
    <xf numFmtId="0" fontId="26" fillId="0" borderId="0">
      <alignment vertical="center"/>
    </xf>
    <xf numFmtId="0" fontId="7"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46" fillId="23" borderId="0" applyNumberFormat="0" applyBorder="0" applyAlignment="0" applyProtection="0">
      <alignment vertical="center"/>
    </xf>
    <xf numFmtId="0" fontId="26" fillId="0" borderId="0">
      <alignment vertical="center"/>
    </xf>
    <xf numFmtId="0" fontId="46" fillId="23" borderId="0" applyNumberFormat="0" applyBorder="0" applyAlignment="0" applyProtection="0">
      <alignment vertical="center"/>
    </xf>
    <xf numFmtId="0" fontId="26" fillId="0" borderId="0">
      <alignment vertical="center"/>
    </xf>
    <xf numFmtId="0" fontId="46" fillId="23" borderId="0" applyNumberFormat="0" applyBorder="0" applyAlignment="0" applyProtection="0">
      <alignment vertical="center"/>
    </xf>
    <xf numFmtId="0" fontId="17" fillId="0" borderId="0">
      <alignment vertical="center"/>
    </xf>
    <xf numFmtId="0" fontId="26" fillId="0" borderId="0">
      <alignment vertical="center"/>
    </xf>
    <xf numFmtId="0" fontId="46" fillId="23" borderId="0" applyNumberFormat="0" applyBorder="0" applyAlignment="0" applyProtection="0">
      <alignment vertical="center"/>
    </xf>
    <xf numFmtId="0" fontId="26" fillId="0" borderId="0">
      <alignment vertical="center"/>
    </xf>
    <xf numFmtId="0" fontId="46" fillId="23"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46" fillId="23"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46" fillId="23"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46" fillId="23"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46" fillId="23"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43" fontId="17" fillId="0" borderId="0" applyFont="0" applyFill="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43" fontId="17" fillId="0" borderId="0" applyFont="0" applyFill="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5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54" fillId="0" borderId="0">
      <alignment vertical="center"/>
    </xf>
    <xf numFmtId="0" fontId="54" fillId="0" borderId="0">
      <alignment vertical="center"/>
    </xf>
    <xf numFmtId="0" fontId="54"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67" fillId="0" borderId="0" applyNumberFormat="0" applyFill="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7"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43" fontId="17" fillId="0" borderId="0" applyFont="0" applyFill="0" applyBorder="0" applyAlignment="0" applyProtection="0">
      <alignment vertical="center"/>
    </xf>
    <xf numFmtId="0" fontId="26" fillId="0" borderId="0">
      <alignment vertical="center"/>
    </xf>
    <xf numFmtId="0" fontId="26" fillId="0" borderId="0">
      <alignment vertical="center"/>
    </xf>
    <xf numFmtId="43" fontId="17" fillId="0" borderId="0" applyFont="0" applyFill="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47"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43" fontId="17" fillId="0" borderId="0" applyFont="0" applyFill="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8" fillId="0" borderId="0">
      <alignment vertical="center"/>
    </xf>
    <xf numFmtId="0" fontId="7"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17"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17" fillId="0" borderId="0">
      <alignment vertical="center"/>
    </xf>
    <xf numFmtId="0" fontId="26" fillId="0" borderId="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8"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68" fillId="6" borderId="24"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7"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17"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56" fillId="0" borderId="31"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9" fillId="0" borderId="0">
      <alignment vertical="center"/>
    </xf>
    <xf numFmtId="0" fontId="26" fillId="0" borderId="0">
      <alignment vertical="center"/>
    </xf>
    <xf numFmtId="0" fontId="39"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6" fillId="0" borderId="0">
      <alignment vertical="center"/>
    </xf>
    <xf numFmtId="0" fontId="34" fillId="0" borderId="0">
      <alignment vertical="center"/>
    </xf>
    <xf numFmtId="0" fontId="34"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34" fillId="0" borderId="0">
      <alignment vertical="center"/>
    </xf>
    <xf numFmtId="0" fontId="17" fillId="13" borderId="23" applyNumberFormat="0" applyFont="0" applyAlignment="0" applyProtection="0">
      <alignment vertical="center"/>
    </xf>
    <xf numFmtId="0" fontId="26" fillId="0" borderId="0">
      <alignment vertical="center"/>
    </xf>
    <xf numFmtId="0" fontId="17" fillId="0" borderId="0">
      <alignment vertical="center"/>
    </xf>
    <xf numFmtId="0" fontId="17"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30" fillId="15" borderId="26" applyNumberFormat="0" applyAlignment="0" applyProtection="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6" fillId="0" borderId="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7" fillId="0" borderId="0">
      <alignment vertical="center"/>
    </xf>
    <xf numFmtId="0" fontId="26" fillId="0" borderId="0">
      <alignment vertical="center"/>
    </xf>
    <xf numFmtId="0" fontId="26" fillId="0" borderId="0">
      <alignment vertical="center"/>
    </xf>
    <xf numFmtId="0" fontId="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5"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7" fillId="0" borderId="0">
      <alignment vertical="center"/>
    </xf>
    <xf numFmtId="0" fontId="26" fillId="0" borderId="0">
      <alignment vertical="center"/>
    </xf>
    <xf numFmtId="0" fontId="26" fillId="0" borderId="0">
      <alignment vertical="center"/>
    </xf>
    <xf numFmtId="0" fontId="17"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7" fillId="0" borderId="0">
      <alignment vertical="center"/>
    </xf>
    <xf numFmtId="0" fontId="26" fillId="0" borderId="0">
      <alignment vertical="center"/>
    </xf>
    <xf numFmtId="0" fontId="7" fillId="0" borderId="0">
      <alignment vertical="center"/>
    </xf>
    <xf numFmtId="0" fontId="26" fillId="0" borderId="0">
      <alignment vertical="center"/>
    </xf>
    <xf numFmtId="0" fontId="26"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top"/>
    </xf>
    <xf numFmtId="0" fontId="34" fillId="0" borderId="0">
      <alignment vertical="center"/>
    </xf>
    <xf numFmtId="0" fontId="26" fillId="0" borderId="0">
      <alignment vertical="top"/>
    </xf>
    <xf numFmtId="0" fontId="27" fillId="14" borderId="0" applyNumberFormat="0" applyBorder="0" applyAlignment="0" applyProtection="0">
      <alignment vertical="center"/>
    </xf>
    <xf numFmtId="0" fontId="34" fillId="0" borderId="0" applyProtection="0">
      <alignment vertical="center"/>
    </xf>
    <xf numFmtId="0" fontId="26" fillId="0" borderId="0">
      <alignment vertical="top"/>
    </xf>
    <xf numFmtId="0" fontId="26" fillId="0" borderId="0">
      <alignment vertical="center"/>
    </xf>
    <xf numFmtId="0" fontId="26" fillId="0" borderId="0">
      <alignment vertical="top"/>
    </xf>
    <xf numFmtId="0" fontId="26" fillId="0" borderId="0">
      <alignment vertical="center"/>
    </xf>
    <xf numFmtId="0" fontId="26" fillId="0" borderId="0">
      <alignment vertical="top"/>
    </xf>
    <xf numFmtId="0" fontId="34" fillId="0" borderId="0">
      <alignment vertical="center"/>
    </xf>
    <xf numFmtId="0" fontId="34" fillId="0" borderId="0">
      <alignment vertical="center"/>
    </xf>
    <xf numFmtId="0" fontId="26" fillId="0" borderId="0">
      <alignment vertical="center"/>
    </xf>
    <xf numFmtId="0" fontId="26" fillId="0" borderId="0">
      <alignment vertical="top"/>
    </xf>
    <xf numFmtId="0" fontId="26" fillId="0" borderId="0">
      <alignment vertical="center"/>
    </xf>
    <xf numFmtId="0" fontId="26" fillId="0" borderId="0">
      <alignment vertical="top"/>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7"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7"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7"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43" fillId="21" borderId="28" applyNumberFormat="0" applyAlignment="0" applyProtection="0">
      <alignment vertical="center"/>
    </xf>
    <xf numFmtId="0" fontId="26" fillId="0" borderId="0">
      <alignment vertical="center"/>
    </xf>
    <xf numFmtId="0" fontId="26" fillId="0" borderId="0">
      <alignment vertical="center"/>
    </xf>
    <xf numFmtId="0" fontId="43" fillId="21" borderId="28"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4"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34"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43" fillId="21" borderId="28"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43" fontId="17" fillId="0" borderId="0" applyFont="0" applyFill="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34"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34" fillId="0" borderId="0">
      <alignment vertical="center"/>
    </xf>
    <xf numFmtId="0" fontId="26" fillId="0" borderId="0">
      <alignment vertical="center"/>
    </xf>
    <xf numFmtId="0" fontId="26" fillId="0" borderId="0">
      <alignment vertical="center"/>
    </xf>
    <xf numFmtId="0" fontId="50" fillId="0" borderId="0" applyNumberFormat="0" applyFill="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34"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top"/>
    </xf>
    <xf numFmtId="0" fontId="26" fillId="0" borderId="0">
      <alignment vertical="top"/>
    </xf>
    <xf numFmtId="0" fontId="26" fillId="0" borderId="0">
      <alignment vertical="center"/>
    </xf>
    <xf numFmtId="0" fontId="26" fillId="0" borderId="0">
      <alignment vertical="center"/>
    </xf>
    <xf numFmtId="0" fontId="26" fillId="0" borderId="0">
      <alignment vertical="top"/>
    </xf>
    <xf numFmtId="0" fontId="26" fillId="0" borderId="0">
      <alignment vertical="top"/>
    </xf>
    <xf numFmtId="0" fontId="26" fillId="0" borderId="0">
      <alignment vertical="top"/>
    </xf>
    <xf numFmtId="0" fontId="26" fillId="0" borderId="0">
      <alignment vertical="top"/>
    </xf>
    <xf numFmtId="0" fontId="26" fillId="0" borderId="0">
      <alignment vertical="top"/>
    </xf>
    <xf numFmtId="0" fontId="26" fillId="0" borderId="0">
      <alignment vertical="top"/>
    </xf>
    <xf numFmtId="0" fontId="36" fillId="9" borderId="0" applyNumberFormat="0" applyBorder="0" applyAlignment="0" applyProtection="0">
      <alignment vertical="center"/>
    </xf>
    <xf numFmtId="0" fontId="26" fillId="0" borderId="0">
      <alignment vertical="center"/>
    </xf>
    <xf numFmtId="0" fontId="34" fillId="0" borderId="0">
      <alignment vertical="center"/>
    </xf>
    <xf numFmtId="0" fontId="26" fillId="0" borderId="0">
      <alignment vertical="center"/>
    </xf>
    <xf numFmtId="0" fontId="34"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top"/>
    </xf>
    <xf numFmtId="0" fontId="26" fillId="0" borderId="0">
      <alignment vertical="center"/>
    </xf>
    <xf numFmtId="0" fontId="26" fillId="0" borderId="0">
      <alignment vertical="top"/>
    </xf>
    <xf numFmtId="0" fontId="32" fillId="0" borderId="0" applyNumberFormat="0" applyFill="0" applyBorder="0" applyAlignment="0" applyProtection="0">
      <alignment vertical="top"/>
      <protection locked="0"/>
    </xf>
    <xf numFmtId="0" fontId="26" fillId="0" borderId="0">
      <alignment vertical="top"/>
    </xf>
    <xf numFmtId="0" fontId="26" fillId="0" borderId="0">
      <alignment vertical="top"/>
    </xf>
    <xf numFmtId="0" fontId="26" fillId="0" borderId="0">
      <alignment vertical="top"/>
    </xf>
    <xf numFmtId="0" fontId="26" fillId="0" borderId="0">
      <alignment vertical="top"/>
    </xf>
    <xf numFmtId="0" fontId="26" fillId="0" borderId="0">
      <alignment vertical="center"/>
    </xf>
    <xf numFmtId="0" fontId="26" fillId="0" borderId="0">
      <alignment vertical="center"/>
    </xf>
    <xf numFmtId="0" fontId="26" fillId="0" borderId="0">
      <alignment vertical="top"/>
    </xf>
    <xf numFmtId="0" fontId="26" fillId="0" borderId="0">
      <alignment vertical="top"/>
    </xf>
    <xf numFmtId="0" fontId="26" fillId="0" borderId="0">
      <alignment vertical="center"/>
    </xf>
    <xf numFmtId="0" fontId="26" fillId="0" borderId="0">
      <alignment vertical="center"/>
    </xf>
    <xf numFmtId="0" fontId="26" fillId="0" borderId="0">
      <alignment vertical="top"/>
    </xf>
    <xf numFmtId="0" fontId="26" fillId="0" borderId="0">
      <alignment vertical="top"/>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38" fillId="0" borderId="0">
      <alignment vertical="center"/>
    </xf>
    <xf numFmtId="0" fontId="4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47" fillId="0" borderId="0">
      <alignment vertical="center"/>
    </xf>
    <xf numFmtId="0" fontId="26" fillId="0" borderId="0">
      <alignment vertical="center"/>
    </xf>
    <xf numFmtId="0" fontId="26" fillId="0" borderId="0">
      <alignment vertical="center"/>
    </xf>
    <xf numFmtId="0" fontId="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7"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6" fillId="0" borderId="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47" fillId="0" borderId="0">
      <alignment vertical="center"/>
    </xf>
    <xf numFmtId="0" fontId="26" fillId="0" borderId="0">
      <alignment vertical="center"/>
    </xf>
    <xf numFmtId="0" fontId="34"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34"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34"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pplyProtection="0">
      <alignment vertical="center"/>
    </xf>
    <xf numFmtId="0" fontId="26" fillId="0" borderId="0">
      <alignment vertical="top"/>
    </xf>
    <xf numFmtId="0" fontId="26" fillId="0" borderId="0">
      <alignment vertical="top"/>
    </xf>
    <xf numFmtId="0" fontId="32" fillId="0" borderId="0" applyNumberFormat="0" applyFill="0" applyBorder="0" applyAlignment="0" applyProtection="0">
      <alignment vertical="top"/>
      <protection locked="0"/>
    </xf>
    <xf numFmtId="0" fontId="38" fillId="0" borderId="0">
      <alignment vertical="center"/>
    </xf>
    <xf numFmtId="0" fontId="38" fillId="0" borderId="0">
      <alignment vertical="center"/>
    </xf>
    <xf numFmtId="0" fontId="32" fillId="0" borderId="0" applyNumberFormat="0" applyFill="0" applyBorder="0" applyAlignment="0" applyProtection="0">
      <alignment vertical="top"/>
      <protection locked="0"/>
    </xf>
    <xf numFmtId="0" fontId="26" fillId="0" borderId="0">
      <alignment vertical="center"/>
    </xf>
    <xf numFmtId="0" fontId="38" fillId="0" borderId="0">
      <alignment vertical="center"/>
    </xf>
    <xf numFmtId="0" fontId="26" fillId="0" borderId="0">
      <alignment vertical="center"/>
    </xf>
    <xf numFmtId="0" fontId="32" fillId="0" borderId="0" applyNumberFormat="0" applyFill="0" applyBorder="0" applyAlignment="0" applyProtection="0">
      <alignment vertical="top"/>
      <protection locked="0"/>
    </xf>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27" fillId="14" borderId="0" applyNumberFormat="0" applyBorder="0" applyAlignment="0" applyProtection="0">
      <alignment vertical="center"/>
    </xf>
    <xf numFmtId="0" fontId="38" fillId="0" borderId="0">
      <alignment vertical="center"/>
    </xf>
    <xf numFmtId="0" fontId="38"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39" fillId="0" borderId="0">
      <alignment vertical="center"/>
    </xf>
    <xf numFmtId="0" fontId="26" fillId="0" borderId="0">
      <alignment vertical="center"/>
    </xf>
    <xf numFmtId="0" fontId="39" fillId="0" borderId="0">
      <alignment vertical="center"/>
    </xf>
    <xf numFmtId="0" fontId="17" fillId="13" borderId="23" applyNumberFormat="0" applyFon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8"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43" fontId="17" fillId="0" borderId="0" applyFont="0" applyFill="0" applyBorder="0" applyAlignment="0" applyProtection="0">
      <alignment vertical="center"/>
    </xf>
    <xf numFmtId="0" fontId="26" fillId="0" borderId="0">
      <alignment vertical="center"/>
    </xf>
    <xf numFmtId="43" fontId="17" fillId="0" borderId="0" applyFont="0" applyFill="0" applyBorder="0" applyAlignment="0" applyProtection="0">
      <alignment vertical="center"/>
    </xf>
    <xf numFmtId="0" fontId="26" fillId="0" borderId="0">
      <alignment vertical="center"/>
    </xf>
    <xf numFmtId="43" fontId="17" fillId="0" borderId="0" applyFont="0" applyFill="0" applyBorder="0" applyAlignment="0" applyProtection="0">
      <alignment vertical="center"/>
    </xf>
    <xf numFmtId="0" fontId="26" fillId="0" borderId="0">
      <alignment vertical="center"/>
    </xf>
    <xf numFmtId="43" fontId="17" fillId="0" borderId="0" applyFont="0" applyFill="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43" fontId="17" fillId="0" borderId="0" applyFont="0" applyFill="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43" fontId="17" fillId="0" borderId="0" applyFont="0" applyFill="0" applyBorder="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43" fontId="17" fillId="0" borderId="0" applyFont="0" applyFill="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38"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9" fillId="0" borderId="0">
      <alignment vertical="center"/>
    </xf>
    <xf numFmtId="0" fontId="34" fillId="0" borderId="0">
      <alignment vertical="center"/>
    </xf>
    <xf numFmtId="0" fontId="39" fillId="0" borderId="0">
      <alignment vertical="center"/>
    </xf>
    <xf numFmtId="0" fontId="39" fillId="0" borderId="0">
      <alignment vertical="center"/>
    </xf>
    <xf numFmtId="0" fontId="28" fillId="15" borderId="24" applyNumberFormat="0" applyAlignment="0" applyProtection="0">
      <alignment vertical="center"/>
    </xf>
    <xf numFmtId="0" fontId="39" fillId="0" borderId="0">
      <alignment vertical="center"/>
    </xf>
    <xf numFmtId="0" fontId="28" fillId="15" borderId="24" applyNumberFormat="0" applyAlignment="0" applyProtection="0">
      <alignment vertical="center"/>
    </xf>
    <xf numFmtId="0" fontId="39" fillId="0" borderId="0">
      <alignment vertical="center"/>
    </xf>
    <xf numFmtId="0" fontId="39" fillId="0" borderId="0">
      <alignment vertical="center"/>
    </xf>
    <xf numFmtId="0" fontId="32" fillId="0" borderId="0" applyNumberFormat="0" applyFill="0" applyBorder="0" applyAlignment="0" applyProtection="0">
      <alignment vertical="top"/>
      <protection locked="0"/>
    </xf>
    <xf numFmtId="0" fontId="39" fillId="0" borderId="0">
      <alignment vertical="center"/>
    </xf>
    <xf numFmtId="0" fontId="39" fillId="0" borderId="0">
      <alignment vertical="center"/>
    </xf>
    <xf numFmtId="0" fontId="39" fillId="0" borderId="0">
      <alignment vertical="center"/>
    </xf>
    <xf numFmtId="0" fontId="26" fillId="0" borderId="0">
      <alignment vertical="center"/>
    </xf>
    <xf numFmtId="0" fontId="39" fillId="0" borderId="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9" fillId="0" borderId="0">
      <alignment vertical="center"/>
    </xf>
    <xf numFmtId="0" fontId="26" fillId="0" borderId="0">
      <alignment vertical="center"/>
    </xf>
    <xf numFmtId="0" fontId="39" fillId="0" borderId="0">
      <alignment vertical="center"/>
    </xf>
    <xf numFmtId="0" fontId="32" fillId="0" borderId="0" applyNumberFormat="0" applyFill="0" applyBorder="0" applyAlignment="0" applyProtection="0">
      <alignment vertical="top"/>
      <protection locked="0"/>
    </xf>
    <xf numFmtId="0" fontId="39" fillId="0" borderId="0">
      <alignment vertical="center"/>
    </xf>
    <xf numFmtId="0" fontId="26"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4" fillId="0" borderId="0">
      <alignment vertical="center"/>
    </xf>
    <xf numFmtId="0" fontId="28" fillId="15" borderId="24" applyNumberFormat="0" applyAlignment="0" applyProtection="0">
      <alignment vertical="center"/>
    </xf>
    <xf numFmtId="0" fontId="39" fillId="0" borderId="0">
      <alignment vertical="center"/>
    </xf>
    <xf numFmtId="0" fontId="34" fillId="0" borderId="0">
      <alignment vertical="center"/>
    </xf>
    <xf numFmtId="0" fontId="39" fillId="0" borderId="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34" fillId="0" borderId="0">
      <alignment vertical="center"/>
    </xf>
    <xf numFmtId="0" fontId="34"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34"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6" fillId="0" borderId="0">
      <alignment vertical="center"/>
    </xf>
    <xf numFmtId="0" fontId="26"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4"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1" fillId="4" borderId="24" applyNumberFormat="0" applyAlignment="0" applyProtection="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4" fillId="0" borderId="0">
      <alignment vertical="center"/>
    </xf>
    <xf numFmtId="0" fontId="17" fillId="0" borderId="0">
      <alignment vertical="center"/>
    </xf>
    <xf numFmtId="0" fontId="38" fillId="0" borderId="0">
      <alignment vertical="center"/>
    </xf>
    <xf numFmtId="0" fontId="34" fillId="0" borderId="0">
      <alignment vertical="center"/>
    </xf>
    <xf numFmtId="0" fontId="34" fillId="0" borderId="0">
      <alignment vertical="center"/>
    </xf>
    <xf numFmtId="0" fontId="17" fillId="0" borderId="0">
      <alignment vertical="center"/>
    </xf>
    <xf numFmtId="0" fontId="38" fillId="0" borderId="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34" fillId="0" borderId="0">
      <alignment vertical="center"/>
    </xf>
    <xf numFmtId="0" fontId="34"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7" fillId="0" borderId="0">
      <alignment vertical="center"/>
    </xf>
    <xf numFmtId="0" fontId="34"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30" fillId="15" borderId="26" applyNumberFormat="0" applyAlignment="0" applyProtection="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34" fillId="0" borderId="0">
      <alignment vertical="center"/>
    </xf>
    <xf numFmtId="0" fontId="34"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38" fillId="0" borderId="0">
      <alignment vertical="center"/>
    </xf>
    <xf numFmtId="0" fontId="27" fillId="14" borderId="0" applyNumberFormat="0" applyBorder="0" applyAlignment="0" applyProtection="0">
      <alignment vertical="center"/>
    </xf>
    <xf numFmtId="0" fontId="26" fillId="0" borderId="0">
      <alignment vertical="center"/>
    </xf>
    <xf numFmtId="0" fontId="34" fillId="0" borderId="0">
      <alignment vertical="center"/>
    </xf>
    <xf numFmtId="0" fontId="26" fillId="0" borderId="0">
      <alignment vertical="center"/>
    </xf>
    <xf numFmtId="0" fontId="27" fillId="14" borderId="0" applyNumberFormat="0" applyBorder="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8" fillId="0" borderId="0">
      <alignment vertical="center"/>
    </xf>
    <xf numFmtId="0" fontId="38" fillId="0" borderId="0">
      <alignment vertical="center"/>
    </xf>
    <xf numFmtId="0" fontId="34"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30" fillId="15" borderId="26" applyNumberFormat="0" applyAlignment="0" applyProtection="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6" fillId="0" borderId="0">
      <alignment vertical="center"/>
    </xf>
    <xf numFmtId="0" fontId="28" fillId="15" borderId="24" applyNumberFormat="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14" borderId="0" applyNumberFormat="0" applyBorder="0" applyAlignment="0" applyProtection="0">
      <alignment vertical="center"/>
    </xf>
    <xf numFmtId="0" fontId="17" fillId="0" borderId="0">
      <alignment vertical="center"/>
    </xf>
    <xf numFmtId="0" fontId="26" fillId="0" borderId="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9" fillId="0" borderId="25" applyNumberFormat="0" applyFill="0" applyAlignment="0" applyProtection="0">
      <alignment vertical="center"/>
    </xf>
    <xf numFmtId="0" fontId="26" fillId="0" borderId="0">
      <alignment vertical="center"/>
    </xf>
    <xf numFmtId="0" fontId="26" fillId="0" borderId="0">
      <alignment vertical="center"/>
    </xf>
    <xf numFmtId="0" fontId="39" fillId="0" borderId="0">
      <alignment vertical="center"/>
    </xf>
    <xf numFmtId="0" fontId="17" fillId="0" borderId="0">
      <alignment vertical="center"/>
    </xf>
    <xf numFmtId="0" fontId="39" fillId="0" borderId="0">
      <alignment vertical="center"/>
    </xf>
    <xf numFmtId="0" fontId="17" fillId="0" borderId="0">
      <alignment vertical="center"/>
    </xf>
    <xf numFmtId="0" fontId="28" fillId="15" borderId="24" applyNumberFormat="0" applyAlignment="0" applyProtection="0">
      <alignment vertical="center"/>
    </xf>
    <xf numFmtId="0" fontId="17" fillId="0" borderId="0">
      <alignment vertical="center"/>
    </xf>
    <xf numFmtId="0" fontId="17"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39" fillId="0" borderId="0">
      <alignment vertical="center"/>
    </xf>
    <xf numFmtId="0" fontId="17" fillId="0" borderId="0">
      <alignment vertical="center"/>
    </xf>
    <xf numFmtId="0" fontId="34" fillId="0" borderId="0">
      <alignment vertical="center"/>
    </xf>
    <xf numFmtId="0" fontId="17" fillId="0" borderId="0">
      <alignment vertical="center"/>
    </xf>
    <xf numFmtId="0" fontId="17" fillId="0" borderId="0">
      <alignment vertical="center"/>
    </xf>
    <xf numFmtId="0" fontId="34"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7" fillId="0" borderId="0">
      <alignment vertical="center"/>
    </xf>
    <xf numFmtId="0" fontId="26" fillId="0" borderId="0">
      <alignment vertical="center"/>
    </xf>
    <xf numFmtId="0" fontId="17" fillId="0" borderId="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30" fillId="15" borderId="26" applyNumberFormat="0" applyAlignment="0" applyProtection="0">
      <alignment vertical="center"/>
    </xf>
    <xf numFmtId="0" fontId="26"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26"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26"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4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4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4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4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4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4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42" fillId="0" borderId="0" applyNumberFormat="0" applyFill="0" applyBorder="0" applyAlignment="0" applyProtection="0">
      <alignment vertical="top"/>
      <protection locked="0"/>
    </xf>
    <xf numFmtId="0" fontId="42" fillId="0" borderId="0" applyNumberFormat="0" applyFill="0" applyBorder="0" applyAlignment="0" applyProtection="0">
      <alignment vertical="top"/>
      <protection locked="0"/>
    </xf>
    <xf numFmtId="0" fontId="4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42" fillId="0" borderId="0" applyNumberFormat="0" applyFill="0" applyBorder="0" applyAlignment="0" applyProtection="0">
      <alignment vertical="top"/>
      <protection locked="0"/>
    </xf>
    <xf numFmtId="0" fontId="4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42" fillId="0" borderId="0" applyNumberFormat="0" applyFill="0" applyBorder="0" applyAlignment="0" applyProtection="0">
      <alignment vertical="top"/>
      <protection locked="0"/>
    </xf>
    <xf numFmtId="0" fontId="4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26"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0" fillId="15" borderId="26" applyNumberFormat="0" applyAlignment="0" applyProtection="0">
      <alignment vertical="center"/>
    </xf>
    <xf numFmtId="0" fontId="17" fillId="0" borderId="0">
      <alignment vertical="center"/>
    </xf>
    <xf numFmtId="0" fontId="17" fillId="0" borderId="0">
      <alignment vertical="center"/>
    </xf>
    <xf numFmtId="0" fontId="32" fillId="0" borderId="0" applyNumberFormat="0" applyFill="0" applyBorder="0" applyAlignment="0" applyProtection="0">
      <alignment vertical="top"/>
      <protection locked="0"/>
    </xf>
    <xf numFmtId="0" fontId="30" fillId="15" borderId="26" applyNumberFormat="0" applyAlignment="0" applyProtection="0">
      <alignment vertical="center"/>
    </xf>
    <xf numFmtId="0" fontId="17" fillId="0" borderId="0">
      <alignment vertical="center"/>
    </xf>
    <xf numFmtId="0" fontId="17" fillId="0" borderId="0">
      <alignment vertical="center"/>
    </xf>
    <xf numFmtId="0" fontId="32" fillId="0" borderId="0" applyNumberFormat="0" applyFill="0" applyBorder="0" applyAlignment="0" applyProtection="0">
      <alignment vertical="top"/>
      <protection locked="0"/>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17" fillId="0" borderId="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8" fillId="15" borderId="24" applyNumberFormat="0" applyAlignment="0" applyProtection="0">
      <alignment vertical="center"/>
    </xf>
    <xf numFmtId="0" fontId="32" fillId="0" borderId="0" applyNumberFormat="0" applyFill="0" applyBorder="0" applyAlignment="0" applyProtection="0">
      <alignment vertical="top"/>
      <protection locked="0"/>
    </xf>
    <xf numFmtId="0" fontId="29" fillId="0" borderId="25" applyNumberFormat="0" applyFill="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17" fillId="13" borderId="23" applyNumberFormat="0" applyFon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17" fillId="0" borderId="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7" fillId="14" borderId="0" applyNumberFormat="0" applyBorder="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0" fillId="15" borderId="26" applyNumberFormat="0" applyAlignment="0" applyProtection="0">
      <alignment vertical="center"/>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56" fillId="0" borderId="31" applyNumberFormat="0" applyFill="0" applyAlignment="0" applyProtection="0">
      <alignment vertical="center"/>
    </xf>
    <xf numFmtId="0" fontId="5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6" fillId="28"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6" fillId="19"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6" fillId="19"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43" fontId="17" fillId="0" borderId="0" applyFont="0" applyFill="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43" fontId="17" fillId="0" borderId="0" applyFont="0" applyFill="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43" fontId="17" fillId="0" borderId="0" applyFont="0" applyFill="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8" fillId="15" borderId="24" applyNumberFormat="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43" fontId="17" fillId="0" borderId="0" applyFont="0" applyFill="0" applyBorder="0" applyAlignment="0" applyProtection="0">
      <alignment vertical="center"/>
    </xf>
    <xf numFmtId="0" fontId="27" fillId="14" borderId="0" applyNumberFormat="0" applyBorder="0" applyAlignment="0" applyProtection="0">
      <alignment vertical="center"/>
    </xf>
    <xf numFmtId="43" fontId="17" fillId="0" borderId="0" applyFont="0" applyFill="0" applyBorder="0" applyAlignment="0" applyProtection="0">
      <alignment vertical="center"/>
    </xf>
    <xf numFmtId="0" fontId="27" fillId="14" borderId="0" applyNumberFormat="0" applyBorder="0" applyAlignment="0" applyProtection="0">
      <alignment vertical="center"/>
    </xf>
    <xf numFmtId="43" fontId="17" fillId="0" borderId="0" applyFont="0" applyFill="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1" fillId="4" borderId="24" applyNumberFormat="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30" fillId="15" borderId="26" applyNumberFormat="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43" fillId="21" borderId="28"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43" fontId="17" fillId="0" borderId="0" applyFont="0" applyFill="0" applyBorder="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37" fillId="29"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52" fillId="21" borderId="28" applyNumberFormat="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36" fillId="19" borderId="0" applyNumberFormat="0" applyBorder="0" applyAlignment="0" applyProtection="0">
      <alignment vertical="center"/>
    </xf>
    <xf numFmtId="0" fontId="27" fillId="14" borderId="0" applyNumberFormat="0" applyBorder="0" applyAlignment="0" applyProtection="0">
      <alignment vertical="center"/>
    </xf>
    <xf numFmtId="0" fontId="36" fillId="19" borderId="0" applyNumberFormat="0" applyBorder="0" applyAlignment="0" applyProtection="0">
      <alignment vertical="center"/>
    </xf>
    <xf numFmtId="0" fontId="27" fillId="14" borderId="0" applyNumberFormat="0" applyBorder="0" applyAlignment="0" applyProtection="0">
      <alignment vertical="center"/>
    </xf>
    <xf numFmtId="0" fontId="36" fillId="19"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8" fillId="15" borderId="24"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43"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13" borderId="23" applyNumberFormat="0" applyFont="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30" fillId="15" borderId="26" applyNumberFormat="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28" fillId="15" borderId="24" applyNumberFormat="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28" fillId="15" borderId="24" applyNumberFormat="0" applyAlignment="0" applyProtection="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17" fillId="0" borderId="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69" fillId="0" borderId="3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6" fillId="19"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48" fillId="0" borderId="0" applyNumberFormat="0" applyFill="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48" fillId="0" borderId="0" applyNumberFormat="0" applyFill="0" applyBorder="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6" fillId="19"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6" fillId="19" borderId="0" applyNumberFormat="0" applyBorder="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8" fillId="15"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31" fillId="4" borderId="24"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6" fillId="29"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6" fillId="24" borderId="0" applyNumberFormat="0" applyBorder="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0" borderId="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17" fillId="13" borderId="23" applyNumberFormat="0" applyFon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30" fillId="15" borderId="26" applyNumberFormat="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0" fontId="29" fillId="0" borderId="25" applyNumberFormat="0" applyFill="0" applyAlignment="0" applyProtection="0">
      <alignment vertical="center"/>
    </xf>
    <xf numFmtId="182" fontId="17" fillId="0" borderId="0" applyFont="0" applyFill="0" applyBorder="0" applyAlignment="0" applyProtection="0">
      <alignment vertical="center"/>
    </xf>
    <xf numFmtId="181" fontId="17" fillId="0" borderId="0" applyFont="0" applyFill="0" applyBorder="0" applyAlignment="0" applyProtection="0">
      <alignment vertical="center"/>
    </xf>
    <xf numFmtId="182" fontId="17" fillId="0" borderId="0" applyFont="0" applyFill="0" applyBorder="0" applyAlignment="0" applyProtection="0">
      <alignment vertical="center"/>
    </xf>
    <xf numFmtId="0" fontId="30" fillId="15" borderId="26" applyNumberFormat="0" applyAlignment="0" applyProtection="0">
      <alignment vertical="center"/>
    </xf>
    <xf numFmtId="178" fontId="17"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43" fontId="17"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45" fillId="26"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6" fillId="10"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19" borderId="0" applyNumberFormat="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50" fillId="0" borderId="0" applyNumberForma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6" fillId="9"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43" fontId="17"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43" fontId="17" fillId="0" borderId="0" applyFont="0" applyFill="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46" fillId="23"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46" fillId="23" borderId="0" applyNumberFormat="0" applyBorder="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43" fontId="17" fillId="0" borderId="0" applyFont="0" applyFill="0" applyBorder="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30" fillId="15" borderId="26"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28" fillId="15" borderId="24" applyNumberFormat="0" applyAlignment="0" applyProtection="0">
      <alignment vertical="center"/>
    </xf>
    <xf numFmtId="0" fontId="43" fillId="21" borderId="28" applyNumberFormat="0" applyAlignment="0" applyProtection="0">
      <alignment vertical="center"/>
    </xf>
    <xf numFmtId="0" fontId="43" fillId="21" borderId="28" applyNumberFormat="0" applyAlignment="0" applyProtection="0">
      <alignment vertical="center"/>
    </xf>
    <xf numFmtId="0" fontId="43" fillId="21" borderId="28" applyNumberFormat="0" applyAlignment="0" applyProtection="0">
      <alignment vertical="center"/>
    </xf>
    <xf numFmtId="0" fontId="43" fillId="21" borderId="28" applyNumberFormat="0" applyAlignment="0" applyProtection="0">
      <alignment vertical="center"/>
    </xf>
    <xf numFmtId="0" fontId="43" fillId="21" borderId="28" applyNumberFormat="0" applyAlignment="0" applyProtection="0">
      <alignment vertical="center"/>
    </xf>
    <xf numFmtId="0" fontId="43" fillId="21" borderId="28" applyNumberFormat="0" applyAlignment="0" applyProtection="0">
      <alignment vertical="center"/>
    </xf>
    <xf numFmtId="0" fontId="43" fillId="21" borderId="28" applyNumberFormat="0" applyAlignment="0" applyProtection="0">
      <alignment vertical="center"/>
    </xf>
    <xf numFmtId="0" fontId="43" fillId="21" borderId="28" applyNumberFormat="0" applyAlignment="0" applyProtection="0">
      <alignment vertical="center"/>
    </xf>
    <xf numFmtId="0" fontId="43" fillId="21" borderId="28" applyNumberFormat="0" applyAlignment="0" applyProtection="0">
      <alignment vertical="center"/>
    </xf>
    <xf numFmtId="0" fontId="43" fillId="21" borderId="28" applyNumberFormat="0" applyAlignment="0" applyProtection="0">
      <alignment vertical="center"/>
    </xf>
    <xf numFmtId="0" fontId="43" fillId="21" borderId="28" applyNumberFormat="0" applyAlignment="0" applyProtection="0">
      <alignment vertical="center"/>
    </xf>
    <xf numFmtId="0" fontId="43" fillId="21" borderId="28" applyNumberFormat="0" applyAlignment="0" applyProtection="0">
      <alignment vertical="center"/>
    </xf>
    <xf numFmtId="0" fontId="43" fillId="21" borderId="28" applyNumberFormat="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30" fillId="15" borderId="26" applyNumberFormat="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17" fillId="13" borderId="23" applyNumberFormat="0" applyFont="0" applyAlignment="0" applyProtection="0">
      <alignment vertical="center"/>
    </xf>
    <xf numFmtId="0" fontId="50" fillId="0" borderId="0" applyNumberFormat="0" applyFill="0" applyBorder="0" applyAlignment="0" applyProtection="0">
      <alignment vertical="center"/>
    </xf>
    <xf numFmtId="0" fontId="17" fillId="13" borderId="23" applyNumberFormat="0" applyFont="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70" fillId="0" borderId="31" applyNumberFormat="0" applyFill="0" applyAlignment="0" applyProtection="0">
      <alignment vertical="center"/>
    </xf>
    <xf numFmtId="0" fontId="56" fillId="0" borderId="31" applyNumberFormat="0" applyFill="0" applyAlignment="0" applyProtection="0">
      <alignment vertical="center"/>
    </xf>
    <xf numFmtId="0" fontId="56" fillId="0" borderId="31" applyNumberFormat="0" applyFill="0" applyAlignment="0" applyProtection="0">
      <alignment vertical="center"/>
    </xf>
    <xf numFmtId="0" fontId="56" fillId="0" borderId="31" applyNumberFormat="0" applyFill="0" applyAlignment="0" applyProtection="0">
      <alignment vertical="center"/>
    </xf>
    <xf numFmtId="0" fontId="56" fillId="0" borderId="31" applyNumberFormat="0" applyFill="0" applyAlignment="0" applyProtection="0">
      <alignment vertical="center"/>
    </xf>
    <xf numFmtId="0" fontId="56" fillId="0" borderId="31" applyNumberFormat="0" applyFill="0" applyAlignment="0" applyProtection="0">
      <alignment vertical="center"/>
    </xf>
    <xf numFmtId="0" fontId="56" fillId="0" borderId="31" applyNumberFormat="0" applyFill="0" applyAlignment="0" applyProtection="0">
      <alignment vertical="center"/>
    </xf>
    <xf numFmtId="0" fontId="56" fillId="0" borderId="31" applyNumberFormat="0" applyFill="0" applyAlignment="0" applyProtection="0">
      <alignment vertical="center"/>
    </xf>
    <xf numFmtId="0" fontId="56" fillId="0" borderId="31" applyNumberFormat="0" applyFill="0" applyAlignment="0" applyProtection="0">
      <alignment vertical="center"/>
    </xf>
    <xf numFmtId="0" fontId="17" fillId="13" borderId="23" applyNumberFormat="0" applyFont="0" applyAlignment="0" applyProtection="0">
      <alignment vertical="center"/>
    </xf>
    <xf numFmtId="0" fontId="56" fillId="0" borderId="31" applyNumberFormat="0" applyFill="0" applyAlignment="0" applyProtection="0">
      <alignment vertical="center"/>
    </xf>
    <xf numFmtId="0" fontId="56" fillId="0" borderId="31" applyNumberFormat="0" applyFill="0" applyAlignment="0" applyProtection="0">
      <alignment vertical="center"/>
    </xf>
    <xf numFmtId="0" fontId="56" fillId="0" borderId="31" applyNumberFormat="0" applyFill="0" applyAlignment="0" applyProtection="0">
      <alignment vertical="center"/>
    </xf>
    <xf numFmtId="43" fontId="17" fillId="0" borderId="0" applyFont="0" applyFill="0" applyBorder="0" applyAlignment="0" applyProtection="0">
      <alignment vertical="center"/>
    </xf>
    <xf numFmtId="0" fontId="17" fillId="13" borderId="23" applyNumberFormat="0" applyFont="0" applyAlignment="0" applyProtection="0">
      <alignment vertical="center"/>
    </xf>
    <xf numFmtId="43" fontId="17" fillId="0" borderId="0" applyFont="0" applyFill="0" applyBorder="0" applyAlignment="0" applyProtection="0">
      <alignment vertical="center"/>
    </xf>
    <xf numFmtId="0" fontId="17" fillId="13" borderId="23" applyNumberFormat="0" applyFont="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0" fontId="17" fillId="13" borderId="23" applyNumberFormat="0" applyFont="0" applyAlignment="0" applyProtection="0">
      <alignment vertical="center"/>
    </xf>
    <xf numFmtId="43" fontId="17" fillId="0" borderId="0" applyFont="0" applyFill="0" applyBorder="0" applyAlignment="0" applyProtection="0">
      <alignment vertical="center"/>
    </xf>
    <xf numFmtId="0" fontId="17" fillId="13" borderId="23" applyNumberFormat="0" applyFont="0" applyAlignment="0" applyProtection="0">
      <alignment vertical="center"/>
    </xf>
    <xf numFmtId="43" fontId="17" fillId="0" borderId="0" applyFont="0" applyFill="0" applyBorder="0" applyAlignment="0" applyProtection="0">
      <alignment vertical="center"/>
    </xf>
    <xf numFmtId="0" fontId="17" fillId="13" borderId="23" applyNumberFormat="0" applyFont="0" applyAlignment="0" applyProtection="0">
      <alignment vertical="center"/>
    </xf>
    <xf numFmtId="179" fontId="17" fillId="0" borderId="0" applyFont="0" applyFill="0" applyBorder="0" applyAlignment="0" applyProtection="0">
      <alignment vertical="center"/>
    </xf>
    <xf numFmtId="0" fontId="17" fillId="13" borderId="23" applyNumberFormat="0" applyFont="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0" fontId="30" fillId="15" borderId="26" applyNumberFormat="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43" fontId="17" fillId="0" borderId="0" applyFont="0" applyFill="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0" fillId="15" borderId="26" applyNumberFormat="0" applyAlignment="0" applyProtection="0">
      <alignment vertical="center"/>
    </xf>
    <xf numFmtId="0" fontId="36" fillId="9" borderId="0" applyNumberFormat="0" applyBorder="0" applyAlignment="0" applyProtection="0">
      <alignment vertical="center"/>
    </xf>
    <xf numFmtId="0" fontId="36" fillId="9" borderId="0" applyNumberFormat="0" applyBorder="0" applyAlignment="0" applyProtection="0">
      <alignment vertical="center"/>
    </xf>
    <xf numFmtId="0" fontId="36" fillId="9" borderId="0" applyNumberFormat="0" applyBorder="0" applyAlignment="0" applyProtection="0">
      <alignment vertical="center"/>
    </xf>
    <xf numFmtId="0" fontId="36" fillId="9" borderId="0" applyNumberFormat="0" applyBorder="0" applyAlignment="0" applyProtection="0">
      <alignment vertical="center"/>
    </xf>
    <xf numFmtId="0" fontId="36" fillId="9" borderId="0" applyNumberFormat="0" applyBorder="0" applyAlignment="0" applyProtection="0">
      <alignment vertical="center"/>
    </xf>
    <xf numFmtId="0" fontId="36" fillId="9" borderId="0" applyNumberFormat="0" applyBorder="0" applyAlignment="0" applyProtection="0">
      <alignment vertical="center"/>
    </xf>
    <xf numFmtId="0" fontId="36" fillId="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0" fillId="15" borderId="26" applyNumberFormat="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1" fillId="4" borderId="24" applyNumberFormat="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17" fillId="13" borderId="23" applyNumberFormat="0" applyFont="0" applyAlignment="0" applyProtection="0">
      <alignment vertical="center"/>
    </xf>
    <xf numFmtId="0" fontId="36" fillId="10" borderId="0" applyNumberFormat="0" applyBorder="0" applyAlignment="0" applyProtection="0">
      <alignment vertical="center"/>
    </xf>
    <xf numFmtId="0" fontId="17" fillId="13" borderId="23" applyNumberFormat="0" applyFont="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66" fillId="23" borderId="0" applyNumberFormat="0" applyBorder="0" applyAlignment="0" applyProtection="0">
      <alignment vertical="center"/>
    </xf>
    <xf numFmtId="0" fontId="46" fillId="23" borderId="0" applyNumberFormat="0" applyBorder="0" applyAlignment="0" applyProtection="0">
      <alignment vertical="center"/>
    </xf>
    <xf numFmtId="0" fontId="46" fillId="23" borderId="0" applyNumberFormat="0" applyBorder="0" applyAlignment="0" applyProtection="0">
      <alignment vertical="center"/>
    </xf>
    <xf numFmtId="0" fontId="46" fillId="23" borderId="0" applyNumberFormat="0" applyBorder="0" applyAlignment="0" applyProtection="0">
      <alignment vertical="center"/>
    </xf>
    <xf numFmtId="0" fontId="46" fillId="23" borderId="0" applyNumberFormat="0" applyBorder="0" applyAlignment="0" applyProtection="0">
      <alignment vertical="center"/>
    </xf>
    <xf numFmtId="0" fontId="46" fillId="23" borderId="0" applyNumberFormat="0" applyBorder="0" applyAlignment="0" applyProtection="0">
      <alignment vertical="center"/>
    </xf>
    <xf numFmtId="0" fontId="46" fillId="23" borderId="0" applyNumberFormat="0" applyBorder="0" applyAlignment="0" applyProtection="0">
      <alignment vertical="center"/>
    </xf>
    <xf numFmtId="0" fontId="46" fillId="23" borderId="0" applyNumberFormat="0" applyBorder="0" applyAlignment="0" applyProtection="0">
      <alignment vertical="center"/>
    </xf>
    <xf numFmtId="0" fontId="46" fillId="23" borderId="0" applyNumberFormat="0" applyBorder="0" applyAlignment="0" applyProtection="0">
      <alignment vertical="center"/>
    </xf>
    <xf numFmtId="0" fontId="46" fillId="23" borderId="0" applyNumberFormat="0" applyBorder="0" applyAlignment="0" applyProtection="0">
      <alignment vertical="center"/>
    </xf>
    <xf numFmtId="0" fontId="46" fillId="23" borderId="0" applyNumberFormat="0" applyBorder="0" applyAlignment="0" applyProtection="0">
      <alignment vertical="center"/>
    </xf>
    <xf numFmtId="0" fontId="46" fillId="23" borderId="0" applyNumberFormat="0" applyBorder="0" applyAlignment="0" applyProtection="0">
      <alignment vertical="center"/>
    </xf>
    <xf numFmtId="0" fontId="46" fillId="23" borderId="0" applyNumberFormat="0" applyBorder="0" applyAlignment="0" applyProtection="0">
      <alignment vertical="center"/>
    </xf>
    <xf numFmtId="0" fontId="71" fillId="6"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1" fillId="4" borderId="24"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17" fillId="13" borderId="23" applyNumberFormat="0" applyFont="0" applyAlignment="0" applyProtection="0">
      <alignment vertical="center"/>
    </xf>
    <xf numFmtId="0" fontId="30" fillId="15" borderId="26" applyNumberFormat="0" applyAlignment="0" applyProtection="0">
      <alignment vertical="center"/>
    </xf>
    <xf numFmtId="0" fontId="30" fillId="15" borderId="26" applyNumberFormat="0" applyAlignment="0" applyProtection="0">
      <alignment vertical="center"/>
    </xf>
    <xf numFmtId="0" fontId="72"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7" fillId="10" borderId="0" applyNumberFormat="0" applyBorder="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17" fillId="13" borderId="23" applyNumberFormat="0" applyFon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31" fillId="4" borderId="24"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26" fillId="0" borderId="0">
      <alignment vertical="center"/>
    </xf>
    <xf numFmtId="0" fontId="17" fillId="0" borderId="0">
      <alignment vertical="center"/>
    </xf>
    <xf numFmtId="0" fontId="26"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3" fillId="0" borderId="0">
      <alignment vertical="center"/>
    </xf>
    <xf numFmtId="0" fontId="17" fillId="0" borderId="0">
      <alignment vertical="center"/>
    </xf>
    <xf numFmtId="0" fontId="17" fillId="0" borderId="0">
      <alignment vertical="center"/>
    </xf>
    <xf numFmtId="0" fontId="73" fillId="0" borderId="0">
      <alignment vertical="center"/>
    </xf>
    <xf numFmtId="0" fontId="17" fillId="0" borderId="0">
      <alignment vertical="center"/>
    </xf>
    <xf numFmtId="0" fontId="26" fillId="0" borderId="0">
      <alignment vertical="center"/>
    </xf>
    <xf numFmtId="0" fontId="73"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13" borderId="23" applyNumberFormat="0" applyFon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25" fillId="0" borderId="0">
      <alignment vertical="center"/>
    </xf>
    <xf numFmtId="0" fontId="37" fillId="9" borderId="0" applyNumberFormat="0" applyBorder="0" applyAlignment="0" applyProtection="0">
      <alignment vertical="center"/>
    </xf>
    <xf numFmtId="0" fontId="37" fillId="30" borderId="0" applyNumberFormat="0" applyBorder="0" applyAlignment="0" applyProtection="0">
      <alignment vertical="center"/>
    </xf>
    <xf numFmtId="0" fontId="37" fillId="10" borderId="0" applyNumberFormat="0" applyBorder="0" applyAlignment="0" applyProtection="0">
      <alignment vertical="center"/>
    </xf>
    <xf numFmtId="0" fontId="37" fillId="19" borderId="0" applyNumberFormat="0" applyBorder="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xf numFmtId="0" fontId="17" fillId="13" borderId="23" applyNumberFormat="0" applyFont="0" applyAlignment="0" applyProtection="0">
      <alignment vertical="center"/>
    </xf>
  </cellStyleXfs>
  <cellXfs count="1005">
    <xf numFmtId="0" fontId="0" fillId="0" borderId="0" xfId="0" applyFont="1" applyAlignment="1">
      <alignment vertical="center"/>
    </xf>
    <xf numFmtId="0" fontId="2" fillId="0" borderId="0" xfId="0" applyFont="1" applyAlignment="1"/>
    <xf numFmtId="0" fontId="1" fillId="0" borderId="0" xfId="0" applyFont="1" applyAlignment="1">
      <alignment vertical="center"/>
    </xf>
    <xf numFmtId="183" fontId="1" fillId="0" borderId="0" xfId="0" applyNumberFormat="1" applyFont="1" applyAlignment="1"/>
    <xf numFmtId="184" fontId="1" fillId="0" borderId="0" xfId="0" applyNumberFormat="1" applyFont="1" applyAlignment="1"/>
    <xf numFmtId="183" fontId="1" fillId="2" borderId="1" xfId="0" applyNumberFormat="1" applyFont="1" applyFill="1" applyBorder="1" applyAlignment="1"/>
    <xf numFmtId="0" fontId="1" fillId="2" borderId="1" xfId="0" applyFont="1" applyFill="1" applyBorder="1" applyAlignment="1"/>
    <xf numFmtId="0" fontId="2" fillId="2" borderId="0" xfId="0" applyFont="1" applyFill="1" applyAlignment="1"/>
    <xf numFmtId="0" fontId="2" fillId="2" borderId="1" xfId="0" applyFont="1" applyFill="1" applyBorder="1" applyAlignment="1"/>
    <xf numFmtId="184" fontId="1" fillId="2" borderId="0" xfId="0" applyNumberFormat="1" applyFont="1" applyFill="1" applyAlignment="1"/>
    <xf numFmtId="183" fontId="1" fillId="2" borderId="2" xfId="0" applyNumberFormat="1" applyFont="1" applyFill="1" applyBorder="1" applyAlignment="1"/>
    <xf numFmtId="0" fontId="1" fillId="2" borderId="2" xfId="0" applyFont="1" applyFill="1" applyBorder="1" applyAlignment="1"/>
    <xf numFmtId="0" fontId="2" fillId="2" borderId="2" xfId="0" applyFont="1" applyFill="1" applyBorder="1" applyAlignment="1"/>
    <xf numFmtId="185" fontId="1" fillId="0" borderId="4" xfId="0" applyNumberFormat="1" applyFont="1" applyBorder="1" applyAlignment="1">
      <alignment horizontal="center" vertical="center" wrapText="1"/>
    </xf>
    <xf numFmtId="185" fontId="1" fillId="0" borderId="1" xfId="0" applyNumberFormat="1" applyFont="1" applyBorder="1" applyAlignment="1">
      <alignment horizontal="center" vertical="center" wrapText="1"/>
    </xf>
    <xf numFmtId="185" fontId="1" fillId="0" borderId="1" xfId="0" applyNumberFormat="1" applyFont="1" applyBorder="1" applyAlignment="1">
      <alignment vertical="center"/>
    </xf>
    <xf numFmtId="185" fontId="3" fillId="0" borderId="1" xfId="0" applyNumberFormat="1" applyFont="1" applyBorder="1" applyAlignment="1">
      <alignment vertical="center"/>
    </xf>
    <xf numFmtId="185" fontId="1" fillId="0" borderId="7" xfId="0" applyNumberFormat="1" applyFont="1" applyBorder="1" applyAlignment="1">
      <alignment horizontal="center" vertical="center" wrapText="1"/>
    </xf>
    <xf numFmtId="185" fontId="3" fillId="0" borderId="7" xfId="0" applyNumberFormat="1" applyFont="1" applyBorder="1" applyAlignment="1">
      <alignment vertical="center"/>
    </xf>
    <xf numFmtId="183" fontId="2" fillId="3" borderId="8" xfId="0" applyNumberFormat="1" applyFont="1" applyFill="1" applyBorder="1" applyAlignment="1">
      <alignment horizontal="center" vertical="center" wrapText="1"/>
    </xf>
    <xf numFmtId="185" fontId="1" fillId="3" borderId="8" xfId="0" applyNumberFormat="1" applyFont="1" applyFill="1" applyBorder="1" applyAlignment="1">
      <alignment horizontal="center" vertical="center" wrapText="1"/>
    </xf>
    <xf numFmtId="185" fontId="2" fillId="3" borderId="8" xfId="0" applyNumberFormat="1" applyFont="1" applyFill="1" applyBorder="1" applyAlignment="1">
      <alignment horizontal="center" vertical="center" wrapText="1"/>
    </xf>
    <xf numFmtId="185" fontId="1" fillId="3" borderId="8" xfId="0" applyNumberFormat="1" applyFont="1" applyFill="1" applyBorder="1" applyAlignment="1">
      <alignment vertical="center"/>
    </xf>
    <xf numFmtId="183" fontId="1" fillId="0" borderId="8" xfId="0" applyNumberFormat="1" applyFont="1" applyFill="1" applyBorder="1" applyAlignment="1">
      <alignment horizontal="center" vertical="center" wrapText="1"/>
    </xf>
    <xf numFmtId="185" fontId="1" fillId="0" borderId="8" xfId="0" applyNumberFormat="1" applyFont="1" applyFill="1" applyBorder="1" applyAlignment="1">
      <alignment horizontal="center" vertical="center" wrapText="1"/>
    </xf>
    <xf numFmtId="185" fontId="1" fillId="0" borderId="1" xfId="0" applyNumberFormat="1" applyFont="1" applyBorder="1" applyAlignment="1">
      <alignment horizontal="left" vertical="center" wrapText="1"/>
    </xf>
    <xf numFmtId="184" fontId="4" fillId="5" borderId="1" xfId="3997" applyNumberFormat="1" applyFont="1" applyFill="1" applyBorder="1" applyAlignment="1">
      <alignment horizontal="center" vertical="center"/>
    </xf>
    <xf numFmtId="185" fontId="1" fillId="6" borderId="9" xfId="0" applyNumberFormat="1" applyFont="1" applyFill="1" applyBorder="1" applyAlignment="1">
      <alignment horizontal="center" vertical="center" wrapText="1"/>
    </xf>
    <xf numFmtId="185" fontId="1" fillId="0" borderId="9" xfId="0" applyNumberFormat="1" applyFont="1" applyBorder="1" applyAlignment="1">
      <alignment horizontal="center" vertical="center" wrapText="1"/>
    </xf>
    <xf numFmtId="185" fontId="1" fillId="0" borderId="9" xfId="0" applyNumberFormat="1" applyFont="1" applyBorder="1" applyAlignment="1">
      <alignment vertical="center"/>
    </xf>
    <xf numFmtId="185" fontId="1" fillId="5" borderId="1" xfId="0" applyNumberFormat="1" applyFont="1" applyFill="1" applyBorder="1" applyAlignment="1">
      <alignment vertical="center"/>
    </xf>
    <xf numFmtId="185" fontId="5" fillId="5" borderId="1" xfId="0" applyNumberFormat="1" applyFont="1" applyFill="1" applyBorder="1" applyAlignment="1">
      <alignment vertical="center"/>
    </xf>
    <xf numFmtId="185" fontId="5" fillId="0" borderId="1" xfId="0" applyNumberFormat="1" applyFont="1" applyBorder="1" applyAlignment="1">
      <alignment vertical="center"/>
    </xf>
    <xf numFmtId="185" fontId="1" fillId="6" borderId="9" xfId="0" applyNumberFormat="1" applyFont="1" applyFill="1" applyBorder="1" applyAlignment="1">
      <alignment vertical="center"/>
    </xf>
    <xf numFmtId="185" fontId="2" fillId="4" borderId="1" xfId="0" applyNumberFormat="1" applyFont="1" applyFill="1" applyBorder="1" applyAlignment="1">
      <alignment vertical="center"/>
    </xf>
    <xf numFmtId="185" fontId="5" fillId="4" borderId="1" xfId="0" applyNumberFormat="1" applyFont="1" applyFill="1" applyBorder="1" applyAlignment="1">
      <alignment vertical="center"/>
    </xf>
    <xf numFmtId="185" fontId="2" fillId="4" borderId="9" xfId="0" applyNumberFormat="1" applyFont="1" applyFill="1" applyBorder="1" applyAlignment="1">
      <alignment vertical="center"/>
    </xf>
    <xf numFmtId="183" fontId="2" fillId="3" borderId="1" xfId="0" applyNumberFormat="1" applyFont="1" applyFill="1" applyBorder="1" applyAlignment="1">
      <alignment horizontal="center" vertical="center" wrapText="1"/>
    </xf>
    <xf numFmtId="185" fontId="1" fillId="3" borderId="1" xfId="0" applyNumberFormat="1" applyFont="1" applyFill="1" applyBorder="1" applyAlignment="1">
      <alignment horizontal="center" vertical="center" wrapText="1"/>
    </xf>
    <xf numFmtId="185" fontId="2" fillId="3" borderId="1" xfId="0" applyNumberFormat="1" applyFont="1" applyFill="1" applyBorder="1" applyAlignment="1">
      <alignment horizontal="center" vertical="center" wrapText="1"/>
    </xf>
    <xf numFmtId="185" fontId="1" fillId="3" borderId="1" xfId="0" applyNumberFormat="1" applyFont="1" applyFill="1" applyBorder="1" applyAlignment="1">
      <alignment vertical="center"/>
    </xf>
    <xf numFmtId="183" fontId="1" fillId="0" borderId="1" xfId="0" applyNumberFormat="1" applyFont="1" applyBorder="1" applyAlignment="1">
      <alignment vertical="center"/>
    </xf>
    <xf numFmtId="185" fontId="6" fillId="5" borderId="1" xfId="0" applyNumberFormat="1" applyFont="1" applyFill="1" applyBorder="1" applyAlignment="1">
      <alignment vertical="center"/>
    </xf>
    <xf numFmtId="185" fontId="5" fillId="0" borderId="9" xfId="0" applyNumberFormat="1" applyFont="1" applyBorder="1" applyAlignment="1">
      <alignment vertical="center"/>
    </xf>
    <xf numFmtId="0" fontId="7" fillId="0" borderId="1" xfId="0" applyFont="1" applyFill="1" applyBorder="1" applyAlignment="1">
      <alignment vertical="center" wrapText="1"/>
    </xf>
    <xf numFmtId="183" fontId="2" fillId="4" borderId="1" xfId="0" applyNumberFormat="1" applyFont="1" applyFill="1" applyBorder="1" applyAlignment="1">
      <alignment vertical="center"/>
    </xf>
    <xf numFmtId="183" fontId="1" fillId="4" borderId="1" xfId="0" applyNumberFormat="1" applyFont="1" applyFill="1" applyBorder="1" applyAlignment="1">
      <alignment vertical="center"/>
    </xf>
    <xf numFmtId="185" fontId="1" fillId="4" borderId="1" xfId="0" applyNumberFormat="1" applyFont="1" applyFill="1" applyBorder="1" applyAlignment="1">
      <alignment vertical="center"/>
    </xf>
    <xf numFmtId="183" fontId="2" fillId="0" borderId="1" xfId="0" applyNumberFormat="1" applyFont="1" applyBorder="1" applyAlignment="1">
      <alignment vertical="center"/>
    </xf>
    <xf numFmtId="185" fontId="2" fillId="0" borderId="1" xfId="0" applyNumberFormat="1" applyFont="1" applyBorder="1" applyAlignment="1">
      <alignment vertical="center"/>
    </xf>
    <xf numFmtId="183" fontId="1" fillId="0" borderId="0" xfId="0" applyNumberFormat="1" applyFont="1" applyBorder="1" applyAlignment="1">
      <alignment vertical="center"/>
    </xf>
    <xf numFmtId="185" fontId="1" fillId="0" borderId="0" xfId="0" applyNumberFormat="1" applyFont="1" applyBorder="1" applyAlignment="1">
      <alignment vertical="center"/>
    </xf>
    <xf numFmtId="185" fontId="1" fillId="0" borderId="1" xfId="0" applyNumberFormat="1" applyFont="1" applyBorder="1" applyAlignment="1">
      <alignment vertical="center" wrapText="1"/>
    </xf>
    <xf numFmtId="183" fontId="2" fillId="3" borderId="8" xfId="0" applyNumberFormat="1" applyFont="1" applyFill="1" applyBorder="1" applyAlignment="1">
      <alignment vertical="center"/>
    </xf>
    <xf numFmtId="185" fontId="2" fillId="3" borderId="8" xfId="0" applyNumberFormat="1" applyFont="1" applyFill="1" applyBorder="1" applyAlignment="1">
      <alignment vertical="center"/>
    </xf>
    <xf numFmtId="183" fontId="1" fillId="0" borderId="1" xfId="0" applyNumberFormat="1" applyFont="1" applyFill="1" applyBorder="1" applyAlignment="1">
      <alignment vertical="center"/>
    </xf>
    <xf numFmtId="185" fontId="1" fillId="0" borderId="1" xfId="0" applyNumberFormat="1" applyFont="1" applyFill="1" applyBorder="1" applyAlignment="1">
      <alignment vertical="center"/>
    </xf>
    <xf numFmtId="183" fontId="1" fillId="0" borderId="0" xfId="0" applyNumberFormat="1" applyFont="1" applyFill="1" applyBorder="1" applyAlignment="1">
      <alignment vertical="center"/>
    </xf>
    <xf numFmtId="185" fontId="1" fillId="0" borderId="0" xfId="0" applyNumberFormat="1" applyFont="1" applyFill="1" applyBorder="1" applyAlignment="1">
      <alignment vertical="center"/>
    </xf>
    <xf numFmtId="185" fontId="2" fillId="0" borderId="0" xfId="0" applyNumberFormat="1" applyFont="1" applyFill="1" applyBorder="1" applyAlignment="1">
      <alignment vertical="center"/>
    </xf>
    <xf numFmtId="185" fontId="5" fillId="0" borderId="0" xfId="0" applyNumberFormat="1" applyFont="1" applyFill="1" applyBorder="1" applyAlignment="1">
      <alignment vertical="center"/>
    </xf>
    <xf numFmtId="185" fontId="1" fillId="0" borderId="10" xfId="0" applyNumberFormat="1" applyFont="1" applyBorder="1" applyAlignment="1">
      <alignment vertical="center"/>
    </xf>
    <xf numFmtId="185" fontId="1" fillId="0" borderId="11" xfId="0" applyNumberFormat="1" applyFont="1" applyBorder="1" applyAlignment="1">
      <alignment vertical="center"/>
    </xf>
    <xf numFmtId="183" fontId="1" fillId="0" borderId="8" xfId="0" applyNumberFormat="1" applyFont="1" applyBorder="1" applyAlignment="1">
      <alignment vertical="center"/>
    </xf>
    <xf numFmtId="185" fontId="1" fillId="0" borderId="8" xfId="0" applyNumberFormat="1" applyFont="1" applyBorder="1" applyAlignment="1">
      <alignment vertical="center"/>
    </xf>
    <xf numFmtId="185" fontId="1" fillId="5" borderId="8" xfId="0" applyNumberFormat="1" applyFont="1" applyFill="1" applyBorder="1" applyAlignment="1">
      <alignment vertical="center"/>
    </xf>
    <xf numFmtId="183" fontId="1" fillId="4" borderId="1" xfId="0" applyNumberFormat="1" applyFont="1" applyFill="1" applyBorder="1" applyAlignment="1"/>
    <xf numFmtId="0" fontId="1" fillId="4" borderId="1" xfId="0" applyFont="1" applyFill="1" applyBorder="1" applyAlignment="1"/>
    <xf numFmtId="0" fontId="2" fillId="4" borderId="1" xfId="0" applyFont="1" applyFill="1" applyBorder="1" applyAlignment="1"/>
    <xf numFmtId="184" fontId="5" fillId="7" borderId="1" xfId="0" applyNumberFormat="1" applyFont="1" applyFill="1" applyBorder="1" applyAlignment="1"/>
    <xf numFmtId="184" fontId="1" fillId="4" borderId="1" xfId="0" applyNumberFormat="1" applyFont="1" applyFill="1" applyBorder="1" applyAlignment="1"/>
    <xf numFmtId="183" fontId="1" fillId="0" borderId="1" xfId="0" applyNumberFormat="1" applyFont="1" applyFill="1" applyBorder="1" applyAlignment="1"/>
    <xf numFmtId="0" fontId="1" fillId="0" borderId="1" xfId="0" applyFont="1" applyFill="1" applyBorder="1" applyAlignment="1"/>
    <xf numFmtId="0" fontId="2" fillId="0" borderId="1" xfId="0" applyFont="1" applyFill="1" applyBorder="1" applyAlignment="1"/>
    <xf numFmtId="184" fontId="5" fillId="0" borderId="1" xfId="0" applyNumberFormat="1" applyFont="1" applyFill="1" applyBorder="1" applyAlignment="1"/>
    <xf numFmtId="184" fontId="1" fillId="0" borderId="1" xfId="0" applyNumberFormat="1" applyFont="1" applyFill="1" applyBorder="1" applyAlignment="1"/>
    <xf numFmtId="184" fontId="1" fillId="0" borderId="10" xfId="0" applyNumberFormat="1" applyFont="1" applyFill="1" applyBorder="1" applyAlignment="1"/>
    <xf numFmtId="184" fontId="1" fillId="0" borderId="11" xfId="0" applyNumberFormat="1" applyFont="1" applyFill="1" applyBorder="1" applyAlignment="1"/>
    <xf numFmtId="185" fontId="1" fillId="0" borderId="4" xfId="0" applyNumberFormat="1" applyFont="1" applyBorder="1" applyAlignment="1">
      <alignment vertical="center" wrapText="1"/>
    </xf>
    <xf numFmtId="185" fontId="3" fillId="0" borderId="1" xfId="0" applyNumberFormat="1" applyFont="1" applyBorder="1" applyAlignment="1">
      <alignment horizontal="center" vertical="center" wrapText="1"/>
    </xf>
    <xf numFmtId="185" fontId="1" fillId="0" borderId="7" xfId="0" applyNumberFormat="1" applyFont="1" applyBorder="1" applyAlignment="1">
      <alignment vertical="center"/>
    </xf>
    <xf numFmtId="185" fontId="2" fillId="0" borderId="9" xfId="0" applyNumberFormat="1" applyFont="1" applyBorder="1" applyAlignment="1">
      <alignment vertical="center"/>
    </xf>
    <xf numFmtId="0" fontId="1" fillId="0" borderId="1" xfId="0" applyFont="1" applyBorder="1" applyAlignment="1">
      <alignment wrapText="1"/>
    </xf>
    <xf numFmtId="185" fontId="5" fillId="0" borderId="8" xfId="0" applyNumberFormat="1" applyFont="1" applyBorder="1" applyAlignment="1">
      <alignment vertical="center"/>
    </xf>
    <xf numFmtId="185" fontId="5" fillId="7" borderId="8" xfId="0" applyNumberFormat="1" applyFont="1" applyFill="1" applyBorder="1" applyAlignment="1">
      <alignment vertical="center"/>
    </xf>
    <xf numFmtId="0" fontId="1" fillId="3" borderId="8" xfId="0" applyFont="1" applyFill="1" applyBorder="1" applyAlignment="1">
      <alignment horizontal="center" wrapText="1"/>
    </xf>
    <xf numFmtId="0" fontId="1" fillId="0" borderId="9" xfId="0" applyFont="1" applyBorder="1" applyAlignment="1">
      <alignment horizontal="center" wrapText="1"/>
    </xf>
    <xf numFmtId="0" fontId="1" fillId="0" borderId="9" xfId="0" applyFont="1" applyBorder="1" applyAlignment="1"/>
    <xf numFmtId="0" fontId="2" fillId="5" borderId="1" xfId="0" applyFont="1" applyFill="1" applyBorder="1" applyAlignment="1">
      <alignment vertical="center"/>
    </xf>
    <xf numFmtId="0" fontId="1" fillId="3" borderId="1" xfId="0" applyFont="1" applyFill="1" applyBorder="1" applyAlignment="1">
      <alignment horizontal="center" wrapText="1"/>
    </xf>
    <xf numFmtId="0" fontId="1" fillId="0" borderId="9" xfId="0" applyFont="1" applyBorder="1" applyAlignment="1">
      <alignment vertical="center"/>
    </xf>
    <xf numFmtId="185" fontId="3" fillId="0" borderId="9" xfId="0" applyNumberFormat="1" applyFont="1" applyBorder="1" applyAlignment="1">
      <alignment vertical="center"/>
    </xf>
    <xf numFmtId="0" fontId="2" fillId="0" borderId="9" xfId="0" applyFont="1" applyBorder="1" applyAlignment="1"/>
    <xf numFmtId="0" fontId="7" fillId="0" borderId="1" xfId="0" applyFont="1" applyFill="1" applyBorder="1" applyAlignment="1">
      <alignment horizontal="center" vertical="center" wrapText="1"/>
    </xf>
    <xf numFmtId="0" fontId="1" fillId="0" borderId="1" xfId="0" applyFont="1" applyBorder="1" applyAlignment="1"/>
    <xf numFmtId="0" fontId="2" fillId="3" borderId="8" xfId="0" applyFont="1" applyFill="1" applyBorder="1" applyAlignment="1">
      <alignment vertical="center"/>
    </xf>
    <xf numFmtId="185" fontId="5" fillId="0" borderId="1" xfId="0" applyNumberFormat="1" applyFont="1" applyFill="1" applyBorder="1" applyAlignment="1">
      <alignment vertical="center"/>
    </xf>
    <xf numFmtId="185" fontId="5" fillId="8" borderId="1" xfId="0" applyNumberFormat="1" applyFont="1" applyFill="1" applyBorder="1" applyAlignment="1">
      <alignment vertical="center"/>
    </xf>
    <xf numFmtId="0" fontId="1" fillId="0" borderId="1" xfId="0" applyFont="1" applyFill="1" applyBorder="1" applyAlignment="1">
      <alignment vertical="center"/>
    </xf>
    <xf numFmtId="0" fontId="5" fillId="0" borderId="0" xfId="0" applyFont="1" applyFill="1" applyBorder="1" applyAlignment="1">
      <alignment vertical="center"/>
    </xf>
    <xf numFmtId="0" fontId="1" fillId="0" borderId="8" xfId="0" applyFont="1" applyBorder="1" applyAlignment="1">
      <alignment vertical="center"/>
    </xf>
    <xf numFmtId="0" fontId="1" fillId="0" borderId="1" xfId="0" applyFont="1" applyBorder="1" applyAlignment="1">
      <alignment vertical="center"/>
    </xf>
    <xf numFmtId="185" fontId="1" fillId="0" borderId="2" xfId="0" applyNumberFormat="1" applyFont="1" applyBorder="1" applyAlignment="1">
      <alignment vertical="center" wrapText="1"/>
    </xf>
    <xf numFmtId="184" fontId="4" fillId="2" borderId="1" xfId="3997" applyNumberFormat="1" applyFont="1" applyFill="1" applyBorder="1" applyAlignment="1">
      <alignment horizontal="center" vertical="center"/>
    </xf>
    <xf numFmtId="185" fontId="1" fillId="2" borderId="1" xfId="0" applyNumberFormat="1" applyFont="1" applyFill="1" applyBorder="1" applyAlignment="1">
      <alignment vertical="center"/>
    </xf>
    <xf numFmtId="185" fontId="5" fillId="2" borderId="1" xfId="0" applyNumberFormat="1" applyFont="1" applyFill="1" applyBorder="1" applyAlignment="1">
      <alignment vertical="center"/>
    </xf>
    <xf numFmtId="185" fontId="1" fillId="8" borderId="1" xfId="0" applyNumberFormat="1" applyFont="1" applyFill="1" applyBorder="1" applyAlignment="1">
      <alignment vertical="center"/>
    </xf>
    <xf numFmtId="185" fontId="6" fillId="8" borderId="1" xfId="0" applyNumberFormat="1" applyFont="1" applyFill="1" applyBorder="1" applyAlignment="1">
      <alignment vertical="center"/>
    </xf>
    <xf numFmtId="185" fontId="6" fillId="2" borderId="1" xfId="0" applyNumberFormat="1" applyFont="1" applyFill="1" applyBorder="1" applyAlignment="1">
      <alignment vertical="center"/>
    </xf>
    <xf numFmtId="185" fontId="1" fillId="2" borderId="8" xfId="0" applyNumberFormat="1" applyFont="1" applyFill="1" applyBorder="1" applyAlignment="1">
      <alignment vertical="center"/>
    </xf>
    <xf numFmtId="185" fontId="1" fillId="2" borderId="1" xfId="0" applyNumberFormat="1" applyFont="1" applyFill="1" applyBorder="1" applyAlignment="1" applyProtection="1">
      <alignment vertical="center"/>
    </xf>
    <xf numFmtId="185" fontId="1" fillId="8" borderId="8" xfId="0" applyNumberFormat="1" applyFont="1" applyFill="1" applyBorder="1" applyAlignment="1">
      <alignment vertical="center"/>
    </xf>
    <xf numFmtId="185" fontId="1" fillId="9" borderId="2" xfId="0" applyNumberFormat="1" applyFont="1" applyFill="1" applyBorder="1" applyAlignment="1">
      <alignment vertical="center" wrapText="1"/>
    </xf>
    <xf numFmtId="185" fontId="3" fillId="9" borderId="1" xfId="0" applyNumberFormat="1" applyFont="1" applyFill="1" applyBorder="1" applyAlignment="1">
      <alignment vertical="center"/>
    </xf>
    <xf numFmtId="185" fontId="3" fillId="9" borderId="7" xfId="0" applyNumberFormat="1" applyFont="1" applyFill="1" applyBorder="1" applyAlignment="1">
      <alignment vertical="center"/>
    </xf>
    <xf numFmtId="185" fontId="2" fillId="9" borderId="8" xfId="0" applyNumberFormat="1" applyFont="1" applyFill="1" applyBorder="1" applyAlignment="1">
      <alignment vertical="center"/>
    </xf>
    <xf numFmtId="185" fontId="1" fillId="9" borderId="8" xfId="0" applyNumberFormat="1" applyFont="1" applyFill="1" applyBorder="1" applyAlignment="1">
      <alignment vertical="center"/>
    </xf>
    <xf numFmtId="49" fontId="7" fillId="0" borderId="1" xfId="13445" applyNumberFormat="1" applyFont="1" applyFill="1" applyBorder="1" applyAlignment="1">
      <alignment horizontal="center" vertical="center" wrapText="1"/>
    </xf>
    <xf numFmtId="0" fontId="8" fillId="0" borderId="1" xfId="13445" applyFont="1" applyFill="1" applyBorder="1" applyAlignment="1">
      <alignment horizontal="center" vertical="center" wrapText="1"/>
    </xf>
    <xf numFmtId="49" fontId="8" fillId="0" borderId="1" xfId="13445" applyNumberFormat="1" applyFont="1" applyFill="1" applyBorder="1" applyAlignment="1">
      <alignment horizontal="center" vertical="center" wrapText="1"/>
    </xf>
    <xf numFmtId="49" fontId="7" fillId="0" borderId="1" xfId="0" applyNumberFormat="1" applyFont="1" applyFill="1" applyBorder="1" applyAlignment="1">
      <alignment horizontal="center" vertical="center" wrapText="1"/>
    </xf>
    <xf numFmtId="49" fontId="7" fillId="0" borderId="1" xfId="28583" applyNumberFormat="1" applyFont="1" applyFill="1" applyBorder="1" applyAlignment="1">
      <alignment horizontal="center" vertical="center" wrapText="1"/>
    </xf>
    <xf numFmtId="0" fontId="7" fillId="0" borderId="1" xfId="28583" applyFont="1" applyFill="1" applyBorder="1" applyAlignment="1">
      <alignment horizontal="center" vertical="center" wrapText="1"/>
    </xf>
    <xf numFmtId="0" fontId="7" fillId="0" borderId="1" xfId="23129" applyFont="1" applyFill="1" applyBorder="1" applyAlignment="1">
      <alignment horizontal="center" vertical="center" wrapText="1"/>
    </xf>
    <xf numFmtId="49" fontId="7" fillId="0" borderId="1" xfId="27778" applyNumberFormat="1" applyFont="1" applyFill="1" applyBorder="1" applyAlignment="1">
      <alignment horizontal="center" vertical="center" wrapText="1"/>
    </xf>
    <xf numFmtId="49" fontId="7" fillId="0" borderId="1" xfId="26865" applyNumberFormat="1" applyFont="1" applyFill="1" applyBorder="1" applyAlignment="1">
      <alignment horizontal="center" vertical="center" wrapText="1"/>
    </xf>
    <xf numFmtId="184" fontId="7" fillId="0" borderId="1" xfId="27778" applyNumberFormat="1" applyFont="1" applyFill="1" applyBorder="1" applyAlignment="1">
      <alignment horizontal="center" vertical="center" wrapText="1"/>
    </xf>
    <xf numFmtId="0" fontId="7" fillId="0" borderId="1" xfId="0" applyNumberFormat="1" applyFont="1" applyFill="1" applyBorder="1" applyAlignment="1">
      <alignment vertical="center" wrapText="1"/>
    </xf>
    <xf numFmtId="0" fontId="7" fillId="0" borderId="1" xfId="27778" applyFont="1" applyFill="1" applyBorder="1" applyAlignment="1">
      <alignment vertical="center" wrapText="1"/>
    </xf>
    <xf numFmtId="0" fontId="7" fillId="0" borderId="1" xfId="0" applyFont="1" applyFill="1" applyBorder="1" applyAlignment="1" applyProtection="1">
      <alignment horizontal="center" vertical="center" wrapText="1"/>
    </xf>
    <xf numFmtId="0" fontId="7" fillId="0" borderId="1" xfId="6208" applyFont="1" applyFill="1" applyBorder="1" applyAlignment="1">
      <alignment horizontal="center" vertical="center" wrapText="1"/>
    </xf>
    <xf numFmtId="49" fontId="7" fillId="0" borderId="1" xfId="0" applyNumberFormat="1" applyFont="1" applyFill="1" applyBorder="1" applyAlignment="1" applyProtection="1">
      <alignment horizontal="center" vertical="center" wrapText="1"/>
    </xf>
    <xf numFmtId="0" fontId="7" fillId="0" borderId="1" xfId="23129" applyFont="1" applyFill="1" applyBorder="1" applyAlignment="1">
      <alignment horizontal="center" wrapText="1"/>
    </xf>
    <xf numFmtId="43" fontId="7" fillId="0" borderId="1" xfId="4" applyFont="1" applyFill="1" applyBorder="1" applyAlignment="1">
      <alignment horizontal="center" vertical="center" wrapText="1"/>
    </xf>
    <xf numFmtId="43" fontId="8" fillId="0" borderId="1" xfId="4" applyFont="1" applyFill="1" applyBorder="1" applyAlignment="1">
      <alignment horizontal="center" vertical="center" wrapText="1"/>
    </xf>
    <xf numFmtId="0" fontId="7" fillId="0" borderId="1" xfId="1614" applyFont="1" applyFill="1" applyBorder="1" applyAlignment="1">
      <alignment horizontal="center" vertical="center"/>
    </xf>
    <xf numFmtId="185" fontId="7" fillId="0" borderId="0" xfId="13445" applyNumberFormat="1" applyFont="1" applyFill="1" applyAlignment="1">
      <alignment horizontal="center" vertical="center"/>
    </xf>
    <xf numFmtId="0" fontId="7" fillId="0" borderId="1" xfId="1614" applyFont="1" applyFill="1" applyBorder="1" applyAlignment="1">
      <alignment horizontal="center" vertical="center" wrapText="1"/>
    </xf>
    <xf numFmtId="184" fontId="7" fillId="0" borderId="1" xfId="28583" applyNumberFormat="1" applyFont="1" applyFill="1" applyBorder="1" applyAlignment="1">
      <alignment horizontal="center" vertical="center" wrapText="1" shrinkToFit="1"/>
    </xf>
    <xf numFmtId="43" fontId="7" fillId="0" borderId="1" xfId="4" applyFont="1" applyFill="1" applyBorder="1" applyAlignment="1" applyProtection="1">
      <alignment horizontal="center" vertical="center" wrapText="1"/>
    </xf>
    <xf numFmtId="0" fontId="7" fillId="0" borderId="1" xfId="26865" applyFont="1" applyFill="1" applyBorder="1" applyAlignment="1">
      <alignment horizontal="center" vertical="center"/>
    </xf>
    <xf numFmtId="0" fontId="7" fillId="0" borderId="1" xfId="26864" applyFont="1" applyFill="1" applyBorder="1" applyAlignment="1">
      <alignment horizontal="center" vertical="center" wrapText="1"/>
    </xf>
    <xf numFmtId="185" fontId="7" fillId="0" borderId="1" xfId="13445" applyNumberFormat="1" applyFont="1" applyFill="1" applyBorder="1" applyAlignment="1">
      <alignment horizontal="center" vertical="center"/>
    </xf>
    <xf numFmtId="184" fontId="8" fillId="0" borderId="1" xfId="27778" applyNumberFormat="1" applyFont="1" applyFill="1" applyBorder="1" applyAlignment="1">
      <alignment horizontal="center" vertical="center" wrapText="1"/>
    </xf>
    <xf numFmtId="0" fontId="7" fillId="0" borderId="1" xfId="0" applyFont="1" applyFill="1" applyBorder="1" applyAlignment="1" applyProtection="1">
      <alignment horizontal="left" vertical="center" wrapText="1"/>
      <protection locked="0"/>
    </xf>
    <xf numFmtId="0" fontId="7" fillId="0" borderId="1" xfId="13445" applyFont="1" applyFill="1" applyBorder="1" applyAlignment="1">
      <alignment horizontal="center" vertical="center"/>
    </xf>
    <xf numFmtId="49" fontId="7" fillId="0" borderId="1" xfId="13445" applyNumberFormat="1" applyFont="1" applyFill="1" applyBorder="1" applyAlignment="1">
      <alignment horizontal="center" vertical="center"/>
    </xf>
    <xf numFmtId="49" fontId="7" fillId="0" borderId="1" xfId="0" applyNumberFormat="1" applyFont="1" applyFill="1" applyBorder="1" applyAlignment="1" applyProtection="1">
      <alignment horizontal="center" vertical="center" wrapText="1"/>
      <protection locked="0"/>
    </xf>
    <xf numFmtId="0" fontId="7" fillId="0" borderId="1" xfId="3713" applyFont="1" applyFill="1" applyBorder="1" applyAlignment="1" applyProtection="1">
      <alignment horizontal="center" vertical="center" wrapText="1"/>
    </xf>
    <xf numFmtId="49" fontId="7" fillId="0" borderId="1" xfId="1614" applyNumberFormat="1" applyFont="1" applyFill="1" applyBorder="1" applyAlignment="1">
      <alignment horizontal="center" vertical="center" wrapText="1"/>
    </xf>
    <xf numFmtId="0" fontId="7" fillId="0" borderId="1" xfId="3713" applyNumberFormat="1" applyFont="1" applyFill="1" applyBorder="1" applyAlignment="1" applyProtection="1">
      <alignment horizontal="center" vertical="center" wrapText="1"/>
    </xf>
    <xf numFmtId="43" fontId="7" fillId="0" borderId="1" xfId="4" applyFont="1" applyFill="1" applyBorder="1" applyAlignment="1" applyProtection="1">
      <alignment horizontal="center" vertical="center" wrapText="1"/>
      <protection locked="0"/>
    </xf>
    <xf numFmtId="43" fontId="7" fillId="0" borderId="1" xfId="4" applyFont="1" applyFill="1" applyBorder="1" applyAlignment="1">
      <alignment horizontal="center" vertical="center"/>
    </xf>
    <xf numFmtId="0" fontId="7" fillId="0" borderId="1" xfId="23129" applyFont="1" applyFill="1" applyBorder="1" applyAlignment="1">
      <alignment horizontal="center" vertical="center"/>
    </xf>
    <xf numFmtId="0" fontId="7" fillId="0" borderId="1" xfId="23129" applyFont="1" applyFill="1" applyBorder="1" applyAlignment="1">
      <alignment horizontal="center"/>
    </xf>
    <xf numFmtId="0" fontId="7" fillId="0" borderId="1" xfId="27778" applyFont="1" applyFill="1" applyBorder="1" applyAlignment="1">
      <alignment horizontal="center" vertical="center"/>
    </xf>
    <xf numFmtId="185" fontId="7" fillId="0" borderId="0" xfId="13445" applyNumberFormat="1" applyFont="1" applyFill="1" applyBorder="1" applyAlignment="1">
      <alignment horizontal="center" vertical="center"/>
    </xf>
    <xf numFmtId="43" fontId="7" fillId="0" borderId="1" xfId="4" applyFont="1" applyFill="1" applyBorder="1" applyAlignment="1">
      <alignment horizontal="center" vertical="center" shrinkToFit="1"/>
    </xf>
    <xf numFmtId="185" fontId="7" fillId="0" borderId="0" xfId="0" applyNumberFormat="1" applyFont="1" applyFill="1" applyBorder="1" applyAlignment="1">
      <alignment horizontal="center" vertical="center" wrapText="1"/>
    </xf>
    <xf numFmtId="185" fontId="7" fillId="0" borderId="0" xfId="0" applyNumberFormat="1" applyFont="1" applyFill="1" applyBorder="1" applyAlignment="1" applyProtection="1">
      <alignment horizontal="center" vertical="center" wrapText="1"/>
      <protection locked="0"/>
    </xf>
    <xf numFmtId="185" fontId="7" fillId="0" borderId="0" xfId="0" applyNumberFormat="1" applyFont="1" applyFill="1" applyAlignment="1">
      <alignment horizontal="center" vertical="center"/>
    </xf>
    <xf numFmtId="185" fontId="7" fillId="0" borderId="0" xfId="23129" applyNumberFormat="1" applyFont="1" applyFill="1" applyBorder="1" applyAlignment="1">
      <alignment horizontal="center" vertical="center"/>
    </xf>
    <xf numFmtId="0" fontId="7" fillId="0" borderId="1" xfId="28578" applyFont="1" applyFill="1" applyBorder="1" applyAlignment="1" applyProtection="1">
      <alignment horizontal="left" vertical="center" wrapText="1"/>
    </xf>
    <xf numFmtId="0" fontId="7" fillId="0" borderId="1" xfId="28557" applyFont="1" applyFill="1" applyBorder="1" applyAlignment="1" applyProtection="1">
      <alignment horizontal="center" vertical="center" wrapText="1"/>
    </xf>
    <xf numFmtId="0" fontId="7" fillId="0" borderId="1" xfId="1614" applyFont="1" applyFill="1" applyBorder="1" applyAlignment="1" applyProtection="1">
      <alignment horizontal="center" vertical="center" wrapText="1"/>
    </xf>
    <xf numFmtId="0" fontId="7" fillId="0" borderId="1" xfId="0" applyFont="1" applyFill="1" applyBorder="1" applyAlignment="1" applyProtection="1">
      <alignment horizontal="center" vertical="center" wrapText="1"/>
      <protection locked="0"/>
    </xf>
    <xf numFmtId="185" fontId="7" fillId="0" borderId="0" xfId="27779" applyNumberFormat="1" applyFont="1" applyFill="1" applyBorder="1" applyAlignment="1">
      <alignment horizontal="center" vertical="center" wrapText="1"/>
    </xf>
    <xf numFmtId="43" fontId="7" fillId="0" borderId="1" xfId="4" applyFont="1" applyFill="1" applyBorder="1" applyAlignment="1">
      <alignment horizontal="left" vertical="center"/>
    </xf>
    <xf numFmtId="0" fontId="7" fillId="0" borderId="1" xfId="14116" applyFont="1" applyFill="1" applyBorder="1" applyAlignment="1">
      <alignment horizontal="center" vertical="center" wrapText="1"/>
    </xf>
    <xf numFmtId="0" fontId="9" fillId="0" borderId="1" xfId="23211" applyFont="1" applyFill="1" applyBorder="1" applyAlignment="1">
      <alignment horizontal="center" vertical="center" wrapText="1"/>
    </xf>
    <xf numFmtId="0" fontId="9" fillId="0" borderId="1" xfId="13445" applyFont="1" applyFill="1" applyBorder="1" applyAlignment="1">
      <alignment horizontal="center" vertical="center" wrapText="1"/>
    </xf>
    <xf numFmtId="0" fontId="9" fillId="0" borderId="1" xfId="27778" applyFont="1" applyFill="1" applyBorder="1" applyAlignment="1">
      <alignment horizontal="center" vertical="center" wrapText="1"/>
    </xf>
    <xf numFmtId="49" fontId="9" fillId="0" borderId="1" xfId="27778" applyNumberFormat="1" applyFont="1" applyFill="1" applyBorder="1" applyAlignment="1">
      <alignment horizontal="center" vertical="center" wrapText="1"/>
    </xf>
    <xf numFmtId="0" fontId="9" fillId="0" borderId="1" xfId="0" applyNumberFormat="1" applyFont="1" applyFill="1" applyBorder="1" applyAlignment="1">
      <alignment horizontal="center" vertical="center" wrapText="1"/>
    </xf>
    <xf numFmtId="49" fontId="9" fillId="0" borderId="1" xfId="13445" applyNumberFormat="1" applyFont="1" applyFill="1" applyBorder="1" applyAlignment="1">
      <alignment horizontal="center" vertical="center" wrapText="1"/>
    </xf>
    <xf numFmtId="0" fontId="7" fillId="0" borderId="1" xfId="1614" applyNumberFormat="1" applyFont="1" applyFill="1" applyBorder="1" applyAlignment="1">
      <alignment horizontal="center" vertical="center" wrapText="1"/>
    </xf>
    <xf numFmtId="185" fontId="9" fillId="0" borderId="0" xfId="13445" applyNumberFormat="1" applyFont="1" applyFill="1" applyAlignment="1">
      <alignment horizontal="center" vertical="center"/>
    </xf>
    <xf numFmtId="185" fontId="7" fillId="0" borderId="1" xfId="23211" applyNumberFormat="1" applyFont="1" applyFill="1" applyBorder="1" applyAlignment="1">
      <alignment horizontal="center" vertical="center" wrapText="1"/>
    </xf>
    <xf numFmtId="184" fontId="9" fillId="0" borderId="1" xfId="28583" applyNumberFormat="1" applyFont="1" applyFill="1" applyBorder="1" applyAlignment="1">
      <alignment horizontal="center" vertical="center" wrapText="1" shrinkToFit="1"/>
    </xf>
    <xf numFmtId="0" fontId="7" fillId="0" borderId="17" xfId="0" applyFont="1" applyFill="1" applyBorder="1" applyAlignment="1">
      <alignment vertical="center"/>
    </xf>
    <xf numFmtId="0" fontId="7" fillId="0" borderId="0" xfId="23211" applyFont="1" applyFill="1" applyBorder="1">
      <alignment vertical="center"/>
    </xf>
    <xf numFmtId="0" fontId="7" fillId="0" borderId="0" xfId="0" applyFont="1" applyFill="1" applyBorder="1" applyAlignment="1">
      <alignment vertical="center"/>
    </xf>
    <xf numFmtId="0" fontId="9" fillId="0" borderId="1" xfId="14116" applyFont="1" applyFill="1" applyBorder="1" applyAlignment="1">
      <alignment horizontal="center" vertical="center" wrapText="1"/>
    </xf>
    <xf numFmtId="185" fontId="9" fillId="0" borderId="1" xfId="13445" applyNumberFormat="1" applyFont="1" applyFill="1" applyBorder="1" applyAlignment="1">
      <alignment horizontal="center" vertical="center" wrapText="1"/>
    </xf>
    <xf numFmtId="187" fontId="7" fillId="0" borderId="0" xfId="28581" applyNumberFormat="1" applyFont="1" applyFill="1" applyAlignment="1" applyProtection="1">
      <alignment vertical="center"/>
      <protection locked="0"/>
    </xf>
    <xf numFmtId="0" fontId="8" fillId="0" borderId="0" xfId="28581" applyFont="1" applyFill="1" applyAlignment="1" applyProtection="1">
      <alignment vertical="center" wrapText="1"/>
      <protection locked="0"/>
    </xf>
    <xf numFmtId="43" fontId="7" fillId="0" borderId="1" xfId="4" applyFont="1" applyFill="1" applyBorder="1" applyAlignment="1" applyProtection="1">
      <alignment vertical="center" wrapText="1"/>
      <protection locked="0"/>
    </xf>
    <xf numFmtId="43" fontId="0" fillId="0" borderId="1" xfId="4" applyFont="1" applyFill="1" applyBorder="1" applyAlignment="1" applyProtection="1">
      <alignment vertical="center" wrapText="1"/>
      <protection locked="0"/>
    </xf>
    <xf numFmtId="0" fontId="8" fillId="0" borderId="0" xfId="3997" applyFont="1" applyFill="1" applyBorder="1" applyAlignment="1" applyProtection="1">
      <alignment horizontal="center" vertical="center" wrapText="1"/>
    </xf>
    <xf numFmtId="43" fontId="7" fillId="0" borderId="1" xfId="4" applyFont="1" applyFill="1" applyBorder="1" applyAlignment="1" applyProtection="1">
      <alignment horizontal="center" vertical="center"/>
      <protection locked="0"/>
    </xf>
    <xf numFmtId="0" fontId="7" fillId="0" borderId="0" xfId="28581" applyFont="1" applyFill="1" applyAlignment="1" applyProtection="1">
      <alignment vertical="center" wrapText="1"/>
    </xf>
    <xf numFmtId="0" fontId="7" fillId="0" borderId="0" xfId="0" applyFont="1" applyFill="1" applyAlignment="1" applyProtection="1">
      <alignment vertical="center" wrapText="1"/>
    </xf>
    <xf numFmtId="0" fontId="7" fillId="0" borderId="1" xfId="0" applyFont="1" applyFill="1" applyBorder="1" applyAlignment="1" applyProtection="1">
      <alignment horizontal="left" vertical="center" wrapText="1"/>
    </xf>
    <xf numFmtId="185" fontId="7" fillId="0" borderId="1" xfId="24013" applyNumberFormat="1" applyFont="1" applyFill="1" applyBorder="1" applyAlignment="1" applyProtection="1">
      <alignment horizontal="center" vertical="center"/>
      <protection locked="0"/>
    </xf>
    <xf numFmtId="0" fontId="8" fillId="0" borderId="0" xfId="0" applyFont="1" applyFill="1" applyAlignment="1" applyProtection="1">
      <alignment vertical="center" wrapText="1"/>
    </xf>
    <xf numFmtId="0" fontId="8" fillId="0" borderId="1" xfId="0" applyFont="1" applyFill="1" applyBorder="1" applyAlignment="1" applyProtection="1">
      <alignment horizontal="left" vertical="center" wrapText="1"/>
    </xf>
    <xf numFmtId="0" fontId="7" fillId="0" borderId="1" xfId="0" applyFont="1" applyFill="1" applyBorder="1" applyAlignment="1" applyProtection="1">
      <alignment vertical="center" wrapText="1"/>
    </xf>
    <xf numFmtId="0" fontId="8" fillId="0" borderId="1" xfId="0" applyFont="1" applyFill="1" applyBorder="1" applyAlignment="1" applyProtection="1">
      <alignment horizontal="center" vertical="center" wrapText="1"/>
    </xf>
    <xf numFmtId="0" fontId="7" fillId="0" borderId="0" xfId="0" applyFont="1" applyFill="1" applyAlignment="1" applyProtection="1">
      <alignment vertical="center" wrapText="1"/>
      <protection locked="0"/>
    </xf>
    <xf numFmtId="0" fontId="7" fillId="0" borderId="1" xfId="0" applyFont="1" applyFill="1" applyBorder="1" applyAlignment="1" applyProtection="1">
      <alignment vertical="center" wrapText="1"/>
      <protection locked="0"/>
    </xf>
    <xf numFmtId="0" fontId="7" fillId="0" borderId="0" xfId="3997" applyFont="1" applyFill="1" applyBorder="1" applyAlignment="1" applyProtection="1">
      <alignment vertical="center" wrapText="1"/>
    </xf>
    <xf numFmtId="43" fontId="7" fillId="0" borderId="1" xfId="4" applyFont="1" applyFill="1" applyBorder="1" applyAlignment="1" applyProtection="1">
      <alignment horizontal="center" vertical="center"/>
    </xf>
    <xf numFmtId="185" fontId="7" fillId="0" borderId="1" xfId="0" applyNumberFormat="1" applyFont="1" applyFill="1" applyBorder="1" applyAlignment="1" applyProtection="1">
      <alignment horizontal="center" vertical="center" wrapText="1"/>
      <protection locked="0"/>
    </xf>
    <xf numFmtId="43" fontId="7" fillId="2" borderId="1" xfId="4" applyFont="1" applyFill="1" applyBorder="1" applyAlignment="1" applyProtection="1">
      <alignment horizontal="center" vertical="center" wrapText="1"/>
      <protection locked="0"/>
    </xf>
    <xf numFmtId="187" fontId="7" fillId="0" borderId="1" xfId="0" applyNumberFormat="1" applyFont="1" applyFill="1" applyBorder="1" applyAlignment="1" applyProtection="1">
      <alignment horizontal="center" vertical="center" wrapText="1"/>
    </xf>
    <xf numFmtId="43" fontId="7" fillId="0" borderId="1" xfId="4" applyFont="1" applyFill="1" applyBorder="1" applyAlignment="1" applyProtection="1">
      <alignment vertical="center" wrapText="1"/>
    </xf>
    <xf numFmtId="43" fontId="8" fillId="0" borderId="1" xfId="4" applyFont="1" applyFill="1" applyBorder="1" applyAlignment="1" applyProtection="1">
      <alignment horizontal="center" vertical="center" wrapText="1"/>
    </xf>
    <xf numFmtId="187" fontId="8" fillId="0" borderId="0" xfId="28581" applyNumberFormat="1" applyFont="1" applyFill="1" applyAlignment="1" applyProtection="1">
      <alignment vertical="center"/>
      <protection locked="0"/>
    </xf>
    <xf numFmtId="185" fontId="7" fillId="0" borderId="1" xfId="0" applyNumberFormat="1" applyFont="1" applyFill="1" applyBorder="1" applyAlignment="1" applyProtection="1">
      <alignment horizontal="center" vertical="center"/>
    </xf>
    <xf numFmtId="187" fontId="7" fillId="0" borderId="0" xfId="28581" applyNumberFormat="1" applyFont="1" applyFill="1" applyAlignment="1" applyProtection="1">
      <alignment vertical="center"/>
    </xf>
    <xf numFmtId="187" fontId="7" fillId="0" borderId="0" xfId="0" applyNumberFormat="1" applyFont="1" applyFill="1" applyAlignment="1" applyProtection="1">
      <alignment horizontal="center" vertical="center"/>
    </xf>
    <xf numFmtId="187" fontId="8" fillId="0" borderId="0" xfId="0" applyNumberFormat="1" applyFont="1" applyFill="1" applyAlignment="1" applyProtection="1">
      <alignment horizontal="center" vertical="center"/>
    </xf>
    <xf numFmtId="187" fontId="7" fillId="0" borderId="0" xfId="0" applyNumberFormat="1" applyFont="1" applyFill="1" applyAlignment="1" applyProtection="1">
      <alignment horizontal="center" vertical="center"/>
      <protection locked="0"/>
    </xf>
    <xf numFmtId="187" fontId="7" fillId="0" borderId="0" xfId="3997" applyNumberFormat="1" applyFont="1" applyFill="1" applyBorder="1" applyAlignment="1" applyProtection="1">
      <alignment horizontal="center" vertical="center"/>
      <protection locked="0"/>
    </xf>
    <xf numFmtId="187" fontId="7" fillId="0" borderId="0" xfId="0" applyNumberFormat="1" applyFont="1" applyFill="1" applyBorder="1" applyAlignment="1" applyProtection="1">
      <alignment horizontal="center" vertical="center" wrapText="1"/>
    </xf>
    <xf numFmtId="185" fontId="7" fillId="0" borderId="20" xfId="0" applyNumberFormat="1" applyFont="1" applyFill="1" applyBorder="1" applyAlignment="1" applyProtection="1">
      <alignment horizontal="center" vertical="center"/>
    </xf>
    <xf numFmtId="185" fontId="7" fillId="0" borderId="0" xfId="0" applyNumberFormat="1" applyFont="1" applyFill="1" applyBorder="1" applyAlignment="1" applyProtection="1">
      <alignment horizontal="center" vertical="center"/>
    </xf>
    <xf numFmtId="0" fontId="7" fillId="0" borderId="0" xfId="28581" applyFont="1" applyFill="1" applyAlignment="1" applyProtection="1">
      <alignment horizontal="left" vertical="center" wrapText="1"/>
      <protection locked="0"/>
    </xf>
    <xf numFmtId="43" fontId="4" fillId="0" borderId="1" xfId="4" applyFont="1" applyFill="1" applyBorder="1" applyAlignment="1" applyProtection="1">
      <alignment horizontal="center" vertical="center" wrapText="1"/>
    </xf>
    <xf numFmtId="185" fontId="4" fillId="0" borderId="1" xfId="23995" applyNumberFormat="1" applyFont="1" applyFill="1" applyBorder="1" applyAlignment="1" applyProtection="1">
      <alignment horizontal="center" vertical="center" wrapText="1"/>
    </xf>
    <xf numFmtId="184" fontId="4" fillId="0" borderId="1" xfId="23995" applyNumberFormat="1" applyFont="1" applyFill="1" applyBorder="1" applyAlignment="1" applyProtection="1">
      <alignment horizontal="center" vertical="center" wrapText="1"/>
    </xf>
    <xf numFmtId="187" fontId="7" fillId="0" borderId="1" xfId="0" applyNumberFormat="1" applyFont="1" applyFill="1" applyBorder="1" applyAlignment="1" applyProtection="1">
      <alignment horizontal="center" vertical="center"/>
      <protection locked="0"/>
    </xf>
    <xf numFmtId="10" fontId="4" fillId="0" borderId="1" xfId="23995" applyNumberFormat="1" applyFont="1" applyFill="1" applyBorder="1" applyAlignment="1" applyProtection="1">
      <alignment horizontal="center" vertical="center" wrapText="1"/>
    </xf>
    <xf numFmtId="0" fontId="4" fillId="0" borderId="1" xfId="23995" applyFont="1" applyFill="1" applyBorder="1" applyAlignment="1" applyProtection="1">
      <alignment horizontal="center" vertical="center" wrapText="1"/>
    </xf>
    <xf numFmtId="0" fontId="4" fillId="0" borderId="1" xfId="28579" applyFont="1" applyFill="1" applyBorder="1" applyAlignment="1" applyProtection="1">
      <alignment horizontal="center" vertical="center"/>
    </xf>
    <xf numFmtId="0" fontId="15" fillId="0" borderId="1" xfId="23151" applyFont="1" applyFill="1" applyBorder="1" applyAlignment="1" applyProtection="1">
      <alignment horizontal="center" vertical="center" wrapText="1"/>
    </xf>
    <xf numFmtId="43" fontId="4" fillId="0" borderId="1" xfId="4" applyFont="1" applyFill="1" applyBorder="1" applyAlignment="1" applyProtection="1">
      <alignment horizontal="center" vertical="center"/>
      <protection locked="0"/>
    </xf>
    <xf numFmtId="43" fontId="4" fillId="0" borderId="1" xfId="4" applyFont="1" applyFill="1" applyBorder="1" applyAlignment="1" applyProtection="1">
      <alignment horizontal="center" vertical="center"/>
    </xf>
    <xf numFmtId="185" fontId="4" fillId="0" borderId="1" xfId="33064" applyNumberFormat="1" applyFont="1" applyFill="1" applyBorder="1" applyAlignment="1" applyProtection="1">
      <alignment horizontal="center" vertical="center" wrapText="1"/>
    </xf>
    <xf numFmtId="185" fontId="4" fillId="0" borderId="1" xfId="33064" applyNumberFormat="1" applyFont="1" applyFill="1" applyBorder="1" applyAlignment="1" applyProtection="1">
      <alignment horizontal="center" vertical="center"/>
    </xf>
    <xf numFmtId="0" fontId="16" fillId="0" borderId="1" xfId="0" applyFont="1" applyFill="1" applyBorder="1" applyAlignment="1" applyProtection="1">
      <alignment horizontal="center" vertical="center"/>
    </xf>
    <xf numFmtId="0" fontId="16" fillId="0" borderId="1" xfId="28579" applyFont="1" applyFill="1" applyBorder="1" applyAlignment="1" applyProtection="1">
      <alignment horizontal="left" vertical="center" wrapText="1"/>
    </xf>
    <xf numFmtId="0" fontId="4" fillId="0" borderId="1" xfId="28579" applyFont="1" applyFill="1" applyBorder="1" applyAlignment="1" applyProtection="1">
      <alignment horizontal="left" vertical="center"/>
    </xf>
    <xf numFmtId="43" fontId="4" fillId="0" borderId="1" xfId="4" applyFont="1" applyFill="1" applyBorder="1" applyAlignment="1" applyProtection="1">
      <alignment horizontal="left" vertical="center"/>
    </xf>
    <xf numFmtId="10" fontId="4" fillId="0" borderId="1" xfId="51" applyNumberFormat="1" applyFont="1" applyFill="1" applyBorder="1" applyAlignment="1" applyProtection="1">
      <alignment horizontal="center" vertical="center"/>
    </xf>
    <xf numFmtId="0" fontId="4" fillId="0" borderId="1" xfId="28579" applyFont="1" applyFill="1" applyBorder="1" applyAlignment="1" applyProtection="1">
      <alignment vertical="center"/>
    </xf>
    <xf numFmtId="0" fontId="4" fillId="0" borderId="1" xfId="0" applyFont="1" applyFill="1" applyBorder="1" applyAlignment="1" applyProtection="1">
      <alignment horizontal="center" vertical="center"/>
    </xf>
    <xf numFmtId="185" fontId="4" fillId="0" borderId="1" xfId="24013" applyNumberFormat="1" applyFont="1" applyFill="1" applyBorder="1" applyAlignment="1" applyProtection="1">
      <alignment horizontal="left" vertical="center"/>
    </xf>
    <xf numFmtId="0" fontId="4" fillId="0" borderId="1" xfId="0" applyFont="1" applyFill="1" applyBorder="1" applyAlignment="1" applyProtection="1">
      <alignment horizontal="left" vertical="center" wrapText="1"/>
    </xf>
    <xf numFmtId="10" fontId="4" fillId="0" borderId="1" xfId="51" applyNumberFormat="1" applyFont="1" applyFill="1" applyBorder="1" applyAlignment="1" applyProtection="1">
      <alignment horizontal="center" vertical="center" wrapText="1"/>
    </xf>
    <xf numFmtId="177" fontId="4" fillId="0" borderId="1" xfId="51" applyNumberFormat="1" applyFont="1" applyFill="1" applyBorder="1" applyAlignment="1" applyProtection="1">
      <alignment horizontal="center" vertical="center"/>
    </xf>
    <xf numFmtId="0" fontId="4" fillId="0" borderId="1" xfId="28579" applyFont="1" applyFill="1" applyBorder="1" applyAlignment="1" applyProtection="1">
      <alignment horizontal="center" vertical="center" wrapText="1"/>
    </xf>
    <xf numFmtId="0" fontId="4" fillId="0" borderId="1" xfId="0" applyFont="1" applyFill="1" applyBorder="1" applyAlignment="1" applyProtection="1">
      <alignment vertical="center"/>
    </xf>
    <xf numFmtId="185" fontId="4" fillId="0" borderId="1" xfId="28579" applyNumberFormat="1" applyFont="1" applyFill="1" applyBorder="1" applyAlignment="1" applyProtection="1">
      <alignment vertical="center"/>
    </xf>
    <xf numFmtId="0" fontId="9" fillId="0" borderId="1" xfId="0" applyFont="1" applyFill="1" applyBorder="1" applyAlignment="1" applyProtection="1">
      <alignment horizontal="center" vertical="center" wrapText="1"/>
    </xf>
    <xf numFmtId="43" fontId="17" fillId="0" borderId="0" xfId="4" applyFont="1" applyFill="1" applyAlignment="1" applyProtection="1">
      <alignment wrapText="1"/>
      <protection locked="0"/>
    </xf>
    <xf numFmtId="0" fontId="1" fillId="0" borderId="0" xfId="0" applyFont="1" applyFill="1" applyAlignment="1" applyProtection="1">
      <alignment wrapText="1"/>
      <protection locked="0"/>
    </xf>
    <xf numFmtId="0" fontId="17" fillId="0" borderId="0" xfId="0" applyFont="1" applyFill="1" applyAlignment="1" applyProtection="1">
      <alignment wrapText="1"/>
    </xf>
    <xf numFmtId="43" fontId="8" fillId="0" borderId="1" xfId="4" applyFont="1" applyFill="1" applyBorder="1" applyAlignment="1" applyProtection="1">
      <alignment horizontal="center" vertical="center" wrapText="1"/>
      <protection locked="0"/>
    </xf>
    <xf numFmtId="0" fontId="7" fillId="0" borderId="1" xfId="0" applyFont="1" applyFill="1" applyBorder="1" applyAlignment="1" applyProtection="1">
      <alignment vertical="top" wrapText="1"/>
    </xf>
    <xf numFmtId="0" fontId="8" fillId="0" borderId="1" xfId="0" applyFont="1" applyFill="1" applyBorder="1" applyAlignment="1" applyProtection="1">
      <alignment horizontal="center" vertical="top" wrapText="1"/>
    </xf>
    <xf numFmtId="0" fontId="7" fillId="0" borderId="1" xfId="0" applyFont="1" applyFill="1" applyBorder="1" applyAlignment="1" applyProtection="1">
      <alignment vertical="top" wrapText="1"/>
      <protection locked="0"/>
    </xf>
    <xf numFmtId="184" fontId="7" fillId="0" borderId="1" xfId="0" applyNumberFormat="1" applyFont="1" applyFill="1" applyBorder="1" applyAlignment="1" applyProtection="1">
      <alignment horizontal="center" vertical="center" wrapText="1"/>
    </xf>
    <xf numFmtId="0" fontId="17" fillId="0" borderId="1" xfId="0" applyFont="1" applyFill="1" applyBorder="1" applyAlignment="1" applyProtection="1">
      <alignment wrapText="1"/>
    </xf>
    <xf numFmtId="184" fontId="17" fillId="0" borderId="1" xfId="0" applyNumberFormat="1" applyFont="1" applyFill="1" applyBorder="1" applyAlignment="1" applyProtection="1">
      <alignment wrapText="1"/>
    </xf>
    <xf numFmtId="185" fontId="7" fillId="0" borderId="1" xfId="0" applyNumberFormat="1" applyFont="1" applyFill="1" applyBorder="1" applyAlignment="1" applyProtection="1">
      <alignment horizontal="center" vertical="center" wrapText="1"/>
    </xf>
    <xf numFmtId="43" fontId="7" fillId="0" borderId="1" xfId="33028" applyFont="1" applyFill="1" applyBorder="1" applyAlignment="1" applyProtection="1">
      <alignment horizontal="center" vertical="center" wrapText="1"/>
    </xf>
    <xf numFmtId="43" fontId="17" fillId="0" borderId="1" xfId="4" applyFont="1" applyFill="1" applyBorder="1" applyAlignment="1" applyProtection="1">
      <alignment vertical="center" wrapText="1"/>
    </xf>
    <xf numFmtId="10" fontId="7" fillId="0" borderId="1" xfId="0" applyNumberFormat="1" applyFont="1" applyFill="1" applyBorder="1" applyAlignment="1" applyProtection="1">
      <alignment horizontal="center" vertical="center" wrapText="1"/>
    </xf>
    <xf numFmtId="177" fontId="7" fillId="0" borderId="1" xfId="0" applyNumberFormat="1" applyFont="1" applyFill="1" applyBorder="1" applyAlignment="1" applyProtection="1">
      <alignment horizontal="center" vertical="center" wrapText="1"/>
    </xf>
    <xf numFmtId="43" fontId="1" fillId="0" borderId="0" xfId="4" applyFont="1" applyFill="1" applyAlignment="1" applyProtection="1">
      <alignment wrapText="1"/>
    </xf>
    <xf numFmtId="43" fontId="17" fillId="0" borderId="0" xfId="4" applyFont="1" applyFill="1" applyAlignment="1" applyProtection="1">
      <alignment wrapText="1"/>
    </xf>
    <xf numFmtId="0" fontId="7" fillId="0" borderId="0" xfId="0" applyFont="1" applyFill="1" applyAlignment="1" applyProtection="1">
      <alignment horizontal="left" vertical="center" wrapText="1"/>
      <protection locked="0"/>
    </xf>
    <xf numFmtId="0" fontId="7" fillId="0" borderId="0" xfId="0" applyFont="1" applyFill="1" applyAlignment="1" applyProtection="1">
      <alignment horizontal="center" vertical="center" wrapText="1"/>
      <protection locked="0"/>
    </xf>
    <xf numFmtId="185" fontId="7" fillId="0" borderId="0" xfId="0" applyNumberFormat="1" applyFont="1" applyFill="1" applyAlignment="1" applyProtection="1">
      <alignment horizontal="center" vertical="center" wrapText="1"/>
      <protection locked="0"/>
    </xf>
    <xf numFmtId="187" fontId="7" fillId="0" borderId="0" xfId="0" applyNumberFormat="1" applyFont="1" applyFill="1" applyAlignment="1" applyProtection="1">
      <alignment vertical="center" wrapText="1"/>
      <protection locked="0"/>
    </xf>
    <xf numFmtId="0" fontId="8" fillId="0" borderId="1" xfId="0" applyFont="1" applyFill="1" applyBorder="1" applyAlignment="1" applyProtection="1">
      <alignment vertical="center" wrapText="1"/>
    </xf>
    <xf numFmtId="43" fontId="8" fillId="0" borderId="8" xfId="4" applyFont="1" applyFill="1" applyBorder="1" applyAlignment="1" applyProtection="1">
      <alignment horizontal="center" vertical="center" wrapText="1"/>
      <protection locked="0"/>
    </xf>
    <xf numFmtId="0" fontId="7" fillId="0" borderId="1" xfId="23155" applyFont="1" applyFill="1" applyBorder="1" applyAlignment="1" applyProtection="1">
      <alignment horizontal="left" vertical="center" wrapText="1"/>
    </xf>
    <xf numFmtId="0" fontId="7" fillId="0" borderId="1" xfId="23155" applyFont="1" applyFill="1" applyBorder="1" applyAlignment="1" applyProtection="1">
      <alignment horizontal="center" vertical="center" wrapText="1"/>
    </xf>
    <xf numFmtId="0" fontId="7" fillId="0" borderId="1" xfId="23155" applyFont="1" applyFill="1" applyBorder="1" applyAlignment="1" applyProtection="1">
      <alignment horizontal="left" vertical="top" wrapText="1"/>
    </xf>
    <xf numFmtId="0" fontId="7" fillId="0" borderId="1" xfId="23155" applyFont="1" applyFill="1" applyBorder="1" applyAlignment="1" applyProtection="1">
      <alignment vertical="top" wrapText="1"/>
    </xf>
    <xf numFmtId="49" fontId="7" fillId="0" borderId="1" xfId="0" applyNumberFormat="1" applyFont="1" applyFill="1" applyBorder="1" applyAlignment="1" applyProtection="1">
      <alignment horizontal="left" vertical="top" wrapText="1"/>
    </xf>
    <xf numFmtId="0" fontId="1" fillId="0" borderId="1" xfId="0" applyFont="1" applyFill="1" applyBorder="1" applyAlignment="1" applyProtection="1">
      <alignment vertical="top" wrapText="1"/>
    </xf>
    <xf numFmtId="0" fontId="7" fillId="0" borderId="1" xfId="4795" applyFont="1" applyFill="1" applyBorder="1" applyAlignment="1" applyProtection="1">
      <alignment horizontal="left" vertical="center" wrapText="1"/>
    </xf>
    <xf numFmtId="187" fontId="8" fillId="0" borderId="0" xfId="0" applyNumberFormat="1" applyFont="1" applyFill="1" applyAlignment="1" applyProtection="1">
      <alignment horizontal="center" vertical="center" wrapText="1"/>
    </xf>
    <xf numFmtId="187" fontId="7" fillId="0" borderId="0" xfId="0" applyNumberFormat="1" applyFont="1" applyFill="1" applyAlignment="1" applyProtection="1">
      <alignment horizontal="center" vertical="center" wrapText="1"/>
    </xf>
    <xf numFmtId="187" fontId="4" fillId="0" borderId="0" xfId="0" applyNumberFormat="1" applyFont="1" applyFill="1" applyBorder="1" applyAlignment="1" applyProtection="1">
      <alignment horizontal="center" vertical="center"/>
    </xf>
    <xf numFmtId="187" fontId="7" fillId="0" borderId="0" xfId="0" applyNumberFormat="1" applyFont="1" applyFill="1" applyAlignment="1" applyProtection="1">
      <alignment vertical="center" wrapText="1"/>
    </xf>
    <xf numFmtId="187" fontId="8" fillId="0" borderId="0" xfId="0" applyNumberFormat="1" applyFont="1" applyFill="1" applyAlignment="1" applyProtection="1">
      <alignment vertical="center" wrapText="1"/>
      <protection locked="0"/>
    </xf>
    <xf numFmtId="0" fontId="8" fillId="0" borderId="1" xfId="0" applyFont="1" applyFill="1" applyBorder="1" applyAlignment="1" applyProtection="1">
      <alignment vertical="center" wrapText="1"/>
      <protection locked="0"/>
    </xf>
    <xf numFmtId="187" fontId="4" fillId="0" borderId="0" xfId="0" applyNumberFormat="1" applyFont="1" applyFill="1" applyBorder="1" applyAlignment="1" applyProtection="1">
      <alignment horizontal="center" vertical="center"/>
      <protection locked="0"/>
    </xf>
    <xf numFmtId="0" fontId="8" fillId="0" borderId="0" xfId="0" applyFont="1" applyFill="1" applyBorder="1" applyAlignment="1" applyProtection="1">
      <alignment vertical="center" wrapText="1"/>
      <protection locked="0"/>
    </xf>
    <xf numFmtId="0" fontId="7" fillId="0" borderId="0" xfId="0" applyFont="1" applyFill="1" applyBorder="1" applyAlignment="1" applyProtection="1">
      <alignment vertical="center" wrapText="1"/>
      <protection locked="0"/>
    </xf>
    <xf numFmtId="184" fontId="7" fillId="0" borderId="0" xfId="0" applyNumberFormat="1" applyFont="1" applyFill="1" applyAlignment="1" applyProtection="1">
      <alignment vertical="center" wrapText="1"/>
      <protection locked="0"/>
    </xf>
    <xf numFmtId="0" fontId="7" fillId="0" borderId="0" xfId="0" applyFont="1" applyFill="1" applyAlignment="1" applyProtection="1">
      <alignment horizontal="left" vertical="center" wrapText="1"/>
    </xf>
    <xf numFmtId="0" fontId="7" fillId="0" borderId="1" xfId="4795" applyFont="1" applyFill="1" applyBorder="1" applyAlignment="1" applyProtection="1">
      <alignment horizontal="left" vertical="top" wrapText="1"/>
    </xf>
    <xf numFmtId="43" fontId="19" fillId="0" borderId="1" xfId="4" applyFont="1" applyFill="1" applyBorder="1" applyAlignment="1" applyProtection="1">
      <alignment horizontal="center" vertical="center"/>
      <protection locked="0"/>
    </xf>
    <xf numFmtId="43" fontId="7" fillId="0" borderId="1" xfId="4" applyFont="1" applyFill="1" applyBorder="1" applyAlignment="1" applyProtection="1">
      <alignment horizontal="left" vertical="center" wrapText="1"/>
    </xf>
    <xf numFmtId="187" fontId="7" fillId="0" borderId="0" xfId="0" applyNumberFormat="1" applyFont="1" applyFill="1" applyAlignment="1" applyProtection="1">
      <alignment horizontal="left" vertical="center" wrapText="1"/>
    </xf>
    <xf numFmtId="187" fontId="7" fillId="0" borderId="0" xfId="0" applyNumberFormat="1" applyFont="1" applyFill="1" applyAlignment="1" applyProtection="1">
      <alignment horizontal="center" vertical="center" wrapText="1"/>
      <protection locked="0"/>
    </xf>
    <xf numFmtId="187" fontId="7" fillId="0" borderId="0" xfId="0" applyNumberFormat="1" applyFont="1" applyFill="1" applyAlignment="1" applyProtection="1">
      <alignment horizontal="left" vertical="center" wrapText="1"/>
      <protection locked="0"/>
    </xf>
    <xf numFmtId="185" fontId="7" fillId="0" borderId="0" xfId="0" applyNumberFormat="1" applyFont="1" applyFill="1" applyAlignment="1" applyProtection="1">
      <alignment vertical="center" wrapText="1"/>
      <protection locked="0"/>
    </xf>
    <xf numFmtId="184" fontId="7" fillId="0" borderId="0" xfId="0" applyNumberFormat="1" applyFont="1" applyFill="1" applyAlignment="1" applyProtection="1">
      <alignment horizontal="left" vertical="center" wrapText="1"/>
      <protection locked="0"/>
    </xf>
    <xf numFmtId="0" fontId="7" fillId="0" borderId="0" xfId="0" applyFont="1" applyFill="1" applyAlignment="1" applyProtection="1">
      <alignment horizontal="center" vertical="center"/>
      <protection locked="0"/>
    </xf>
    <xf numFmtId="43" fontId="7" fillId="0" borderId="0" xfId="4" applyFont="1" applyFill="1" applyAlignment="1" applyProtection="1">
      <alignment horizontal="center" vertical="center"/>
      <protection locked="0"/>
    </xf>
    <xf numFmtId="0" fontId="7" fillId="0" borderId="0" xfId="0" applyFont="1" applyFill="1" applyAlignment="1" applyProtection="1">
      <alignment vertical="center"/>
      <protection locked="0"/>
    </xf>
    <xf numFmtId="0" fontId="7" fillId="0" borderId="1" xfId="0" applyFont="1" applyFill="1" applyBorder="1" applyAlignment="1" applyProtection="1">
      <alignment vertical="center"/>
      <protection locked="0"/>
    </xf>
    <xf numFmtId="0" fontId="7" fillId="0" borderId="8" xfId="0" applyFont="1" applyFill="1" applyBorder="1" applyAlignment="1" applyProtection="1">
      <alignment horizontal="center" vertical="center" wrapText="1"/>
    </xf>
    <xf numFmtId="0" fontId="7" fillId="0" borderId="0" xfId="0" applyFont="1" applyFill="1" applyAlignment="1" applyProtection="1">
      <alignment vertical="center"/>
    </xf>
    <xf numFmtId="0" fontId="7" fillId="0" borderId="0" xfId="0" applyFont="1" applyFill="1" applyAlignment="1" applyProtection="1">
      <alignment horizontal="center" vertical="center" wrapText="1"/>
    </xf>
    <xf numFmtId="185" fontId="7" fillId="0" borderId="1" xfId="0" applyNumberFormat="1" applyFont="1" applyFill="1" applyBorder="1" applyAlignment="1" applyProtection="1">
      <alignment horizontal="center" vertical="center"/>
      <protection locked="0"/>
    </xf>
    <xf numFmtId="185" fontId="7" fillId="0" borderId="8" xfId="0" applyNumberFormat="1" applyFont="1" applyFill="1" applyBorder="1" applyAlignment="1" applyProtection="1">
      <alignment horizontal="center" vertical="center"/>
      <protection locked="0"/>
    </xf>
    <xf numFmtId="185" fontId="7" fillId="0" borderId="22" xfId="0" applyNumberFormat="1" applyFont="1" applyFill="1" applyBorder="1" applyAlignment="1" applyProtection="1">
      <alignment horizontal="center" vertical="center" wrapText="1"/>
      <protection locked="0"/>
    </xf>
    <xf numFmtId="0" fontId="7" fillId="0" borderId="1" xfId="24013" applyFont="1" applyFill="1" applyBorder="1" applyAlignment="1" applyProtection="1">
      <alignment horizontal="center" vertical="center"/>
    </xf>
    <xf numFmtId="0" fontId="7" fillId="0" borderId="1" xfId="24013" applyFont="1" applyFill="1" applyBorder="1" applyAlignment="1" applyProtection="1">
      <alignment horizontal="left" vertical="center" wrapText="1"/>
    </xf>
    <xf numFmtId="0" fontId="7" fillId="0" borderId="1" xfId="21094" applyFont="1" applyFill="1" applyBorder="1" applyAlignment="1" applyProtection="1">
      <alignment horizontal="center" vertical="center"/>
    </xf>
    <xf numFmtId="185" fontId="7" fillId="0" borderId="22" xfId="21094" applyNumberFormat="1" applyFont="1" applyFill="1" applyBorder="1" applyAlignment="1" applyProtection="1">
      <alignment horizontal="center" vertical="center"/>
      <protection locked="0"/>
    </xf>
    <xf numFmtId="185" fontId="7" fillId="0" borderId="22" xfId="4" applyNumberFormat="1" applyFont="1" applyFill="1" applyBorder="1" applyAlignment="1" applyProtection="1">
      <alignment horizontal="center" vertical="center"/>
      <protection locked="0"/>
    </xf>
    <xf numFmtId="0" fontId="7" fillId="0" borderId="1" xfId="23129" applyFont="1" applyFill="1" applyBorder="1" applyAlignment="1" applyProtection="1">
      <alignment vertical="center" wrapText="1"/>
    </xf>
    <xf numFmtId="43" fontId="7" fillId="2" borderId="8" xfId="4" applyFont="1" applyFill="1" applyBorder="1" applyAlignment="1" applyProtection="1">
      <alignment horizontal="center" vertical="center" wrapText="1"/>
    </xf>
    <xf numFmtId="43" fontId="7" fillId="2" borderId="1" xfId="4" applyFont="1" applyFill="1" applyBorder="1" applyAlignment="1" applyProtection="1">
      <alignment horizontal="center" vertical="center" wrapText="1"/>
    </xf>
    <xf numFmtId="43" fontId="7" fillId="2" borderId="1" xfId="4" applyFont="1" applyFill="1" applyBorder="1" applyAlignment="1" applyProtection="1">
      <alignment horizontal="center" vertical="center"/>
    </xf>
    <xf numFmtId="43" fontId="7" fillId="2" borderId="1" xfId="4" applyFont="1" applyFill="1" applyBorder="1" applyAlignment="1" applyProtection="1">
      <alignment vertical="center"/>
    </xf>
    <xf numFmtId="0" fontId="0" fillId="0" borderId="8" xfId="0" applyFont="1" applyFill="1" applyBorder="1" applyAlignment="1" applyProtection="1">
      <alignment vertical="center" wrapText="1"/>
    </xf>
    <xf numFmtId="185" fontId="7" fillId="0" borderId="1" xfId="24013" applyNumberFormat="1" applyFont="1" applyFill="1" applyBorder="1" applyAlignment="1" applyProtection="1">
      <alignment horizontal="left" vertical="center" wrapText="1"/>
    </xf>
    <xf numFmtId="188" fontId="7" fillId="0" borderId="0" xfId="0" applyNumberFormat="1" applyFont="1" applyFill="1" applyAlignment="1" applyProtection="1">
      <alignment horizontal="center" vertical="center" wrapText="1"/>
      <protection locked="0"/>
    </xf>
    <xf numFmtId="0" fontId="7" fillId="0" borderId="1" xfId="23129" applyFont="1" applyFill="1" applyBorder="1" applyAlignment="1" applyProtection="1">
      <alignment vertical="center" wrapText="1"/>
      <protection locked="0"/>
    </xf>
    <xf numFmtId="188" fontId="7" fillId="2" borderId="1" xfId="0" applyNumberFormat="1" applyFont="1" applyFill="1" applyBorder="1" applyAlignment="1" applyProtection="1">
      <alignment horizontal="center" vertical="center" wrapText="1"/>
    </xf>
    <xf numFmtId="10" fontId="7" fillId="2" borderId="1" xfId="0" applyNumberFormat="1" applyFont="1" applyFill="1" applyBorder="1" applyAlignment="1" applyProtection="1">
      <alignment horizontal="center" vertical="center" wrapText="1"/>
    </xf>
    <xf numFmtId="177" fontId="7" fillId="2" borderId="1" xfId="0" applyNumberFormat="1" applyFont="1" applyFill="1" applyBorder="1" applyAlignment="1" applyProtection="1">
      <alignment horizontal="center" vertical="center" wrapText="1"/>
    </xf>
    <xf numFmtId="188" fontId="7" fillId="2" borderId="0" xfId="0" applyNumberFormat="1" applyFont="1" applyFill="1" applyAlignment="1" applyProtection="1">
      <alignment horizontal="center" vertical="center" wrapText="1"/>
      <protection locked="0"/>
    </xf>
    <xf numFmtId="43" fontId="7" fillId="2" borderId="0" xfId="4" applyFont="1" applyFill="1" applyAlignment="1" applyProtection="1">
      <alignment horizontal="center" vertical="center" wrapText="1"/>
      <protection locked="0"/>
    </xf>
    <xf numFmtId="43" fontId="7" fillId="0" borderId="0" xfId="4" applyFont="1" applyFill="1" applyAlignment="1" applyProtection="1">
      <alignment horizontal="center" vertical="center" wrapText="1"/>
    </xf>
    <xf numFmtId="43" fontId="7" fillId="0" borderId="0" xfId="4" applyFont="1" applyFill="1" applyAlignment="1" applyProtection="1">
      <alignment horizontal="center" vertical="center" wrapText="1"/>
      <protection locked="0"/>
    </xf>
    <xf numFmtId="185" fontId="7" fillId="0" borderId="1" xfId="24013" applyNumberFormat="1" applyFont="1" applyFill="1" applyBorder="1" applyAlignment="1" applyProtection="1">
      <alignment horizontal="left" vertical="center" wrapText="1"/>
      <protection locked="0"/>
    </xf>
    <xf numFmtId="188" fontId="7" fillId="0" borderId="1" xfId="0" applyNumberFormat="1" applyFont="1" applyFill="1" applyBorder="1" applyAlignment="1" applyProtection="1">
      <alignment horizontal="left" vertical="center" wrapText="1"/>
    </xf>
    <xf numFmtId="0" fontId="7" fillId="0" borderId="1" xfId="27252" applyFont="1" applyFill="1" applyBorder="1" applyAlignment="1" applyProtection="1">
      <alignment horizontal="center" vertical="center"/>
    </xf>
    <xf numFmtId="188" fontId="7" fillId="0" borderId="1" xfId="0" applyNumberFormat="1" applyFont="1" applyFill="1" applyBorder="1" applyAlignment="1" applyProtection="1">
      <alignment horizontal="center" vertical="center" wrapText="1"/>
      <protection locked="0"/>
    </xf>
    <xf numFmtId="43" fontId="7" fillId="0" borderId="0" xfId="4" applyFont="1" applyFill="1" applyBorder="1" applyAlignment="1" applyProtection="1">
      <alignment horizontal="center" vertical="center" wrapText="1"/>
      <protection locked="0"/>
    </xf>
    <xf numFmtId="185" fontId="7" fillId="0" borderId="1" xfId="14274" applyNumberFormat="1" applyFont="1" applyFill="1" applyBorder="1" applyAlignment="1" applyProtection="1">
      <alignment vertical="center" wrapText="1"/>
      <protection locked="0"/>
    </xf>
    <xf numFmtId="0" fontId="7" fillId="0" borderId="1" xfId="23155" applyFont="1" applyFill="1" applyBorder="1" applyAlignment="1" applyProtection="1">
      <alignment vertical="center" wrapText="1"/>
    </xf>
    <xf numFmtId="0" fontId="7" fillId="0" borderId="1" xfId="24013" applyFont="1" applyFill="1" applyBorder="1" applyAlignment="1" applyProtection="1">
      <alignment vertical="center" wrapText="1"/>
    </xf>
    <xf numFmtId="43" fontId="7" fillId="2" borderId="18" xfId="4" applyFont="1" applyFill="1" applyBorder="1" applyAlignment="1" applyProtection="1">
      <alignment vertical="center" wrapText="1"/>
    </xf>
    <xf numFmtId="188" fontId="7" fillId="2" borderId="1" xfId="0" applyNumberFormat="1" applyFont="1" applyFill="1" applyBorder="1" applyAlignment="1" applyProtection="1">
      <alignment vertical="center" wrapText="1"/>
    </xf>
    <xf numFmtId="187" fontId="7" fillId="2" borderId="1" xfId="0" applyNumberFormat="1" applyFont="1" applyFill="1" applyBorder="1" applyAlignment="1" applyProtection="1">
      <alignment horizontal="center" vertical="center" wrapText="1"/>
    </xf>
    <xf numFmtId="43" fontId="8" fillId="0" borderId="0" xfId="4" applyFont="1" applyFill="1" applyBorder="1" applyAlignment="1" applyProtection="1">
      <alignment vertical="center" wrapText="1"/>
      <protection locked="0"/>
    </xf>
    <xf numFmtId="43" fontId="8" fillId="0" borderId="0" xfId="4" applyFont="1" applyFill="1" applyBorder="1" applyAlignment="1" applyProtection="1">
      <alignment vertical="center" wrapText="1"/>
    </xf>
    <xf numFmtId="43" fontId="7" fillId="0" borderId="0" xfId="4" applyFont="1" applyFill="1" applyBorder="1" applyAlignment="1" applyProtection="1">
      <alignment horizontal="center" vertical="center" wrapText="1"/>
    </xf>
    <xf numFmtId="0" fontId="7" fillId="0" borderId="2" xfId="0" applyFont="1" applyFill="1" applyBorder="1" applyAlignment="1" applyProtection="1">
      <alignment horizontal="left" vertical="center" wrapText="1"/>
    </xf>
    <xf numFmtId="43" fontId="7" fillId="0" borderId="0" xfId="4" applyFont="1" applyFill="1" applyBorder="1" applyAlignment="1" applyProtection="1">
      <alignment horizontal="center" vertical="center"/>
    </xf>
    <xf numFmtId="43" fontId="7" fillId="0" borderId="1" xfId="0" applyNumberFormat="1" applyFont="1" applyFill="1" applyBorder="1" applyAlignment="1" applyProtection="1">
      <alignment horizontal="left" vertical="center"/>
    </xf>
    <xf numFmtId="188" fontId="7" fillId="0" borderId="0" xfId="0" applyNumberFormat="1" applyFont="1" applyFill="1" applyAlignment="1" applyProtection="1">
      <alignment vertical="center"/>
      <protection locked="0"/>
    </xf>
    <xf numFmtId="188" fontId="7" fillId="0" borderId="1" xfId="0" applyNumberFormat="1" applyFont="1" applyFill="1" applyBorder="1" applyAlignment="1" applyProtection="1">
      <alignment vertical="center"/>
      <protection locked="0"/>
    </xf>
    <xf numFmtId="0" fontId="1" fillId="0" borderId="1" xfId="28584" applyFont="1" applyFill="1" applyBorder="1" applyAlignment="1" applyProtection="1">
      <alignment horizontal="left" vertical="center" wrapText="1"/>
    </xf>
    <xf numFmtId="0" fontId="1" fillId="0" borderId="1" xfId="0" applyFont="1" applyFill="1" applyBorder="1" applyAlignment="1" applyProtection="1">
      <alignment vertical="center" wrapText="1"/>
    </xf>
    <xf numFmtId="0" fontId="1" fillId="0" borderId="1" xfId="0" applyFont="1" applyFill="1" applyBorder="1" applyAlignment="1" applyProtection="1">
      <alignment horizontal="center" vertical="center" wrapText="1"/>
    </xf>
    <xf numFmtId="0" fontId="15" fillId="0" borderId="1" xfId="23155" applyFont="1" applyFill="1" applyBorder="1" applyAlignment="1" applyProtection="1">
      <alignment horizontal="center" vertical="center" wrapText="1"/>
    </xf>
    <xf numFmtId="43" fontId="7" fillId="2" borderId="1" xfId="4" applyFont="1" applyFill="1" applyBorder="1" applyAlignment="1" applyProtection="1">
      <alignment horizontal="left" vertical="center" wrapText="1"/>
    </xf>
    <xf numFmtId="0" fontId="7" fillId="0" borderId="2" xfId="0" applyFont="1" applyFill="1" applyBorder="1" applyAlignment="1" applyProtection="1">
      <alignment vertical="center" wrapText="1"/>
    </xf>
    <xf numFmtId="188" fontId="7" fillId="2" borderId="1" xfId="0" applyNumberFormat="1" applyFont="1" applyFill="1" applyBorder="1" applyAlignment="1" applyProtection="1">
      <alignment horizontal="center" vertical="center" wrapText="1"/>
      <protection locked="0"/>
    </xf>
    <xf numFmtId="187" fontId="7" fillId="2" borderId="1" xfId="0" applyNumberFormat="1" applyFont="1" applyFill="1" applyBorder="1" applyAlignment="1" applyProtection="1">
      <alignment horizontal="center" vertical="center" wrapText="1"/>
      <protection locked="0"/>
    </xf>
    <xf numFmtId="10" fontId="7" fillId="2" borderId="1" xfId="51" applyNumberFormat="1" applyFont="1" applyFill="1" applyBorder="1" applyAlignment="1" applyProtection="1">
      <alignment horizontal="center" vertical="center" wrapText="1"/>
    </xf>
    <xf numFmtId="177" fontId="7" fillId="2" borderId="1" xfId="51" applyNumberFormat="1" applyFont="1" applyFill="1" applyBorder="1" applyAlignment="1" applyProtection="1">
      <alignment horizontal="center" vertical="center" wrapText="1"/>
    </xf>
    <xf numFmtId="187" fontId="7" fillId="0" borderId="0" xfId="0" applyNumberFormat="1" applyFont="1" applyFill="1" applyBorder="1" applyAlignment="1" applyProtection="1">
      <alignment horizontal="center" vertical="center" wrapText="1"/>
      <protection locked="0"/>
    </xf>
    <xf numFmtId="187" fontId="8" fillId="0" borderId="0" xfId="28581" applyNumberFormat="1" applyFont="1" applyFill="1" applyBorder="1" applyAlignment="1" applyProtection="1">
      <alignment vertical="center" wrapText="1"/>
      <protection locked="0"/>
    </xf>
    <xf numFmtId="0" fontId="7" fillId="0" borderId="0" xfId="0" applyFont="1" applyFill="1" applyAlignment="1" applyProtection="1">
      <alignment horizontal="left" vertical="center"/>
    </xf>
    <xf numFmtId="0" fontId="7" fillId="0" borderId="0" xfId="0" applyFont="1" applyFill="1" applyAlignment="1" applyProtection="1">
      <alignment horizontal="center" vertical="center"/>
    </xf>
    <xf numFmtId="43" fontId="7" fillId="0" borderId="0" xfId="4" applyFont="1" applyFill="1" applyAlignment="1" applyProtection="1">
      <alignment vertical="center" wrapText="1"/>
    </xf>
    <xf numFmtId="43" fontId="7" fillId="0" borderId="0" xfId="4" applyFont="1" applyFill="1" applyAlignment="1" applyProtection="1">
      <alignment vertical="center"/>
      <protection locked="0"/>
    </xf>
    <xf numFmtId="43" fontId="8" fillId="0" borderId="0" xfId="4" applyFont="1" applyFill="1" applyAlignment="1" applyProtection="1">
      <alignment horizontal="center" vertical="center" wrapText="1"/>
      <protection locked="0"/>
    </xf>
    <xf numFmtId="43" fontId="8" fillId="0" borderId="0" xfId="4" applyFont="1" applyFill="1" applyBorder="1" applyAlignment="1" applyProtection="1">
      <alignment horizontal="center" vertical="center" wrapText="1"/>
    </xf>
    <xf numFmtId="43" fontId="8" fillId="0" borderId="0" xfId="4" applyFont="1" applyFill="1" applyAlignment="1" applyProtection="1">
      <alignment horizontal="center" vertical="center" wrapText="1"/>
    </xf>
    <xf numFmtId="14" fontId="7" fillId="0" borderId="0" xfId="0" applyNumberFormat="1" applyFont="1" applyFill="1" applyAlignment="1" applyProtection="1">
      <alignment vertical="center" wrapText="1"/>
    </xf>
    <xf numFmtId="43" fontId="7" fillId="0" borderId="0" xfId="4" applyFont="1" applyFill="1" applyBorder="1" applyAlignment="1" applyProtection="1">
      <alignment horizontal="left" vertical="center" wrapText="1"/>
      <protection locked="0"/>
    </xf>
    <xf numFmtId="0" fontId="21" fillId="0" borderId="0" xfId="0" applyFont="1" applyFill="1" applyAlignment="1" applyProtection="1">
      <alignment vertical="center" wrapText="1"/>
    </xf>
    <xf numFmtId="43" fontId="21" fillId="0" borderId="0" xfId="4" applyFont="1" applyFill="1" applyAlignment="1" applyProtection="1">
      <alignment horizontal="center" vertical="center" wrapText="1"/>
    </xf>
    <xf numFmtId="183" fontId="12" fillId="0" borderId="0" xfId="28579" applyNumberFormat="1" applyFont="1" applyFill="1" applyBorder="1" applyAlignment="1">
      <alignment horizontal="center" vertical="center"/>
    </xf>
    <xf numFmtId="43" fontId="12" fillId="0" borderId="0" xfId="4" applyFont="1" applyFill="1" applyBorder="1" applyAlignment="1">
      <alignment horizontal="center" vertical="center"/>
    </xf>
    <xf numFmtId="185" fontId="12" fillId="0" borderId="0" xfId="4" applyNumberFormat="1" applyFont="1" applyFill="1" applyBorder="1" applyAlignment="1">
      <alignment horizontal="center" vertical="center"/>
    </xf>
    <xf numFmtId="0" fontId="1" fillId="0" borderId="0" xfId="28580" applyFont="1" applyFill="1" applyBorder="1" applyAlignment="1">
      <alignment horizontal="center" vertical="center"/>
    </xf>
    <xf numFmtId="43" fontId="1" fillId="0" borderId="0" xfId="4" applyFont="1" applyFill="1" applyBorder="1" applyAlignment="1">
      <alignment horizontal="center" vertical="center"/>
    </xf>
    <xf numFmtId="43" fontId="1" fillId="0" borderId="0" xfId="4" applyFont="1" applyFill="1" applyBorder="1" applyAlignment="1">
      <alignment vertical="center"/>
    </xf>
    <xf numFmtId="0" fontId="1" fillId="0" borderId="0" xfId="0" applyFont="1" applyFill="1" applyAlignment="1">
      <alignment vertical="center" wrapText="1"/>
    </xf>
    <xf numFmtId="0" fontId="13" fillId="0" borderId="0" xfId="0" applyFont="1" applyFill="1" applyAlignment="1">
      <alignment horizontal="center" vertical="center" wrapText="1"/>
    </xf>
    <xf numFmtId="0" fontId="7" fillId="0" borderId="0" xfId="28577" applyFont="1" applyFill="1" applyAlignment="1">
      <alignment vertical="center" wrapText="1"/>
    </xf>
    <xf numFmtId="0" fontId="1" fillId="0" borderId="0" xfId="0" applyFont="1" applyFill="1" applyAlignment="1">
      <alignment horizontal="left" vertical="center" wrapText="1"/>
    </xf>
    <xf numFmtId="0" fontId="7" fillId="0" borderId="0" xfId="28503" applyFont="1" applyFill="1" applyAlignment="1">
      <alignment vertical="center" wrapText="1"/>
    </xf>
    <xf numFmtId="0" fontId="13" fillId="0" borderId="0" xfId="0" applyFont="1" applyAlignment="1">
      <alignment horizontal="center" vertical="center"/>
    </xf>
    <xf numFmtId="0" fontId="1" fillId="5" borderId="0" xfId="0" applyFont="1" applyFill="1" applyAlignment="1">
      <alignment vertical="center"/>
    </xf>
    <xf numFmtId="0" fontId="1" fillId="12" borderId="0" xfId="0" applyFont="1" applyFill="1" applyAlignment="1">
      <alignment vertical="center"/>
    </xf>
    <xf numFmtId="0" fontId="1" fillId="3" borderId="0" xfId="0" applyFont="1" applyFill="1" applyAlignment="1">
      <alignment vertical="center"/>
    </xf>
    <xf numFmtId="0" fontId="1" fillId="9" borderId="0" xfId="0" applyFont="1" applyFill="1" applyAlignment="1">
      <alignment vertical="center"/>
    </xf>
    <xf numFmtId="0" fontId="1" fillId="2" borderId="0" xfId="0" applyFont="1" applyFill="1" applyAlignment="1">
      <alignment vertical="center"/>
    </xf>
    <xf numFmtId="0" fontId="0" fillId="0" borderId="0" xfId="0" applyFont="1" applyFill="1" applyAlignment="1">
      <alignment vertical="center"/>
    </xf>
    <xf numFmtId="43" fontId="7" fillId="0" borderId="0" xfId="4" applyFont="1" applyFill="1" applyAlignment="1" applyProtection="1">
      <alignment horizontal="left" vertical="center"/>
      <protection locked="0"/>
    </xf>
    <xf numFmtId="43" fontId="7" fillId="0" borderId="0" xfId="4" applyFont="1" applyFill="1" applyAlignment="1" applyProtection="1">
      <alignment horizontal="left" vertical="center"/>
      <protection locked="0"/>
    </xf>
    <xf numFmtId="43" fontId="7" fillId="0" borderId="1" xfId="4" applyFont="1" applyFill="1" applyBorder="1" applyAlignment="1" applyProtection="1">
      <alignment horizontal="center" vertical="center" wrapText="1"/>
    </xf>
    <xf numFmtId="187" fontId="7" fillId="0" borderId="0" xfId="0" applyNumberFormat="1" applyFont="1" applyFill="1" applyBorder="1" applyAlignment="1" applyProtection="1">
      <alignment horizontal="center" vertical="center" wrapText="1"/>
    </xf>
    <xf numFmtId="187" fontId="7" fillId="0" borderId="0" xfId="0" applyNumberFormat="1" applyFont="1" applyFill="1" applyBorder="1" applyAlignment="1" applyProtection="1">
      <alignment horizontal="center" vertical="center"/>
    </xf>
    <xf numFmtId="187" fontId="7" fillId="0" borderId="0" xfId="0" applyNumberFormat="1" applyFont="1" applyFill="1" applyAlignment="1" applyProtection="1">
      <alignment horizontal="center" vertical="center"/>
    </xf>
    <xf numFmtId="0" fontId="7" fillId="0" borderId="1" xfId="0" applyFont="1" applyFill="1" applyBorder="1" applyAlignment="1" applyProtection="1">
      <alignment horizontal="center" vertical="center" wrapText="1"/>
    </xf>
    <xf numFmtId="0" fontId="7" fillId="0" borderId="1" xfId="13445" applyFont="1" applyFill="1" applyBorder="1" applyAlignment="1">
      <alignment horizontal="left" vertical="center" wrapText="1"/>
    </xf>
    <xf numFmtId="0" fontId="7" fillId="0" borderId="1" xfId="27778" applyFont="1" applyFill="1" applyBorder="1" applyAlignment="1">
      <alignment horizontal="center" vertical="center" wrapText="1"/>
    </xf>
    <xf numFmtId="0" fontId="7" fillId="0" borderId="1" xfId="0" applyFont="1" applyFill="1" applyBorder="1" applyAlignment="1">
      <alignment horizontal="center" vertical="center" wrapText="1"/>
    </xf>
    <xf numFmtId="0" fontId="7" fillId="0" borderId="1" xfId="0" applyFont="1" applyFill="1" applyBorder="1" applyAlignment="1">
      <alignment horizontal="left" vertical="center" wrapText="1"/>
    </xf>
    <xf numFmtId="0" fontId="8" fillId="0" borderId="1" xfId="27778" applyFont="1" applyFill="1" applyBorder="1" applyAlignment="1">
      <alignment horizontal="center" vertical="center" wrapText="1"/>
    </xf>
    <xf numFmtId="0" fontId="7" fillId="0" borderId="1" xfId="13445" applyFont="1" applyFill="1" applyBorder="1" applyAlignment="1">
      <alignment horizontal="center" vertical="center" wrapText="1"/>
    </xf>
    <xf numFmtId="0" fontId="7" fillId="0" borderId="1" xfId="23129" applyNumberFormat="1" applyFont="1" applyFill="1" applyBorder="1" applyAlignment="1">
      <alignment horizontal="center" vertical="center" wrapText="1"/>
    </xf>
    <xf numFmtId="0" fontId="7" fillId="0" borderId="1" xfId="0" applyNumberFormat="1" applyFont="1" applyFill="1" applyBorder="1" applyAlignment="1">
      <alignment horizontal="center" vertical="center" wrapText="1"/>
    </xf>
    <xf numFmtId="0" fontId="0" fillId="0" borderId="0" xfId="0" applyFont="1" applyFill="1" applyAlignment="1">
      <alignment vertical="center"/>
    </xf>
    <xf numFmtId="0" fontId="1" fillId="0" borderId="0" xfId="0" applyFont="1" applyFill="1" applyAlignment="1">
      <alignment vertical="center"/>
    </xf>
    <xf numFmtId="43" fontId="7" fillId="0" borderId="36" xfId="4" applyFont="1" applyFill="1" applyBorder="1" applyAlignment="1" applyProtection="1">
      <alignment horizontal="center" vertical="center"/>
    </xf>
    <xf numFmtId="43" fontId="7" fillId="0" borderId="36" xfId="4" applyFont="1" applyFill="1" applyBorder="1" applyAlignment="1" applyProtection="1">
      <alignment horizontal="center" vertical="center" wrapText="1"/>
    </xf>
    <xf numFmtId="43" fontId="8" fillId="0" borderId="36" xfId="4" applyFont="1" applyFill="1" applyBorder="1" applyAlignment="1" applyProtection="1">
      <alignment horizontal="left" vertical="center" wrapText="1"/>
    </xf>
    <xf numFmtId="0" fontId="1" fillId="0" borderId="36" xfId="0" applyFont="1" applyFill="1" applyBorder="1" applyAlignment="1" applyProtection="1">
      <alignment horizontal="center" vertical="center" wrapText="1"/>
    </xf>
    <xf numFmtId="0" fontId="1" fillId="0" borderId="36" xfId="0" applyFont="1" applyFill="1" applyBorder="1" applyAlignment="1" applyProtection="1">
      <alignment horizontal="left" vertical="center" wrapText="1"/>
    </xf>
    <xf numFmtId="0" fontId="7" fillId="0" borderId="36" xfId="0" applyFont="1" applyFill="1" applyBorder="1" applyAlignment="1" applyProtection="1">
      <alignment horizontal="left" vertical="center" wrapText="1"/>
    </xf>
    <xf numFmtId="0" fontId="7" fillId="0" borderId="36" xfId="0" applyFont="1" applyFill="1" applyBorder="1" applyAlignment="1" applyProtection="1">
      <alignment horizontal="center" vertical="center"/>
    </xf>
    <xf numFmtId="43" fontId="7" fillId="0" borderId="36" xfId="4" applyFont="1" applyFill="1" applyBorder="1" applyAlignment="1" applyProtection="1">
      <alignment horizontal="left" vertical="center" wrapText="1"/>
    </xf>
    <xf numFmtId="187" fontId="7" fillId="0" borderId="36" xfId="0" applyNumberFormat="1" applyFont="1" applyFill="1" applyBorder="1" applyAlignment="1" applyProtection="1">
      <alignment horizontal="center" vertical="center"/>
      <protection locked="0"/>
    </xf>
    <xf numFmtId="43" fontId="7" fillId="0" borderId="36" xfId="4" applyFont="1" applyFill="1" applyBorder="1" applyAlignment="1" applyProtection="1">
      <alignment horizontal="right" vertical="center"/>
    </xf>
    <xf numFmtId="0" fontId="7" fillId="0" borderId="36" xfId="3997" applyFont="1" applyFill="1" applyBorder="1" applyAlignment="1" applyProtection="1">
      <alignment horizontal="center" vertical="center"/>
    </xf>
    <xf numFmtId="0" fontId="8" fillId="0" borderId="36" xfId="0" applyFont="1" applyFill="1" applyBorder="1" applyAlignment="1" applyProtection="1">
      <alignment horizontal="left" vertical="center" wrapText="1"/>
    </xf>
    <xf numFmtId="0" fontId="7" fillId="0" borderId="36" xfId="28578" applyFont="1" applyFill="1" applyBorder="1" applyAlignment="1" applyProtection="1">
      <alignment horizontal="left" vertical="center" wrapText="1"/>
    </xf>
    <xf numFmtId="184" fontId="7" fillId="0" borderId="36" xfId="0" applyNumberFormat="1" applyFont="1" applyFill="1" applyBorder="1" applyAlignment="1" applyProtection="1">
      <alignment horizontal="left" vertical="center" wrapText="1"/>
    </xf>
    <xf numFmtId="0" fontId="7" fillId="0" borderId="36" xfId="11916" applyFont="1" applyFill="1" applyBorder="1" applyAlignment="1" applyProtection="1">
      <alignment horizontal="center" vertical="center" wrapText="1"/>
    </xf>
    <xf numFmtId="0" fontId="7" fillId="0" borderId="36" xfId="0" applyNumberFormat="1" applyFont="1" applyFill="1" applyBorder="1" applyAlignment="1" applyProtection="1">
      <alignment horizontal="left" vertical="center" wrapText="1"/>
    </xf>
    <xf numFmtId="0" fontId="7" fillId="0" borderId="36" xfId="3997" applyNumberFormat="1" applyFont="1" applyFill="1" applyBorder="1" applyAlignment="1" applyProtection="1">
      <alignment horizontal="center" vertical="center" wrapText="1"/>
    </xf>
    <xf numFmtId="49" fontId="20" fillId="0" borderId="36" xfId="0" applyNumberFormat="1" applyFont="1" applyFill="1" applyBorder="1" applyAlignment="1" applyProtection="1">
      <alignment horizontal="center" vertical="center" wrapText="1"/>
    </xf>
    <xf numFmtId="0" fontId="7" fillId="0" borderId="36" xfId="3997" applyFont="1" applyFill="1" applyBorder="1" applyAlignment="1" applyProtection="1">
      <alignment horizontal="left" vertical="center" wrapText="1"/>
    </xf>
    <xf numFmtId="49" fontId="7" fillId="0" borderId="36" xfId="0" applyNumberFormat="1" applyFont="1" applyFill="1" applyBorder="1" applyAlignment="1" applyProtection="1">
      <alignment horizontal="center" vertical="center" wrapText="1"/>
    </xf>
    <xf numFmtId="184" fontId="7" fillId="0" borderId="36" xfId="3997" applyNumberFormat="1" applyFont="1" applyFill="1" applyBorder="1" applyAlignment="1" applyProtection="1">
      <alignment horizontal="center" vertical="center" wrapText="1"/>
    </xf>
    <xf numFmtId="43" fontId="7" fillId="0" borderId="36" xfId="4" applyFont="1" applyFill="1" applyBorder="1" applyAlignment="1" applyProtection="1">
      <alignment vertical="center" wrapText="1"/>
    </xf>
    <xf numFmtId="183" fontId="9" fillId="0" borderId="36" xfId="0" applyNumberFormat="1" applyFont="1" applyFill="1" applyBorder="1" applyAlignment="1" applyProtection="1">
      <alignment horizontal="center" vertical="center" wrapText="1"/>
    </xf>
    <xf numFmtId="185" fontId="7" fillId="0" borderId="36" xfId="0" applyNumberFormat="1" applyFont="1" applyFill="1" applyBorder="1" applyAlignment="1" applyProtection="1">
      <alignment horizontal="left" vertical="center" wrapText="1"/>
    </xf>
    <xf numFmtId="185" fontId="7" fillId="0" borderId="36" xfId="0" applyNumberFormat="1" applyFont="1" applyFill="1" applyBorder="1" applyAlignment="1" applyProtection="1">
      <alignment horizontal="center" vertical="center" wrapText="1"/>
    </xf>
    <xf numFmtId="185" fontId="7" fillId="0" borderId="36" xfId="3997" applyNumberFormat="1" applyFont="1" applyFill="1" applyBorder="1" applyAlignment="1" applyProtection="1">
      <alignment horizontal="center" vertical="center" wrapText="1"/>
    </xf>
    <xf numFmtId="185" fontId="7" fillId="0" borderId="36" xfId="0" applyNumberFormat="1" applyFont="1" applyFill="1" applyBorder="1" applyAlignment="1" applyProtection="1">
      <alignment horizontal="center" vertical="center"/>
    </xf>
    <xf numFmtId="43" fontId="21" fillId="0" borderId="36" xfId="4" applyFont="1" applyFill="1" applyBorder="1" applyAlignment="1" applyProtection="1">
      <alignment horizontal="left" vertical="center" wrapText="1"/>
    </xf>
    <xf numFmtId="185" fontId="7" fillId="0" borderId="36" xfId="4579" applyNumberFormat="1" applyFont="1" applyFill="1" applyBorder="1" applyAlignment="1" applyProtection="1">
      <alignment horizontal="left" vertical="center" wrapText="1"/>
    </xf>
    <xf numFmtId="0" fontId="7" fillId="0" borderId="36" xfId="0" applyFont="1" applyFill="1" applyBorder="1" applyAlignment="1" applyProtection="1">
      <alignment vertical="center" wrapText="1"/>
    </xf>
    <xf numFmtId="10" fontId="7" fillId="0" borderId="36" xfId="51" applyNumberFormat="1" applyFont="1" applyFill="1" applyBorder="1" applyAlignment="1" applyProtection="1">
      <alignment horizontal="right" vertical="center" wrapText="1"/>
      <protection locked="0"/>
    </xf>
    <xf numFmtId="177" fontId="7" fillId="0" borderId="36" xfId="0" applyNumberFormat="1" applyFont="1" applyFill="1" applyBorder="1" applyAlignment="1" applyProtection="1">
      <alignment horizontal="right" vertical="center" wrapText="1"/>
      <protection locked="0"/>
    </xf>
    <xf numFmtId="177" fontId="7" fillId="0" borderId="36" xfId="0" applyNumberFormat="1" applyFont="1" applyFill="1" applyBorder="1" applyAlignment="1" applyProtection="1">
      <alignment horizontal="right" vertical="center" wrapText="1"/>
    </xf>
    <xf numFmtId="43" fontId="8" fillId="0" borderId="36" xfId="4" applyFont="1" applyFill="1" applyBorder="1" applyAlignment="1" applyProtection="1">
      <alignment horizontal="center" vertical="center"/>
    </xf>
    <xf numFmtId="0" fontId="10" fillId="0" borderId="0" xfId="0" applyFont="1" applyFill="1" applyAlignment="1">
      <alignment vertical="center"/>
    </xf>
    <xf numFmtId="43" fontId="8" fillId="0" borderId="36" xfId="4" applyFont="1" applyFill="1" applyBorder="1" applyAlignment="1" applyProtection="1">
      <alignment horizontal="center" vertical="center" wrapText="1"/>
    </xf>
    <xf numFmtId="0" fontId="8" fillId="0" borderId="0" xfId="0" applyFont="1" applyFill="1" applyAlignment="1" applyProtection="1">
      <alignment horizontal="center" vertical="center" wrapText="1"/>
    </xf>
    <xf numFmtId="185" fontId="8" fillId="0" borderId="36" xfId="28580" applyNumberFormat="1" applyFont="1" applyFill="1" applyBorder="1" applyAlignment="1" applyProtection="1">
      <alignment horizontal="center" vertical="center" wrapText="1"/>
      <protection locked="0"/>
    </xf>
    <xf numFmtId="185" fontId="8" fillId="0" borderId="36" xfId="0" applyNumberFormat="1" applyFont="1" applyFill="1" applyBorder="1" applyAlignment="1" applyProtection="1">
      <alignment horizontal="center" vertical="center"/>
    </xf>
    <xf numFmtId="0" fontId="8" fillId="0" borderId="36" xfId="0" applyFont="1" applyFill="1" applyBorder="1" applyAlignment="1" applyProtection="1">
      <alignment vertical="center" wrapText="1"/>
    </xf>
    <xf numFmtId="43" fontId="8" fillId="0" borderId="0" xfId="4" applyFont="1" applyFill="1" applyBorder="1" applyAlignment="1" applyProtection="1">
      <alignment horizontal="center" vertical="center" wrapText="1"/>
      <protection locked="0"/>
    </xf>
    <xf numFmtId="43" fontId="8" fillId="0" borderId="0" xfId="4" applyFont="1" applyFill="1" applyBorder="1" applyAlignment="1" applyProtection="1">
      <alignment horizontal="left" vertical="center" wrapText="1"/>
      <protection locked="0"/>
    </xf>
    <xf numFmtId="43" fontId="8" fillId="0" borderId="37" xfId="4" applyFont="1" applyFill="1" applyBorder="1" applyAlignment="1" applyProtection="1">
      <alignment horizontal="center" vertical="center" wrapText="1"/>
    </xf>
    <xf numFmtId="43" fontId="21" fillId="0" borderId="36" xfId="4" applyFont="1" applyFill="1" applyBorder="1" applyAlignment="1" applyProtection="1">
      <alignment horizontal="center" vertical="center" wrapText="1"/>
    </xf>
    <xf numFmtId="43" fontId="8" fillId="0" borderId="36" xfId="4" applyFont="1" applyFill="1" applyBorder="1" applyAlignment="1" applyProtection="1">
      <alignment vertical="center" wrapText="1"/>
    </xf>
    <xf numFmtId="185" fontId="8" fillId="0" borderId="36" xfId="0" applyNumberFormat="1" applyFont="1" applyFill="1" applyBorder="1" applyAlignment="1" applyProtection="1">
      <alignment horizontal="center" vertical="center" wrapText="1"/>
    </xf>
    <xf numFmtId="0" fontId="7" fillId="0" borderId="0" xfId="0" applyFont="1" applyAlignment="1">
      <alignment vertical="center"/>
    </xf>
    <xf numFmtId="0" fontId="7" fillId="0" borderId="0" xfId="0" applyFont="1" applyFill="1" applyAlignment="1">
      <alignment vertical="center"/>
    </xf>
    <xf numFmtId="0" fontId="7" fillId="0" borderId="36" xfId="0" applyFont="1" applyFill="1" applyBorder="1" applyAlignment="1">
      <alignment vertical="center"/>
    </xf>
    <xf numFmtId="0" fontId="8" fillId="0" borderId="0" xfId="0" applyFont="1" applyFill="1" applyAlignment="1">
      <alignment vertical="center"/>
    </xf>
    <xf numFmtId="0" fontId="8" fillId="0" borderId="0" xfId="0" applyFont="1" applyFill="1" applyAlignment="1">
      <alignment horizontal="center" vertical="center"/>
    </xf>
    <xf numFmtId="0" fontId="7" fillId="0" borderId="0" xfId="0" applyFont="1" applyFill="1" applyAlignment="1">
      <alignment horizontal="left" vertical="center"/>
    </xf>
    <xf numFmtId="43" fontId="8" fillId="0" borderId="37" xfId="4" applyFont="1" applyFill="1" applyBorder="1" applyAlignment="1" applyProtection="1">
      <alignment horizontal="center" vertical="center"/>
    </xf>
    <xf numFmtId="43" fontId="7" fillId="0" borderId="37" xfId="4" applyFont="1" applyFill="1" applyBorder="1" applyAlignment="1" applyProtection="1">
      <alignment horizontal="center" vertical="center" wrapText="1"/>
    </xf>
    <xf numFmtId="0" fontId="7" fillId="0" borderId="37" xfId="0" applyFont="1" applyFill="1" applyBorder="1" applyAlignment="1">
      <alignment vertical="center"/>
    </xf>
    <xf numFmtId="0" fontId="7" fillId="0" borderId="36" xfId="0" applyFont="1" applyFill="1" applyBorder="1" applyAlignment="1" applyProtection="1">
      <alignment horizontal="center" vertical="center" wrapText="1"/>
      <protection locked="0"/>
    </xf>
    <xf numFmtId="43" fontId="7" fillId="0" borderId="36" xfId="4" applyFont="1" applyFill="1" applyBorder="1" applyAlignment="1" applyProtection="1">
      <alignment horizontal="left" vertical="center" wrapText="1"/>
      <protection locked="0"/>
    </xf>
    <xf numFmtId="43" fontId="21" fillId="0" borderId="37" xfId="4" applyFont="1" applyFill="1" applyBorder="1" applyAlignment="1" applyProtection="1">
      <alignment horizontal="center" vertical="center" wrapText="1"/>
    </xf>
    <xf numFmtId="0" fontId="8" fillId="0" borderId="0" xfId="0" applyFont="1" applyFill="1" applyAlignment="1" applyProtection="1">
      <alignment vertical="center"/>
    </xf>
    <xf numFmtId="187" fontId="8" fillId="0" borderId="0" xfId="0" applyNumberFormat="1" applyFont="1" applyFill="1" applyBorder="1" applyAlignment="1" applyProtection="1">
      <alignment horizontal="center" vertical="center" wrapText="1"/>
    </xf>
    <xf numFmtId="0" fontId="8" fillId="0" borderId="0" xfId="0" applyFont="1" applyAlignment="1">
      <alignment vertical="center"/>
    </xf>
    <xf numFmtId="185" fontId="8" fillId="0" borderId="0" xfId="0" applyNumberFormat="1" applyFont="1" applyFill="1" applyBorder="1" applyAlignment="1" applyProtection="1">
      <alignment horizontal="center" vertical="center"/>
    </xf>
    <xf numFmtId="187" fontId="8" fillId="0" borderId="0" xfId="0" applyNumberFormat="1" applyFont="1" applyFill="1" applyBorder="1" applyAlignment="1" applyProtection="1">
      <alignment horizontal="center" vertical="center" wrapText="1"/>
      <protection locked="0"/>
    </xf>
    <xf numFmtId="0" fontId="8" fillId="0" borderId="0" xfId="0" applyFont="1" applyAlignment="1">
      <alignment horizontal="center" vertical="center"/>
    </xf>
    <xf numFmtId="187" fontId="8" fillId="0" borderId="0" xfId="0" applyNumberFormat="1" applyFont="1" applyFill="1" applyBorder="1" applyAlignment="1" applyProtection="1">
      <alignment horizontal="center" vertical="center"/>
    </xf>
    <xf numFmtId="187" fontId="8" fillId="0" borderId="36" xfId="0" applyNumberFormat="1" applyFont="1" applyFill="1" applyBorder="1" applyAlignment="1" applyProtection="1">
      <alignment horizontal="center" vertical="center" wrapText="1"/>
    </xf>
    <xf numFmtId="187" fontId="7" fillId="0" borderId="36" xfId="0" applyNumberFormat="1" applyFont="1" applyFill="1" applyBorder="1" applyAlignment="1" applyProtection="1">
      <alignment horizontal="center" vertical="center" wrapText="1"/>
    </xf>
    <xf numFmtId="187" fontId="7" fillId="0" borderId="36" xfId="0" applyNumberFormat="1" applyFont="1" applyFill="1" applyBorder="1" applyAlignment="1" applyProtection="1">
      <alignment horizontal="center" vertical="center"/>
    </xf>
    <xf numFmtId="187" fontId="8" fillId="0" borderId="36" xfId="0" applyNumberFormat="1" applyFont="1" applyFill="1" applyBorder="1" applyAlignment="1" applyProtection="1">
      <alignment horizontal="center" vertical="center"/>
    </xf>
    <xf numFmtId="187" fontId="7" fillId="0" borderId="36" xfId="0" applyNumberFormat="1" applyFont="1" applyFill="1" applyBorder="1" applyAlignment="1" applyProtection="1">
      <alignment horizontal="center" vertical="center" wrapText="1"/>
      <protection locked="0"/>
    </xf>
    <xf numFmtId="0" fontId="7" fillId="0" borderId="36" xfId="23195" applyFont="1" applyFill="1" applyBorder="1" applyAlignment="1" applyProtection="1">
      <alignment vertical="center" wrapText="1"/>
      <protection locked="0"/>
    </xf>
    <xf numFmtId="0" fontId="7" fillId="0" borderId="0" xfId="0" applyFont="1" applyFill="1" applyAlignment="1">
      <alignment horizontal="center" vertical="center"/>
    </xf>
    <xf numFmtId="187" fontId="8" fillId="0" borderId="0" xfId="0" applyNumberFormat="1" applyFont="1" applyFill="1" applyAlignment="1" applyProtection="1">
      <alignment horizontal="center" vertical="center" wrapText="1"/>
      <protection locked="0"/>
    </xf>
    <xf numFmtId="43" fontId="8" fillId="0" borderId="36" xfId="4" applyFont="1" applyFill="1" applyBorder="1" applyAlignment="1" applyProtection="1">
      <alignment horizontal="center" vertical="center" wrapText="1"/>
      <protection locked="0"/>
    </xf>
    <xf numFmtId="43" fontId="8" fillId="0" borderId="36" xfId="4" applyFont="1" applyFill="1" applyBorder="1" applyAlignment="1" applyProtection="1">
      <alignment horizontal="center" vertical="center"/>
      <protection locked="0"/>
    </xf>
    <xf numFmtId="43" fontId="7" fillId="0" borderId="36" xfId="4" applyFont="1" applyFill="1" applyBorder="1" applyAlignment="1" applyProtection="1">
      <alignment horizontal="center" vertical="center"/>
      <protection locked="0"/>
    </xf>
    <xf numFmtId="0" fontId="7" fillId="0" borderId="36" xfId="28581" applyFont="1" applyFill="1" applyBorder="1" applyAlignment="1" applyProtection="1">
      <alignment horizontal="center" vertical="center"/>
    </xf>
    <xf numFmtId="0" fontId="7" fillId="0" borderId="36" xfId="28581" applyFont="1" applyFill="1" applyBorder="1" applyAlignment="1" applyProtection="1">
      <alignment horizontal="left" vertical="center" wrapText="1"/>
    </xf>
    <xf numFmtId="0" fontId="7" fillId="0" borderId="36" xfId="27252" applyFont="1" applyFill="1" applyBorder="1" applyAlignment="1" applyProtection="1">
      <alignment horizontal="center" vertical="center"/>
    </xf>
    <xf numFmtId="185" fontId="7" fillId="0" borderId="36" xfId="28581" applyNumberFormat="1" applyFont="1" applyFill="1" applyBorder="1" applyAlignment="1" applyProtection="1">
      <alignment horizontal="left" vertical="center" wrapText="1"/>
    </xf>
    <xf numFmtId="0" fontId="7" fillId="0" borderId="36" xfId="23195" applyFont="1" applyFill="1" applyBorder="1" applyAlignment="1" applyProtection="1">
      <alignment vertical="center" wrapText="1"/>
    </xf>
    <xf numFmtId="0" fontId="7" fillId="0" borderId="36" xfId="23195" applyFont="1" applyFill="1" applyBorder="1" applyAlignment="1" applyProtection="1">
      <alignment horizontal="center" vertical="center" wrapText="1"/>
    </xf>
    <xf numFmtId="0" fontId="7" fillId="0" borderId="36" xfId="0" applyFont="1" applyFill="1" applyBorder="1" applyAlignment="1" applyProtection="1">
      <alignment horizontal="left" vertical="center" wrapText="1"/>
      <protection locked="0"/>
    </xf>
    <xf numFmtId="43" fontId="7" fillId="0" borderId="36" xfId="4" applyFont="1" applyFill="1" applyBorder="1" applyAlignment="1" applyProtection="1">
      <alignment horizontal="center" vertical="center" wrapText="1"/>
      <protection locked="0"/>
    </xf>
    <xf numFmtId="185" fontId="7" fillId="0" borderId="36" xfId="28581" applyNumberFormat="1" applyFont="1" applyFill="1" applyBorder="1" applyAlignment="1" applyProtection="1">
      <alignment horizontal="left" vertical="center" wrapText="1"/>
      <protection locked="0"/>
    </xf>
    <xf numFmtId="187" fontId="7" fillId="0" borderId="36" xfId="4" applyNumberFormat="1" applyFont="1" applyFill="1" applyBorder="1" applyAlignment="1" applyProtection="1">
      <alignment horizontal="left" vertical="center" wrapText="1"/>
      <protection locked="0"/>
    </xf>
    <xf numFmtId="187" fontId="7" fillId="0" borderId="36" xfId="4" applyNumberFormat="1" applyFont="1" applyFill="1" applyBorder="1" applyAlignment="1" applyProtection="1">
      <alignment horizontal="center" vertical="center"/>
      <protection locked="0"/>
    </xf>
    <xf numFmtId="187" fontId="7" fillId="0" borderId="36" xfId="4" applyNumberFormat="1" applyFont="1" applyFill="1" applyBorder="1" applyAlignment="1" applyProtection="1">
      <alignment horizontal="center" vertical="center" wrapText="1"/>
      <protection locked="0"/>
    </xf>
    <xf numFmtId="187" fontId="7" fillId="0" borderId="36" xfId="4" applyNumberFormat="1" applyFont="1" applyFill="1" applyBorder="1" applyAlignment="1" applyProtection="1">
      <alignment horizontal="left" vertical="center" wrapText="1"/>
    </xf>
    <xf numFmtId="187" fontId="7" fillId="0" borderId="36" xfId="4" applyNumberFormat="1" applyFont="1" applyFill="1" applyBorder="1" applyAlignment="1" applyProtection="1">
      <alignment horizontal="center" vertical="center" wrapText="1"/>
    </xf>
    <xf numFmtId="188" fontId="7" fillId="0" borderId="36" xfId="0" applyNumberFormat="1" applyFont="1" applyFill="1" applyBorder="1" applyAlignment="1" applyProtection="1">
      <alignment horizontal="left" vertical="center" wrapText="1"/>
    </xf>
    <xf numFmtId="187" fontId="7" fillId="0" borderId="36" xfId="28581" applyNumberFormat="1" applyFont="1" applyFill="1" applyBorder="1" applyAlignment="1" applyProtection="1">
      <alignment vertical="center"/>
    </xf>
    <xf numFmtId="187" fontId="8" fillId="0" borderId="0" xfId="0" applyNumberFormat="1" applyFont="1" applyFill="1" applyAlignment="1" applyProtection="1">
      <alignment horizontal="center" vertical="center"/>
      <protection locked="0"/>
    </xf>
    <xf numFmtId="0" fontId="8" fillId="0" borderId="0" xfId="3997" applyFont="1" applyFill="1" applyBorder="1" applyAlignment="1" applyProtection="1">
      <alignment vertical="center" wrapText="1"/>
    </xf>
    <xf numFmtId="187" fontId="8" fillId="0" borderId="0" xfId="3997" applyNumberFormat="1" applyFont="1" applyFill="1" applyBorder="1" applyAlignment="1" applyProtection="1">
      <alignment horizontal="center" vertical="center"/>
      <protection locked="0"/>
    </xf>
    <xf numFmtId="43" fontId="7" fillId="0" borderId="0" xfId="4" applyFont="1" applyFill="1" applyBorder="1" applyAlignment="1" applyProtection="1">
      <alignment horizontal="center" vertical="center"/>
      <protection locked="0"/>
    </xf>
    <xf numFmtId="0" fontId="7" fillId="0" borderId="0" xfId="28581" applyFont="1" applyFill="1" applyAlignment="1" applyProtection="1">
      <alignment horizontal="center" vertical="center"/>
      <protection locked="0"/>
    </xf>
    <xf numFmtId="0" fontId="7" fillId="0" borderId="0" xfId="28581" applyFont="1" applyFill="1" applyAlignment="1" applyProtection="1">
      <alignment vertical="center" wrapText="1"/>
      <protection locked="0"/>
    </xf>
    <xf numFmtId="0" fontId="8" fillId="0" borderId="0" xfId="28581" applyFont="1" applyFill="1" applyAlignment="1" applyProtection="1">
      <alignment horizontal="center" vertical="center" wrapText="1"/>
    </xf>
    <xf numFmtId="187" fontId="8" fillId="0" borderId="19" xfId="0" applyNumberFormat="1" applyFont="1" applyFill="1" applyBorder="1" applyAlignment="1" applyProtection="1">
      <alignment horizontal="center" vertical="center" wrapText="1"/>
    </xf>
    <xf numFmtId="184" fontId="8" fillId="0" borderId="0" xfId="0" applyNumberFormat="1" applyFont="1" applyFill="1" applyAlignment="1" applyProtection="1">
      <alignment vertical="center"/>
      <protection locked="0"/>
    </xf>
    <xf numFmtId="0" fontId="7" fillId="0" borderId="1" xfId="0" applyNumberFormat="1" applyFont="1" applyFill="1" applyBorder="1" applyAlignment="1">
      <alignment horizontal="left" vertical="center" wrapText="1"/>
    </xf>
    <xf numFmtId="0" fontId="7" fillId="0" borderId="1" xfId="28583" applyFont="1" applyFill="1" applyBorder="1" applyAlignment="1">
      <alignment horizontal="left" vertical="center" wrapText="1"/>
    </xf>
    <xf numFmtId="0" fontId="7" fillId="0" borderId="1" xfId="27778" applyFont="1" applyFill="1" applyBorder="1" applyAlignment="1">
      <alignment horizontal="left" vertical="center" wrapText="1"/>
    </xf>
    <xf numFmtId="0" fontId="7" fillId="0" borderId="1" xfId="26865" applyFont="1" applyFill="1" applyBorder="1" applyAlignment="1">
      <alignment horizontal="left" vertical="center" wrapText="1"/>
    </xf>
    <xf numFmtId="0" fontId="7" fillId="0" borderId="1" xfId="6208" applyFont="1" applyFill="1" applyBorder="1" applyAlignment="1">
      <alignment horizontal="left" vertical="center" wrapText="1"/>
    </xf>
    <xf numFmtId="0" fontId="7" fillId="0" borderId="1" xfId="13445" applyFont="1" applyFill="1" applyBorder="1" applyAlignment="1">
      <alignment horizontal="left" vertical="center"/>
    </xf>
    <xf numFmtId="186" fontId="7" fillId="0" borderId="1" xfId="0" applyNumberFormat="1" applyFont="1" applyFill="1" applyBorder="1" applyAlignment="1" applyProtection="1">
      <alignment horizontal="left" vertical="center" wrapText="1"/>
      <protection locked="0"/>
    </xf>
    <xf numFmtId="0" fontId="7" fillId="0" borderId="1" xfId="1614" applyFont="1" applyFill="1" applyBorder="1" applyAlignment="1">
      <alignment horizontal="left" vertical="center" wrapText="1"/>
    </xf>
    <xf numFmtId="0" fontId="7" fillId="0" borderId="1" xfId="3713" applyNumberFormat="1" applyFont="1" applyFill="1" applyBorder="1" applyAlignment="1" applyProtection="1">
      <alignment horizontal="left" vertical="center" wrapText="1"/>
    </xf>
    <xf numFmtId="0" fontId="9" fillId="0" borderId="1" xfId="23211" applyFont="1" applyFill="1" applyBorder="1" applyAlignment="1">
      <alignment horizontal="left" vertical="center" wrapText="1"/>
    </xf>
    <xf numFmtId="0" fontId="9" fillId="0" borderId="1" xfId="27778" applyFont="1" applyFill="1" applyBorder="1" applyAlignment="1">
      <alignment horizontal="left" vertical="center" wrapText="1"/>
    </xf>
    <xf numFmtId="0" fontId="9" fillId="0" borderId="1" xfId="13445" applyFont="1" applyFill="1" applyBorder="1" applyAlignment="1">
      <alignment horizontal="left" vertical="center" wrapText="1"/>
    </xf>
    <xf numFmtId="0" fontId="7" fillId="0" borderId="1" xfId="23129" applyFont="1" applyFill="1" applyBorder="1" applyAlignment="1">
      <alignment horizontal="left"/>
    </xf>
    <xf numFmtId="0" fontId="7" fillId="0" borderId="0" xfId="23129" applyNumberFormat="1" applyFont="1" applyFill="1" applyBorder="1" applyAlignment="1">
      <alignment horizontal="center" vertical="center" wrapText="1"/>
    </xf>
    <xf numFmtId="0" fontId="7" fillId="0" borderId="0" xfId="1614" applyFont="1" applyFill="1" applyBorder="1" applyAlignment="1">
      <alignment horizontal="center" vertical="center" wrapText="1"/>
    </xf>
    <xf numFmtId="0" fontId="7" fillId="0" borderId="0" xfId="23129" applyFont="1" applyFill="1" applyBorder="1" applyAlignment="1">
      <alignment horizontal="center" vertical="center" wrapText="1"/>
    </xf>
    <xf numFmtId="0" fontId="7" fillId="0" borderId="1" xfId="23129" applyFont="1" applyFill="1" applyBorder="1" applyAlignment="1">
      <alignment horizontal="left" vertical="center" wrapText="1"/>
    </xf>
    <xf numFmtId="0" fontId="7" fillId="0" borderId="1" xfId="23129" applyFont="1" applyFill="1" applyBorder="1" applyAlignment="1">
      <alignment horizontal="left" vertical="center"/>
    </xf>
    <xf numFmtId="0" fontId="7" fillId="0" borderId="1" xfId="28394" applyFont="1" applyFill="1" applyBorder="1" applyAlignment="1">
      <alignment horizontal="center" vertical="center" wrapText="1"/>
    </xf>
    <xf numFmtId="0" fontId="9" fillId="0" borderId="1" xfId="0" applyFont="1" applyFill="1" applyBorder="1" applyAlignment="1">
      <alignment horizontal="center" vertical="center" wrapText="1"/>
    </xf>
    <xf numFmtId="0" fontId="7" fillId="0" borderId="0" xfId="0" applyFont="1" applyAlignment="1">
      <alignment horizontal="left" vertical="center"/>
    </xf>
    <xf numFmtId="185" fontId="8" fillId="0" borderId="0" xfId="13445" applyNumberFormat="1" applyFont="1" applyFill="1" applyAlignment="1">
      <alignment horizontal="center" vertical="center"/>
    </xf>
    <xf numFmtId="0" fontId="12" fillId="0" borderId="0" xfId="27017" applyFont="1" applyFill="1" applyAlignment="1">
      <alignment horizontal="center" vertical="center"/>
    </xf>
    <xf numFmtId="43" fontId="12" fillId="0" borderId="0" xfId="4" applyFont="1" applyFill="1" applyBorder="1" applyAlignment="1">
      <alignment horizontal="center" vertical="center" wrapText="1"/>
    </xf>
    <xf numFmtId="0" fontId="1" fillId="0" borderId="0" xfId="27149" applyFont="1" applyFill="1" applyAlignment="1">
      <alignment horizontal="center" vertical="center"/>
    </xf>
    <xf numFmtId="43" fontId="12" fillId="0" borderId="36" xfId="4" applyFont="1" applyFill="1" applyBorder="1" applyAlignment="1">
      <alignment horizontal="center" vertical="center"/>
    </xf>
    <xf numFmtId="185" fontId="12" fillId="0" borderId="36" xfId="4" applyNumberFormat="1" applyFont="1" applyFill="1" applyBorder="1" applyAlignment="1">
      <alignment horizontal="center" vertical="center"/>
    </xf>
    <xf numFmtId="185" fontId="12" fillId="0" borderId="36" xfId="23177" applyNumberFormat="1" applyFont="1" applyFill="1" applyBorder="1" applyAlignment="1">
      <alignment horizontal="center" vertical="center"/>
    </xf>
    <xf numFmtId="0" fontId="23" fillId="0" borderId="36" xfId="15705" applyFont="1" applyFill="1" applyBorder="1" applyAlignment="1">
      <alignment horizontal="center" vertical="center"/>
    </xf>
    <xf numFmtId="43" fontId="23" fillId="0" borderId="36" xfId="4" applyFont="1" applyFill="1" applyBorder="1" applyAlignment="1">
      <alignment vertical="center"/>
    </xf>
    <xf numFmtId="43" fontId="23" fillId="0" borderId="36" xfId="4" applyFont="1" applyFill="1" applyBorder="1" applyAlignment="1">
      <alignment horizontal="center" vertical="center"/>
    </xf>
    <xf numFmtId="185" fontId="23" fillId="0" borderId="36" xfId="4" applyNumberFormat="1" applyFont="1" applyFill="1" applyBorder="1" applyAlignment="1">
      <alignment horizontal="center" vertical="center"/>
    </xf>
    <xf numFmtId="0" fontId="23" fillId="0" borderId="36" xfId="27017" applyFont="1" applyFill="1" applyBorder="1" applyAlignment="1">
      <alignment horizontal="center" vertical="center"/>
    </xf>
    <xf numFmtId="0" fontId="12" fillId="0" borderId="36" xfId="21737" applyFont="1" applyFill="1" applyBorder="1" applyAlignment="1">
      <alignment horizontal="center" vertical="center"/>
    </xf>
    <xf numFmtId="183" fontId="12" fillId="0" borderId="36" xfId="23177" applyNumberFormat="1" applyFont="1" applyFill="1" applyBorder="1" applyAlignment="1">
      <alignment horizontal="center" vertical="center"/>
    </xf>
    <xf numFmtId="0" fontId="12" fillId="0" borderId="36" xfId="27017" applyFont="1" applyFill="1" applyBorder="1" applyAlignment="1">
      <alignment horizontal="center" vertical="center"/>
    </xf>
    <xf numFmtId="0" fontId="12" fillId="0" borderId="36" xfId="27017" applyFont="1" applyFill="1" applyBorder="1" applyAlignment="1">
      <alignment horizontal="center" vertical="center" wrapText="1"/>
    </xf>
    <xf numFmtId="0" fontId="23" fillId="0" borderId="36" xfId="21737" applyFont="1" applyFill="1" applyBorder="1" applyAlignment="1">
      <alignment horizontal="center" vertical="center"/>
    </xf>
    <xf numFmtId="183" fontId="23" fillId="0" borderId="36" xfId="23177" applyNumberFormat="1" applyFont="1" applyFill="1" applyBorder="1" applyAlignment="1">
      <alignment horizontal="center" vertical="center"/>
    </xf>
    <xf numFmtId="185" fontId="23" fillId="0" borderId="36" xfId="23177" applyNumberFormat="1" applyFont="1" applyFill="1" applyBorder="1" applyAlignment="1">
      <alignment horizontal="center" vertical="center"/>
    </xf>
    <xf numFmtId="185" fontId="3" fillId="0" borderId="36" xfId="23177" applyNumberFormat="1" applyFont="1" applyFill="1" applyBorder="1" applyAlignment="1">
      <alignment horizontal="center" vertical="center"/>
    </xf>
    <xf numFmtId="188" fontId="12" fillId="0" borderId="36" xfId="27017" applyNumberFormat="1" applyFont="1" applyFill="1" applyBorder="1" applyAlignment="1">
      <alignment horizontal="center" vertical="center"/>
    </xf>
    <xf numFmtId="183" fontId="23" fillId="0" borderId="36" xfId="15705" applyNumberFormat="1" applyFont="1" applyFill="1" applyBorder="1" applyAlignment="1">
      <alignment horizontal="center" vertical="center"/>
    </xf>
    <xf numFmtId="43" fontId="23" fillId="0" borderId="36" xfId="4" applyFont="1" applyFill="1" applyBorder="1" applyAlignment="1">
      <alignment horizontal="center" vertical="center" wrapText="1"/>
    </xf>
    <xf numFmtId="0" fontId="2" fillId="0" borderId="0" xfId="0" applyFont="1" applyAlignment="1">
      <alignment vertical="center"/>
    </xf>
    <xf numFmtId="43" fontId="1" fillId="0" borderId="0" xfId="4" applyFont="1" applyFill="1" applyBorder="1" applyAlignment="1">
      <alignment vertical="center" wrapText="1"/>
    </xf>
    <xf numFmtId="0" fontId="1" fillId="0" borderId="0" xfId="27149" applyFont="1" applyFill="1" applyAlignment="1">
      <alignment vertical="center"/>
    </xf>
    <xf numFmtId="43" fontId="1" fillId="0" borderId="0" xfId="27149" applyNumberFormat="1" applyFont="1" applyFill="1" applyAlignment="1">
      <alignment vertical="center"/>
    </xf>
    <xf numFmtId="43" fontId="1" fillId="0" borderId="0" xfId="4" applyFont="1" applyFill="1" applyAlignment="1">
      <alignment vertical="center"/>
    </xf>
    <xf numFmtId="0" fontId="1" fillId="0" borderId="1" xfId="27149" applyFont="1" applyFill="1" applyBorder="1" applyAlignment="1">
      <alignment vertical="center"/>
    </xf>
    <xf numFmtId="0" fontId="2" fillId="0" borderId="0" xfId="0" applyFont="1" applyFill="1" applyAlignment="1">
      <alignment vertical="center"/>
    </xf>
    <xf numFmtId="184" fontId="1" fillId="0" borderId="0" xfId="15705" applyNumberFormat="1" applyFont="1" applyFill="1" applyAlignment="1">
      <alignment horizontal="center" vertical="center"/>
    </xf>
    <xf numFmtId="188" fontId="2" fillId="0" borderId="0" xfId="15705" applyNumberFormat="1" applyFont="1" applyFill="1" applyAlignment="1">
      <alignment horizontal="center" vertical="center"/>
    </xf>
    <xf numFmtId="0" fontId="1" fillId="0" borderId="0" xfId="15705" applyFont="1" applyFill="1" applyAlignment="1">
      <alignment horizontal="center" vertical="center"/>
    </xf>
    <xf numFmtId="43" fontId="1" fillId="0" borderId="0" xfId="4" applyFont="1" applyFill="1" applyAlignment="1">
      <alignment horizontal="left" vertical="center"/>
    </xf>
    <xf numFmtId="184" fontId="1" fillId="0" borderId="0" xfId="15705" applyNumberFormat="1" applyFont="1" applyFill="1" applyAlignment="1">
      <alignment vertical="center"/>
    </xf>
    <xf numFmtId="43" fontId="1" fillId="0" borderId="0" xfId="4" applyFont="1" applyFill="1" applyAlignment="1"/>
    <xf numFmtId="188" fontId="1" fillId="0" borderId="0" xfId="15705" applyNumberFormat="1" applyFont="1" applyFill="1" applyAlignment="1"/>
    <xf numFmtId="184" fontId="1" fillId="0" borderId="0" xfId="15705" applyNumberFormat="1" applyFont="1" applyFill="1" applyAlignment="1"/>
    <xf numFmtId="0" fontId="1" fillId="0" borderId="36" xfId="15705" applyFont="1" applyFill="1" applyBorder="1" applyAlignment="1">
      <alignment horizontal="center" vertical="center"/>
    </xf>
    <xf numFmtId="0" fontId="2" fillId="0" borderId="0" xfId="15705" applyFont="1" applyFill="1" applyAlignment="1">
      <alignment horizontal="center" vertical="center"/>
    </xf>
    <xf numFmtId="0" fontId="7" fillId="0" borderId="0" xfId="0" applyFont="1" applyFill="1" applyAlignment="1">
      <alignment vertical="center"/>
    </xf>
    <xf numFmtId="0" fontId="7" fillId="0" borderId="0" xfId="0" applyFont="1" applyFill="1" applyAlignment="1">
      <alignment horizontal="right" vertical="center"/>
    </xf>
    <xf numFmtId="185" fontId="7" fillId="0" borderId="36" xfId="0" applyNumberFormat="1" applyFont="1" applyFill="1" applyBorder="1" applyAlignment="1" applyProtection="1">
      <alignment horizontal="right" vertical="center"/>
      <protection locked="0"/>
    </xf>
    <xf numFmtId="43" fontId="7" fillId="0" borderId="36" xfId="4" applyFont="1" applyFill="1" applyBorder="1" applyAlignment="1" applyProtection="1">
      <alignment horizontal="right" vertical="center" wrapText="1"/>
    </xf>
    <xf numFmtId="187" fontId="7" fillId="0" borderId="36" xfId="0" applyNumberFormat="1" applyFont="1" applyFill="1" applyBorder="1" applyAlignment="1" applyProtection="1">
      <alignment horizontal="right" vertical="center"/>
      <protection locked="0"/>
    </xf>
    <xf numFmtId="185" fontId="21" fillId="0" borderId="36" xfId="0" applyNumberFormat="1" applyFont="1" applyFill="1" applyBorder="1" applyAlignment="1" applyProtection="1">
      <alignment horizontal="right" vertical="center"/>
      <protection locked="0"/>
    </xf>
    <xf numFmtId="185" fontId="21" fillId="0" borderId="36" xfId="0" applyNumberFormat="1" applyFont="1" applyFill="1" applyBorder="1" applyAlignment="1" applyProtection="1">
      <alignment horizontal="right" vertical="center" wrapText="1"/>
      <protection locked="0"/>
    </xf>
    <xf numFmtId="43" fontId="7" fillId="0" borderId="36" xfId="4" applyFont="1" applyFill="1" applyBorder="1" applyAlignment="1" applyProtection="1">
      <alignment horizontal="right" vertical="center" shrinkToFit="1"/>
    </xf>
    <xf numFmtId="185" fontId="7" fillId="0" borderId="36" xfId="0" applyNumberFormat="1" applyFont="1" applyFill="1" applyBorder="1" applyAlignment="1" applyProtection="1">
      <alignment horizontal="right" vertical="center" wrapText="1"/>
    </xf>
    <xf numFmtId="185" fontId="7" fillId="0" borderId="36" xfId="4" applyNumberFormat="1" applyFont="1" applyFill="1" applyBorder="1" applyAlignment="1" applyProtection="1">
      <alignment horizontal="right" vertical="center" wrapText="1"/>
    </xf>
    <xf numFmtId="185" fontId="7" fillId="0" borderId="36" xfId="0" applyNumberFormat="1" applyFont="1" applyFill="1" applyBorder="1" applyAlignment="1" applyProtection="1">
      <alignment horizontal="right" vertical="center"/>
    </xf>
    <xf numFmtId="185" fontId="7" fillId="0" borderId="36" xfId="0" applyNumberFormat="1" applyFont="1" applyFill="1" applyBorder="1" applyAlignment="1" applyProtection="1">
      <alignment horizontal="right" vertical="center" wrapText="1"/>
      <protection locked="0"/>
    </xf>
    <xf numFmtId="184" fontId="7" fillId="0" borderId="36" xfId="0" applyNumberFormat="1" applyFont="1" applyFill="1" applyBorder="1" applyAlignment="1" applyProtection="1">
      <alignment horizontal="right" vertical="center" wrapText="1"/>
    </xf>
    <xf numFmtId="188" fontId="7" fillId="0" borderId="36" xfId="4" applyNumberFormat="1" applyFont="1" applyFill="1" applyBorder="1" applyAlignment="1" applyProtection="1">
      <alignment horizontal="right" vertical="center" wrapText="1"/>
    </xf>
    <xf numFmtId="0" fontId="2" fillId="0" borderId="36" xfId="15705" applyFont="1" applyFill="1" applyBorder="1" applyAlignment="1">
      <alignment horizontal="center" vertical="center"/>
    </xf>
    <xf numFmtId="43" fontId="2" fillId="0" borderId="36" xfId="4" applyFont="1" applyFill="1" applyBorder="1" applyAlignment="1">
      <alignment horizontal="center" vertical="center" wrapText="1"/>
    </xf>
    <xf numFmtId="0" fontId="2" fillId="0" borderId="36" xfId="15705" applyFont="1" applyFill="1" applyBorder="1" applyAlignment="1">
      <alignment horizontal="left" vertical="center"/>
    </xf>
    <xf numFmtId="43" fontId="1" fillId="0" borderId="36" xfId="4" applyFont="1" applyFill="1" applyBorder="1" applyAlignment="1">
      <alignment horizontal="center" vertical="center"/>
    </xf>
    <xf numFmtId="43" fontId="2" fillId="0" borderId="36" xfId="4" applyFont="1" applyFill="1" applyBorder="1" applyAlignment="1">
      <alignment horizontal="center" vertical="center"/>
    </xf>
    <xf numFmtId="185" fontId="8" fillId="0" borderId="37" xfId="0" applyNumberFormat="1" applyFont="1" applyFill="1" applyBorder="1" applyAlignment="1" applyProtection="1">
      <alignment horizontal="center" vertical="center"/>
    </xf>
    <xf numFmtId="187" fontId="8" fillId="0" borderId="37" xfId="0" applyNumberFormat="1" applyFont="1" applyFill="1" applyBorder="1" applyAlignment="1" applyProtection="1">
      <alignment horizontal="center" vertical="center" wrapText="1"/>
    </xf>
    <xf numFmtId="187" fontId="7" fillId="0" borderId="37" xfId="0" applyNumberFormat="1" applyFont="1" applyFill="1" applyBorder="1" applyAlignment="1" applyProtection="1">
      <alignment horizontal="center" vertical="center" wrapText="1"/>
    </xf>
    <xf numFmtId="187" fontId="7" fillId="0" borderId="37" xfId="0" applyNumberFormat="1" applyFont="1" applyFill="1" applyBorder="1" applyAlignment="1" applyProtection="1">
      <alignment horizontal="center" vertical="center"/>
    </xf>
    <xf numFmtId="187" fontId="8" fillId="0" borderId="37" xfId="0" applyNumberFormat="1" applyFont="1" applyFill="1" applyBorder="1" applyAlignment="1" applyProtection="1">
      <alignment horizontal="center" vertical="center"/>
    </xf>
    <xf numFmtId="187" fontId="7" fillId="0" borderId="37" xfId="0" applyNumberFormat="1" applyFont="1" applyFill="1" applyBorder="1" applyAlignment="1" applyProtection="1">
      <alignment horizontal="center" vertical="center" wrapText="1"/>
      <protection locked="0"/>
    </xf>
    <xf numFmtId="0" fontId="7" fillId="0" borderId="37" xfId="23195" applyFont="1" applyFill="1" applyBorder="1" applyAlignment="1" applyProtection="1">
      <alignment vertical="center" wrapText="1"/>
      <protection locked="0"/>
    </xf>
    <xf numFmtId="0" fontId="7" fillId="0" borderId="36" xfId="28581" applyFont="1" applyFill="1" applyBorder="1" applyAlignment="1" applyProtection="1">
      <alignment vertical="center" wrapText="1"/>
    </xf>
    <xf numFmtId="43" fontId="7" fillId="0" borderId="36" xfId="0" applyNumberFormat="1" applyFont="1" applyFill="1" applyBorder="1" applyAlignment="1" applyProtection="1">
      <alignment horizontal="left" vertical="center"/>
    </xf>
    <xf numFmtId="0" fontId="7" fillId="0" borderId="36" xfId="28584" applyFont="1" applyFill="1" applyBorder="1" applyAlignment="1" applyProtection="1">
      <alignment horizontal="left" vertical="center" wrapText="1"/>
    </xf>
    <xf numFmtId="0" fontId="7" fillId="0" borderId="36" xfId="28584" applyFont="1" applyFill="1" applyBorder="1" applyAlignment="1" applyProtection="1">
      <alignment horizontal="center" vertical="center" wrapText="1"/>
    </xf>
    <xf numFmtId="185" fontId="7" fillId="0" borderId="36" xfId="24013" applyNumberFormat="1" applyFont="1" applyFill="1" applyBorder="1" applyAlignment="1" applyProtection="1">
      <alignment horizontal="left" vertical="center" wrapText="1"/>
    </xf>
    <xf numFmtId="187" fontId="7" fillId="0" borderId="36" xfId="4" applyNumberFormat="1" applyFont="1" applyFill="1" applyBorder="1" applyAlignment="1" applyProtection="1">
      <alignment horizontal="center" vertical="center"/>
    </xf>
    <xf numFmtId="0" fontId="7" fillId="0" borderId="36" xfId="0" applyFont="1" applyFill="1" applyBorder="1" applyAlignment="1" applyProtection="1">
      <alignment vertical="center" wrapText="1"/>
      <protection locked="0"/>
    </xf>
    <xf numFmtId="0" fontId="7" fillId="0" borderId="36" xfId="23195" applyFont="1" applyFill="1" applyBorder="1" applyAlignment="1" applyProtection="1">
      <alignment horizontal="center" vertical="center" wrapText="1"/>
      <protection locked="0"/>
    </xf>
    <xf numFmtId="0" fontId="8" fillId="0" borderId="36" xfId="0" applyFont="1" applyFill="1" applyBorder="1" applyAlignment="1" applyProtection="1">
      <alignment horizontal="center" vertical="center"/>
      <protection locked="0"/>
    </xf>
    <xf numFmtId="185" fontId="8" fillId="0" borderId="36" xfId="4" applyNumberFormat="1" applyFont="1" applyFill="1" applyBorder="1" applyAlignment="1" applyProtection="1">
      <alignment horizontal="center" vertical="center" wrapText="1"/>
      <protection locked="0"/>
    </xf>
    <xf numFmtId="185" fontId="8" fillId="0" borderId="36" xfId="4" applyNumberFormat="1" applyFont="1" applyFill="1" applyBorder="1" applyAlignment="1" applyProtection="1">
      <alignment horizontal="center" vertical="center"/>
      <protection locked="0"/>
    </xf>
    <xf numFmtId="0" fontId="7" fillId="0" borderId="36" xfId="4579" applyFont="1" applyFill="1" applyBorder="1" applyAlignment="1" applyProtection="1">
      <alignment horizontal="left" vertical="center" wrapText="1"/>
    </xf>
    <xf numFmtId="0" fontId="7" fillId="0" borderId="36" xfId="3997" applyFont="1" applyFill="1" applyBorder="1" applyAlignment="1" applyProtection="1">
      <alignment horizontal="center" vertical="center"/>
      <protection locked="0"/>
    </xf>
    <xf numFmtId="0" fontId="7" fillId="0" borderId="36" xfId="28581" applyFont="1" applyFill="1" applyBorder="1" applyAlignment="1" applyProtection="1">
      <alignment horizontal="left" vertical="center" wrapText="1"/>
      <protection locked="0"/>
    </xf>
    <xf numFmtId="0" fontId="7" fillId="0" borderId="36" xfId="23195" applyFont="1" applyFill="1" applyBorder="1" applyAlignment="1" applyProtection="1">
      <alignment horizontal="left" vertical="center" wrapText="1"/>
      <protection locked="0"/>
    </xf>
    <xf numFmtId="0" fontId="7" fillId="0" borderId="36" xfId="28581" applyFont="1" applyFill="1" applyBorder="1" applyAlignment="1" applyProtection="1">
      <alignment horizontal="center" vertical="center"/>
      <protection locked="0"/>
    </xf>
    <xf numFmtId="0" fontId="8" fillId="0" borderId="36" xfId="3997" applyFont="1" applyFill="1" applyBorder="1" applyAlignment="1" applyProtection="1">
      <alignment horizontal="left" vertical="center" wrapText="1"/>
    </xf>
    <xf numFmtId="0" fontId="7" fillId="0" borderId="36" xfId="26866" applyFont="1" applyFill="1" applyBorder="1" applyAlignment="1" applyProtection="1">
      <alignment horizontal="center" vertical="center"/>
    </xf>
    <xf numFmtId="0" fontId="7" fillId="0" borderId="36" xfId="17239" applyFont="1" applyFill="1" applyBorder="1" applyAlignment="1" applyProtection="1">
      <alignment horizontal="left" vertical="center" wrapText="1"/>
    </xf>
    <xf numFmtId="0" fontId="7" fillId="0" borderId="36" xfId="28581" applyFont="1" applyFill="1" applyBorder="1" applyAlignment="1" applyProtection="1">
      <alignment horizontal="left" vertical="center"/>
      <protection locked="0"/>
    </xf>
    <xf numFmtId="0" fontId="7" fillId="0" borderId="0" xfId="0" applyFont="1" applyFill="1" applyAlignment="1">
      <alignment vertical="center"/>
    </xf>
    <xf numFmtId="0" fontId="1" fillId="0" borderId="36" xfId="15705" applyFont="1" applyFill="1" applyBorder="1" applyAlignment="1">
      <alignment horizontal="center" vertical="center" wrapText="1"/>
    </xf>
    <xf numFmtId="43" fontId="1" fillId="0" borderId="36" xfId="4" applyFont="1" applyFill="1" applyBorder="1" applyAlignment="1">
      <alignment horizontal="left" vertical="center"/>
    </xf>
    <xf numFmtId="43" fontId="1" fillId="0" borderId="36" xfId="4" applyFont="1" applyFill="1" applyBorder="1" applyAlignment="1"/>
    <xf numFmtId="0" fontId="2" fillId="0" borderId="36" xfId="15712" applyFont="1" applyFill="1" applyBorder="1" applyAlignment="1">
      <alignment horizontal="center" vertical="center"/>
    </xf>
    <xf numFmtId="0" fontId="2" fillId="0" borderId="36" xfId="3203" applyFont="1" applyFill="1" applyBorder="1" applyAlignment="1">
      <alignment horizontal="center" vertical="center" wrapText="1"/>
    </xf>
    <xf numFmtId="184" fontId="2" fillId="0" borderId="36" xfId="15712" applyNumberFormat="1" applyFont="1" applyFill="1" applyBorder="1" applyAlignment="1">
      <alignment horizontal="center" vertical="center"/>
    </xf>
    <xf numFmtId="185" fontId="2" fillId="0" borderId="36" xfId="27149" applyNumberFormat="1" applyFont="1" applyFill="1" applyBorder="1" applyAlignment="1">
      <alignment horizontal="center" vertical="center"/>
    </xf>
    <xf numFmtId="58" fontId="1" fillId="0" borderId="36" xfId="15705" applyNumberFormat="1" applyFont="1" applyFill="1" applyBorder="1" applyAlignment="1">
      <alignment horizontal="center" vertical="center"/>
    </xf>
    <xf numFmtId="183" fontId="1" fillId="0" borderId="36" xfId="15705" applyNumberFormat="1" applyFont="1" applyFill="1" applyBorder="1" applyAlignment="1">
      <alignment horizontal="center" vertical="center"/>
    </xf>
    <xf numFmtId="43" fontId="1" fillId="0" borderId="36" xfId="4" applyFont="1" applyFill="1" applyBorder="1" applyAlignment="1">
      <alignment vertical="center"/>
    </xf>
    <xf numFmtId="188" fontId="1" fillId="0" borderId="36" xfId="27149" applyNumberFormat="1" applyFont="1" applyFill="1" applyBorder="1" applyAlignment="1">
      <alignment horizontal="center" vertical="center"/>
    </xf>
    <xf numFmtId="43" fontId="1" fillId="0" borderId="36" xfId="33065" applyFont="1" applyFill="1" applyBorder="1" applyAlignment="1">
      <alignment vertical="center"/>
    </xf>
    <xf numFmtId="0" fontId="1" fillId="0" borderId="36" xfId="15705" applyNumberFormat="1" applyFont="1" applyFill="1" applyBorder="1" applyAlignment="1">
      <alignment horizontal="center" vertical="center"/>
    </xf>
    <xf numFmtId="49" fontId="1" fillId="0" borderId="36" xfId="15705" applyNumberFormat="1" applyFont="1" applyFill="1" applyBorder="1" applyAlignment="1">
      <alignment horizontal="center" vertical="center"/>
    </xf>
    <xf numFmtId="183" fontId="2" fillId="0" borderId="36" xfId="15705" applyNumberFormat="1" applyFont="1" applyFill="1" applyBorder="1" applyAlignment="1">
      <alignment horizontal="center" vertical="center"/>
    </xf>
    <xf numFmtId="0" fontId="2" fillId="0" borderId="36" xfId="27149" applyFont="1" applyFill="1" applyBorder="1" applyAlignment="1">
      <alignment horizontal="center" vertical="center"/>
    </xf>
    <xf numFmtId="43" fontId="1" fillId="0" borderId="36" xfId="33065" applyFont="1" applyFill="1" applyBorder="1" applyAlignment="1">
      <alignment horizontal="center" vertical="center"/>
    </xf>
    <xf numFmtId="0" fontId="1" fillId="0" borderId="36" xfId="27149" applyFont="1" applyFill="1" applyBorder="1" applyAlignment="1">
      <alignment horizontal="center" vertical="center"/>
    </xf>
    <xf numFmtId="0" fontId="1" fillId="0" borderId="36" xfId="0" applyFont="1" applyFill="1" applyBorder="1" applyAlignment="1">
      <alignment vertical="center"/>
    </xf>
    <xf numFmtId="0" fontId="1" fillId="0" borderId="36" xfId="3203" applyFont="1" applyFill="1" applyBorder="1" applyAlignment="1">
      <alignment horizontal="right" vertical="center" wrapText="1"/>
    </xf>
    <xf numFmtId="0" fontId="1" fillId="0" borderId="0" xfId="0" applyFont="1" applyFill="1" applyAlignment="1">
      <alignment horizontal="center" vertical="center"/>
    </xf>
    <xf numFmtId="0" fontId="1" fillId="0" borderId="1" xfId="27149" applyFont="1" applyFill="1" applyBorder="1" applyAlignment="1">
      <alignment horizontal="center" vertical="center"/>
    </xf>
    <xf numFmtId="0" fontId="1" fillId="0" borderId="0" xfId="27149" applyFont="1" applyFill="1" applyBorder="1" applyAlignment="1">
      <alignment horizontal="center" vertical="center"/>
    </xf>
    <xf numFmtId="0" fontId="2" fillId="0" borderId="0" xfId="0" applyFont="1" applyFill="1" applyAlignment="1">
      <alignment horizontal="center" vertical="center"/>
    </xf>
    <xf numFmtId="0" fontId="8" fillId="32" borderId="36" xfId="0" applyFont="1" applyFill="1" applyBorder="1" applyAlignment="1" applyProtection="1">
      <alignment horizontal="center" vertical="center" wrapText="1"/>
    </xf>
    <xf numFmtId="0" fontId="8" fillId="32" borderId="36" xfId="0" applyFont="1" applyFill="1" applyBorder="1" applyAlignment="1" applyProtection="1">
      <alignment horizontal="left" vertical="center" wrapText="1"/>
    </xf>
    <xf numFmtId="0" fontId="7" fillId="32" borderId="36" xfId="0" applyFont="1" applyFill="1" applyBorder="1" applyAlignment="1" applyProtection="1">
      <alignment horizontal="center" vertical="center" wrapText="1"/>
    </xf>
    <xf numFmtId="43" fontId="7" fillId="32" borderId="36" xfId="4" applyFont="1" applyFill="1" applyBorder="1" applyAlignment="1" applyProtection="1">
      <alignment horizontal="center" vertical="center" wrapText="1"/>
    </xf>
    <xf numFmtId="43" fontId="7" fillId="32" borderId="36" xfId="4" applyFont="1" applyFill="1" applyBorder="1" applyAlignment="1" applyProtection="1">
      <alignment horizontal="center" vertical="center"/>
    </xf>
    <xf numFmtId="43" fontId="8" fillId="32" borderId="36" xfId="4" applyFont="1" applyFill="1" applyBorder="1" applyAlignment="1" applyProtection="1">
      <alignment horizontal="left" vertical="center" wrapText="1"/>
    </xf>
    <xf numFmtId="0" fontId="7" fillId="32" borderId="36" xfId="0" applyFont="1" applyFill="1" applyBorder="1" applyAlignment="1" applyProtection="1">
      <alignment horizontal="center" vertical="center"/>
    </xf>
    <xf numFmtId="0" fontId="8" fillId="32" borderId="36" xfId="0" applyFont="1" applyFill="1" applyBorder="1" applyAlignment="1" applyProtection="1">
      <alignment horizontal="center" vertical="center"/>
    </xf>
    <xf numFmtId="43" fontId="8" fillId="32" borderId="36" xfId="4" applyFont="1" applyFill="1" applyBorder="1" applyAlignment="1" applyProtection="1">
      <alignment horizontal="center" vertical="center" wrapText="1"/>
    </xf>
    <xf numFmtId="0" fontId="8" fillId="32" borderId="36" xfId="0" applyFont="1" applyFill="1" applyBorder="1" applyAlignment="1" applyProtection="1">
      <alignment vertical="center" wrapText="1"/>
    </xf>
    <xf numFmtId="43" fontId="8" fillId="32" borderId="36" xfId="4" applyFont="1" applyFill="1" applyBorder="1" applyAlignment="1" applyProtection="1">
      <alignment horizontal="center" vertical="center"/>
    </xf>
    <xf numFmtId="49" fontId="7" fillId="32" borderId="36" xfId="0" applyNumberFormat="1" applyFont="1" applyFill="1" applyBorder="1" applyAlignment="1" applyProtection="1">
      <alignment horizontal="center" vertical="center" wrapText="1"/>
    </xf>
    <xf numFmtId="185" fontId="8" fillId="32" borderId="36" xfId="0" applyNumberFormat="1" applyFont="1" applyFill="1" applyBorder="1" applyAlignment="1" applyProtection="1">
      <alignment horizontal="right" vertical="center"/>
      <protection locked="0"/>
    </xf>
    <xf numFmtId="43" fontId="8" fillId="32" borderId="36" xfId="4" applyFont="1" applyFill="1" applyBorder="1" applyAlignment="1" applyProtection="1">
      <alignment horizontal="right" vertical="center" wrapText="1"/>
    </xf>
    <xf numFmtId="43" fontId="8" fillId="32" borderId="36" xfId="4" applyFont="1" applyFill="1" applyBorder="1" applyAlignment="1" applyProtection="1">
      <alignment horizontal="right" vertical="center"/>
    </xf>
    <xf numFmtId="49" fontId="8" fillId="32" borderId="36" xfId="0" applyNumberFormat="1" applyFont="1" applyFill="1" applyBorder="1" applyAlignment="1" applyProtection="1">
      <alignment horizontal="center" vertical="center" wrapText="1"/>
    </xf>
    <xf numFmtId="0" fontId="7" fillId="0" borderId="36" xfId="4" applyNumberFormat="1" applyFont="1" applyFill="1" applyBorder="1" applyAlignment="1" applyProtection="1">
      <alignment horizontal="left" vertical="center" wrapText="1"/>
    </xf>
    <xf numFmtId="0" fontId="8" fillId="32" borderId="36" xfId="28581" applyFont="1" applyFill="1" applyBorder="1" applyAlignment="1" applyProtection="1">
      <alignment horizontal="center" vertical="center"/>
    </xf>
    <xf numFmtId="0" fontId="8" fillId="32" borderId="36" xfId="28581" applyFont="1" applyFill="1" applyBorder="1" applyAlignment="1" applyProtection="1">
      <alignment vertical="center" wrapText="1"/>
    </xf>
    <xf numFmtId="43" fontId="7" fillId="32" borderId="1" xfId="4" applyFont="1" applyFill="1" applyBorder="1" applyAlignment="1" applyProtection="1">
      <alignment horizontal="center" vertical="center" wrapText="1"/>
    </xf>
    <xf numFmtId="0" fontId="7" fillId="32" borderId="36" xfId="0" applyFont="1" applyFill="1" applyBorder="1" applyAlignment="1" applyProtection="1">
      <alignment vertical="center" wrapText="1"/>
    </xf>
    <xf numFmtId="0" fontId="8" fillId="32" borderId="36" xfId="28581" applyFont="1" applyFill="1" applyBorder="1" applyAlignment="1" applyProtection="1">
      <alignment horizontal="left" vertical="center" wrapText="1"/>
    </xf>
    <xf numFmtId="43" fontId="7" fillId="32" borderId="36" xfId="4" applyFont="1" applyFill="1" applyBorder="1" applyAlignment="1" applyProtection="1">
      <alignment vertical="center"/>
    </xf>
    <xf numFmtId="0" fontId="8" fillId="32" borderId="36" xfId="28581" applyFont="1" applyFill="1" applyBorder="1" applyAlignment="1" applyProtection="1">
      <alignment horizontal="left" vertical="center"/>
    </xf>
    <xf numFmtId="0" fontId="8" fillId="32" borderId="36" xfId="3997" applyFont="1" applyFill="1" applyBorder="1" applyAlignment="1" applyProtection="1">
      <alignment horizontal="center" vertical="center"/>
    </xf>
    <xf numFmtId="0" fontId="7" fillId="32" borderId="36" xfId="3997" applyFont="1" applyFill="1" applyBorder="1" applyAlignment="1" applyProtection="1">
      <alignment horizontal="center" vertical="center"/>
    </xf>
    <xf numFmtId="0" fontId="7" fillId="32" borderId="36" xfId="28581" applyFont="1" applyFill="1" applyBorder="1" applyAlignment="1" applyProtection="1">
      <alignment horizontal="center" vertical="center"/>
    </xf>
    <xf numFmtId="0" fontId="8" fillId="32" borderId="1" xfId="13445" applyFont="1" applyFill="1" applyBorder="1" applyAlignment="1">
      <alignment horizontal="center" vertical="center" wrapText="1"/>
    </xf>
    <xf numFmtId="49" fontId="8" fillId="32" borderId="1" xfId="13445" applyNumberFormat="1" applyFont="1" applyFill="1" applyBorder="1" applyAlignment="1">
      <alignment horizontal="center" vertical="center" wrapText="1"/>
    </xf>
    <xf numFmtId="43" fontId="8" fillId="32" borderId="1" xfId="4" applyFont="1" applyFill="1" applyBorder="1" applyAlignment="1">
      <alignment horizontal="center" vertical="center" wrapText="1"/>
    </xf>
    <xf numFmtId="0" fontId="8" fillId="32" borderId="1" xfId="27778" applyFont="1" applyFill="1" applyBorder="1" applyAlignment="1">
      <alignment horizontal="center" vertical="center" wrapText="1"/>
    </xf>
    <xf numFmtId="49" fontId="7" fillId="32" borderId="1" xfId="28583" applyNumberFormat="1" applyFont="1" applyFill="1" applyBorder="1" applyAlignment="1">
      <alignment horizontal="center" vertical="center" wrapText="1"/>
    </xf>
    <xf numFmtId="0" fontId="7" fillId="32" borderId="1" xfId="13445" applyFont="1" applyFill="1" applyBorder="1" applyAlignment="1">
      <alignment horizontal="center" vertical="center" wrapText="1"/>
    </xf>
    <xf numFmtId="0" fontId="7" fillId="32" borderId="1" xfId="27778" applyFont="1" applyFill="1" applyBorder="1" applyAlignment="1">
      <alignment horizontal="center" vertical="center" wrapText="1"/>
    </xf>
    <xf numFmtId="43" fontId="7" fillId="32" borderId="1" xfId="4" applyFont="1" applyFill="1" applyBorder="1" applyAlignment="1">
      <alignment horizontal="center" vertical="center" wrapText="1"/>
    </xf>
    <xf numFmtId="184" fontId="7" fillId="32" borderId="1" xfId="28583" applyNumberFormat="1" applyFont="1" applyFill="1" applyBorder="1" applyAlignment="1">
      <alignment horizontal="center" vertical="center" wrapText="1" shrinkToFit="1"/>
    </xf>
    <xf numFmtId="49" fontId="7" fillId="32" borderId="1" xfId="13445" applyNumberFormat="1" applyFont="1" applyFill="1" applyBorder="1" applyAlignment="1">
      <alignment horizontal="center" vertical="center" wrapText="1"/>
    </xf>
    <xf numFmtId="0" fontId="8" fillId="32" borderId="1" xfId="27778" applyFont="1" applyFill="1" applyBorder="1" applyAlignment="1">
      <alignment horizontal="left" vertical="center" wrapText="1"/>
    </xf>
    <xf numFmtId="49" fontId="7" fillId="32" borderId="1" xfId="27778" applyNumberFormat="1" applyFont="1" applyFill="1" applyBorder="1" applyAlignment="1">
      <alignment horizontal="center" vertical="center" wrapText="1"/>
    </xf>
    <xf numFmtId="43" fontId="7" fillId="32" borderId="1" xfId="4" applyFont="1" applyFill="1" applyBorder="1" applyAlignment="1" applyProtection="1">
      <alignment horizontal="center" vertical="center" wrapText="1"/>
      <protection locked="0"/>
    </xf>
    <xf numFmtId="184" fontId="8" fillId="32" borderId="1" xfId="27778" applyNumberFormat="1" applyFont="1" applyFill="1" applyBorder="1" applyAlignment="1">
      <alignment horizontal="center" vertical="center" wrapText="1"/>
    </xf>
    <xf numFmtId="49" fontId="8" fillId="32" borderId="1" xfId="27778" applyNumberFormat="1" applyFont="1" applyFill="1" applyBorder="1" applyAlignment="1">
      <alignment horizontal="center" vertical="center" wrapText="1"/>
    </xf>
    <xf numFmtId="0" fontId="11" fillId="32" borderId="1" xfId="27778" applyFont="1" applyFill="1" applyBorder="1" applyAlignment="1">
      <alignment horizontal="center" vertical="center" wrapText="1"/>
    </xf>
    <xf numFmtId="49" fontId="7" fillId="32" borderId="1" xfId="0" applyNumberFormat="1" applyFont="1" applyFill="1" applyBorder="1" applyAlignment="1">
      <alignment horizontal="center" vertical="center" wrapText="1"/>
    </xf>
    <xf numFmtId="184" fontId="7" fillId="32" borderId="1" xfId="27778" applyNumberFormat="1" applyFont="1" applyFill="1" applyBorder="1" applyAlignment="1">
      <alignment horizontal="center" vertical="center" wrapText="1"/>
    </xf>
    <xf numFmtId="0" fontId="7" fillId="32" borderId="1" xfId="0" applyNumberFormat="1" applyFont="1" applyFill="1" applyBorder="1" applyAlignment="1">
      <alignment horizontal="center" vertical="center" wrapText="1"/>
    </xf>
    <xf numFmtId="43" fontId="8" fillId="0" borderId="0" xfId="4" applyFont="1" applyFill="1" applyBorder="1" applyAlignment="1" applyProtection="1">
      <alignment horizontal="center" vertical="center" wrapText="1"/>
    </xf>
    <xf numFmtId="43" fontId="8" fillId="0" borderId="0" xfId="4" applyFont="1" applyFill="1" applyBorder="1" applyAlignment="1" applyProtection="1">
      <alignment horizontal="center" vertical="center" wrapText="1"/>
    </xf>
    <xf numFmtId="43" fontId="8" fillId="0" borderId="37" xfId="4" applyFont="1" applyFill="1" applyBorder="1" applyAlignment="1" applyProtection="1">
      <alignment horizontal="center" vertical="center" wrapText="1"/>
    </xf>
    <xf numFmtId="43" fontId="8" fillId="0" borderId="36" xfId="4" applyFont="1" applyFill="1" applyBorder="1" applyAlignment="1" applyProtection="1">
      <alignment horizontal="center" vertical="center" wrapText="1"/>
    </xf>
    <xf numFmtId="0" fontId="8" fillId="0" borderId="36" xfId="0" applyFont="1" applyFill="1" applyBorder="1" applyAlignment="1" applyProtection="1">
      <alignment horizontal="center" vertical="center" wrapText="1"/>
    </xf>
    <xf numFmtId="185" fontId="8" fillId="0" borderId="36" xfId="0" applyNumberFormat="1" applyFont="1" applyFill="1" applyBorder="1" applyAlignment="1" applyProtection="1">
      <alignment horizontal="center" vertical="center"/>
      <protection locked="0"/>
    </xf>
    <xf numFmtId="43" fontId="8" fillId="0" borderId="36" xfId="4" applyFont="1" applyFill="1" applyBorder="1" applyAlignment="1" applyProtection="1">
      <alignment horizontal="center" vertical="center"/>
    </xf>
    <xf numFmtId="0" fontId="7" fillId="0" borderId="0" xfId="0" applyFont="1" applyFill="1" applyAlignment="1">
      <alignment vertical="center"/>
    </xf>
    <xf numFmtId="0" fontId="7" fillId="0" borderId="36" xfId="0" applyFont="1" applyFill="1" applyBorder="1" applyAlignment="1" applyProtection="1">
      <alignment horizontal="center" vertical="center" wrapText="1"/>
    </xf>
    <xf numFmtId="185" fontId="8" fillId="0" borderId="36" xfId="0" applyNumberFormat="1" applyFont="1" applyFill="1" applyBorder="1" applyAlignment="1" applyProtection="1">
      <alignment horizontal="center" vertical="center" wrapText="1"/>
      <protection locked="0"/>
    </xf>
    <xf numFmtId="187" fontId="8" fillId="0" borderId="0" xfId="0" applyNumberFormat="1" applyFont="1" applyFill="1" applyAlignment="1" applyProtection="1">
      <alignment horizontal="center" vertical="center"/>
    </xf>
    <xf numFmtId="0" fontId="8" fillId="0" borderId="36" xfId="0" applyFont="1" applyFill="1" applyBorder="1" applyAlignment="1" applyProtection="1">
      <alignment horizontal="center" vertical="center"/>
    </xf>
    <xf numFmtId="185" fontId="8" fillId="0" borderId="36" xfId="14274" applyNumberFormat="1" applyFont="1" applyFill="1" applyBorder="1" applyAlignment="1" applyProtection="1">
      <alignment horizontal="center" vertical="center" wrapText="1"/>
      <protection locked="0"/>
    </xf>
    <xf numFmtId="0" fontId="7" fillId="0" borderId="0" xfId="0" applyFont="1" applyFill="1" applyAlignment="1">
      <alignment vertical="center"/>
    </xf>
    <xf numFmtId="0" fontId="7" fillId="0" borderId="36" xfId="0" applyFont="1" applyFill="1" applyBorder="1" applyAlignment="1" applyProtection="1">
      <alignment horizontal="center" vertical="center" wrapText="1"/>
    </xf>
    <xf numFmtId="0" fontId="0" fillId="0" borderId="0" xfId="0" applyFont="1" applyFill="1" applyAlignment="1">
      <alignment horizontal="right" vertical="center"/>
    </xf>
    <xf numFmtId="183" fontId="7" fillId="0" borderId="0" xfId="0" applyNumberFormat="1" applyFont="1" applyFill="1" applyAlignment="1" applyProtection="1">
      <alignment horizontal="right" vertical="center"/>
      <protection locked="0"/>
    </xf>
    <xf numFmtId="0" fontId="7" fillId="0" borderId="0" xfId="0" applyFont="1" applyFill="1" applyAlignment="1" applyProtection="1">
      <alignment horizontal="right" vertical="center"/>
      <protection locked="0"/>
    </xf>
    <xf numFmtId="0" fontId="0" fillId="0" borderId="36" xfId="0" applyFont="1" applyFill="1" applyBorder="1" applyAlignment="1" applyProtection="1">
      <alignment horizontal="right" vertical="center"/>
      <protection locked="0"/>
    </xf>
    <xf numFmtId="185" fontId="7" fillId="0" borderId="36" xfId="4" applyNumberFormat="1" applyFont="1" applyFill="1" applyBorder="1" applyAlignment="1" applyProtection="1">
      <alignment horizontal="right" vertical="center"/>
      <protection locked="0"/>
    </xf>
    <xf numFmtId="185" fontId="8" fillId="0" borderId="36" xfId="0" applyNumberFormat="1" applyFont="1" applyFill="1" applyBorder="1" applyAlignment="1" applyProtection="1">
      <alignment horizontal="right" vertical="center"/>
    </xf>
    <xf numFmtId="185" fontId="7" fillId="32" borderId="36" xfId="0" applyNumberFormat="1" applyFont="1" applyFill="1" applyBorder="1" applyAlignment="1" applyProtection="1">
      <alignment horizontal="right" vertical="center"/>
    </xf>
    <xf numFmtId="43" fontId="7" fillId="32" borderId="36" xfId="4" applyFont="1" applyFill="1" applyBorder="1" applyAlignment="1" applyProtection="1">
      <alignment horizontal="left" vertical="center" wrapText="1"/>
    </xf>
    <xf numFmtId="43" fontId="8" fillId="0" borderId="36" xfId="4" applyFont="1" applyFill="1" applyBorder="1" applyAlignment="1" applyProtection="1">
      <alignment horizontal="right" vertical="center" wrapText="1"/>
    </xf>
    <xf numFmtId="184" fontId="7" fillId="32" borderId="36" xfId="0" applyNumberFormat="1" applyFont="1" applyFill="1" applyBorder="1" applyAlignment="1" applyProtection="1">
      <alignment horizontal="right" vertical="center" wrapText="1"/>
    </xf>
    <xf numFmtId="0" fontId="7" fillId="32" borderId="36" xfId="0" applyFont="1" applyFill="1" applyBorder="1" applyAlignment="1" applyProtection="1">
      <alignment horizontal="right" vertical="center" wrapText="1"/>
    </xf>
    <xf numFmtId="0" fontId="7" fillId="0" borderId="36" xfId="0" applyFont="1" applyFill="1" applyBorder="1" applyAlignment="1" applyProtection="1">
      <alignment horizontal="right" vertical="center" wrapText="1"/>
    </xf>
    <xf numFmtId="10" fontId="7" fillId="0" borderId="36" xfId="51" applyNumberFormat="1" applyFont="1" applyFill="1" applyBorder="1" applyAlignment="1" applyProtection="1">
      <alignment horizontal="right" vertical="center" wrapText="1"/>
    </xf>
    <xf numFmtId="0" fontId="8" fillId="0" borderId="36" xfId="0" applyFont="1" applyFill="1" applyBorder="1" applyAlignment="1" applyProtection="1">
      <alignment horizontal="right" vertical="center" wrapText="1"/>
    </xf>
    <xf numFmtId="10" fontId="7" fillId="32" borderId="36" xfId="51" applyNumberFormat="1" applyFont="1" applyFill="1" applyBorder="1" applyAlignment="1" applyProtection="1">
      <alignment horizontal="right" vertical="center" wrapText="1"/>
    </xf>
    <xf numFmtId="177" fontId="7" fillId="0" borderId="36" xfId="51" applyNumberFormat="1" applyFont="1" applyFill="1" applyBorder="1" applyAlignment="1" applyProtection="1">
      <alignment horizontal="right" vertical="center" wrapText="1"/>
    </xf>
    <xf numFmtId="10" fontId="7" fillId="0" borderId="36" xfId="0" applyNumberFormat="1" applyFont="1" applyFill="1" applyBorder="1" applyAlignment="1" applyProtection="1">
      <alignment horizontal="right" vertical="center" wrapText="1"/>
    </xf>
    <xf numFmtId="43" fontId="7" fillId="32" borderId="36" xfId="4" applyFont="1" applyFill="1" applyBorder="1" applyAlignment="1" applyProtection="1">
      <alignment horizontal="right" vertical="center" wrapText="1"/>
    </xf>
    <xf numFmtId="185" fontId="7" fillId="32" borderId="36" xfId="0" applyNumberFormat="1" applyFont="1" applyFill="1" applyBorder="1" applyAlignment="1" applyProtection="1">
      <alignment horizontal="right" vertical="center"/>
      <protection locked="0"/>
    </xf>
    <xf numFmtId="0" fontId="7" fillId="0" borderId="36" xfId="0" applyFont="1" applyFill="1" applyBorder="1" applyAlignment="1">
      <alignment horizontal="right" vertical="center"/>
    </xf>
    <xf numFmtId="185" fontId="8" fillId="32" borderId="36" xfId="0" applyNumberFormat="1" applyFont="1" applyFill="1" applyBorder="1" applyAlignment="1" applyProtection="1">
      <alignment horizontal="right" vertical="center"/>
    </xf>
    <xf numFmtId="185" fontId="7" fillId="0" borderId="36" xfId="24013" applyNumberFormat="1" applyFont="1" applyFill="1" applyBorder="1" applyAlignment="1" applyProtection="1">
      <alignment horizontal="right" vertical="center"/>
      <protection locked="0"/>
    </xf>
    <xf numFmtId="185" fontId="7" fillId="0" borderId="36" xfId="28581" applyNumberFormat="1" applyFont="1" applyFill="1" applyBorder="1" applyAlignment="1" applyProtection="1">
      <alignment horizontal="right" vertical="center"/>
      <protection locked="0"/>
    </xf>
    <xf numFmtId="185" fontId="7" fillId="0" borderId="36" xfId="4" applyNumberFormat="1" applyFont="1" applyFill="1" applyBorder="1" applyAlignment="1" applyProtection="1">
      <alignment horizontal="right" vertical="center" wrapText="1"/>
      <protection locked="0"/>
    </xf>
    <xf numFmtId="185" fontId="8" fillId="0" borderId="36" xfId="0" applyNumberFormat="1" applyFont="1" applyFill="1" applyBorder="1" applyAlignment="1" applyProtection="1">
      <alignment horizontal="right" vertical="center" wrapText="1"/>
    </xf>
    <xf numFmtId="185" fontId="7" fillId="0" borderId="36" xfId="23195" applyNumberFormat="1" applyFont="1" applyFill="1" applyBorder="1" applyAlignment="1" applyProtection="1">
      <alignment horizontal="right" vertical="center" wrapText="1"/>
    </xf>
    <xf numFmtId="188" fontId="7" fillId="0" borderId="36" xfId="23195" applyNumberFormat="1" applyFont="1" applyFill="1" applyBorder="1" applyAlignment="1" applyProtection="1">
      <alignment horizontal="right" vertical="center" wrapText="1"/>
      <protection locked="0"/>
    </xf>
    <xf numFmtId="43" fontId="7" fillId="0" borderId="36" xfId="4" applyFont="1" applyFill="1" applyBorder="1" applyAlignment="1" applyProtection="1">
      <alignment horizontal="right" vertical="center" wrapText="1"/>
      <protection locked="0"/>
    </xf>
    <xf numFmtId="188" fontId="8" fillId="0" borderId="36" xfId="0" applyNumberFormat="1" applyFont="1" applyFill="1" applyBorder="1" applyAlignment="1" applyProtection="1">
      <alignment horizontal="right" vertical="center" wrapText="1"/>
    </xf>
    <xf numFmtId="188" fontId="7" fillId="0" borderId="36" xfId="0" applyNumberFormat="1" applyFont="1" applyFill="1" applyBorder="1" applyAlignment="1" applyProtection="1">
      <alignment horizontal="right" vertical="center" wrapText="1"/>
    </xf>
    <xf numFmtId="177" fontId="7" fillId="0" borderId="36" xfId="51" applyNumberFormat="1" applyFont="1" applyFill="1" applyBorder="1" applyAlignment="1" applyProtection="1">
      <alignment horizontal="right" vertical="center" wrapText="1"/>
      <protection locked="0"/>
    </xf>
    <xf numFmtId="10" fontId="8" fillId="0" borderId="36" xfId="0" applyNumberFormat="1" applyFont="1" applyFill="1" applyBorder="1" applyAlignment="1" applyProtection="1">
      <alignment horizontal="right" vertical="center" wrapText="1"/>
    </xf>
    <xf numFmtId="185" fontId="8" fillId="32" borderId="36" xfId="0" applyNumberFormat="1" applyFont="1" applyFill="1" applyBorder="1" applyAlignment="1" applyProtection="1">
      <alignment horizontal="right" vertical="center" wrapText="1"/>
    </xf>
    <xf numFmtId="10" fontId="8" fillId="32" borderId="36" xfId="0" applyNumberFormat="1" applyFont="1" applyFill="1" applyBorder="1" applyAlignment="1" applyProtection="1">
      <alignment horizontal="right" vertical="center" wrapText="1"/>
    </xf>
    <xf numFmtId="188" fontId="8" fillId="32" borderId="36" xfId="0" applyNumberFormat="1" applyFont="1" applyFill="1" applyBorder="1" applyAlignment="1" applyProtection="1">
      <alignment horizontal="right" vertical="center" wrapText="1"/>
    </xf>
    <xf numFmtId="43" fontId="8" fillId="0" borderId="36" xfId="4" applyFont="1" applyFill="1" applyBorder="1" applyAlignment="1" applyProtection="1">
      <alignment horizontal="right" vertical="center"/>
      <protection locked="0"/>
    </xf>
    <xf numFmtId="185" fontId="8" fillId="0" borderId="36" xfId="4" applyNumberFormat="1" applyFont="1" applyFill="1" applyBorder="1" applyAlignment="1" applyProtection="1">
      <alignment horizontal="right" vertical="center" wrapText="1"/>
    </xf>
    <xf numFmtId="185" fontId="8" fillId="32" borderId="36" xfId="4" applyNumberFormat="1" applyFont="1" applyFill="1" applyBorder="1" applyAlignment="1" applyProtection="1">
      <alignment horizontal="right" vertical="center" wrapText="1"/>
    </xf>
    <xf numFmtId="43" fontId="7" fillId="0" borderId="36" xfId="4" applyFont="1" applyFill="1" applyBorder="1" applyAlignment="1" applyProtection="1">
      <alignment horizontal="right" vertical="center"/>
      <protection locked="0"/>
    </xf>
    <xf numFmtId="185" fontId="12" fillId="0" borderId="36" xfId="23211" applyNumberFormat="1" applyFont="1" applyFill="1" applyBorder="1" applyAlignment="1" applyProtection="1">
      <alignment horizontal="right" vertical="center" wrapText="1"/>
      <protection locked="0"/>
    </xf>
    <xf numFmtId="185" fontId="7" fillId="0" borderId="0" xfId="0" applyNumberFormat="1" applyFont="1" applyFill="1" applyAlignment="1" applyProtection="1">
      <alignment horizontal="right" vertical="center" wrapText="1"/>
      <protection locked="0"/>
    </xf>
    <xf numFmtId="188" fontId="7" fillId="0" borderId="0" xfId="0" applyNumberFormat="1" applyFont="1" applyFill="1" applyAlignment="1" applyProtection="1">
      <alignment horizontal="right" vertical="center" wrapText="1"/>
      <protection locked="0"/>
    </xf>
    <xf numFmtId="43" fontId="7" fillId="0" borderId="0" xfId="4" applyFont="1" applyFill="1" applyAlignment="1" applyProtection="1">
      <alignment horizontal="right" vertical="center" wrapText="1"/>
      <protection locked="0"/>
    </xf>
    <xf numFmtId="185" fontId="7" fillId="0" borderId="0" xfId="4" applyNumberFormat="1" applyFont="1" applyFill="1" applyAlignment="1" applyProtection="1">
      <alignment horizontal="right" vertical="center" wrapText="1"/>
      <protection locked="0"/>
    </xf>
    <xf numFmtId="43" fontId="7" fillId="0" borderId="0" xfId="4" applyFont="1" applyFill="1" applyBorder="1" applyAlignment="1" applyProtection="1">
      <alignment horizontal="right" vertical="center"/>
      <protection locked="0"/>
    </xf>
    <xf numFmtId="0" fontId="7" fillId="0" borderId="0" xfId="0" applyFont="1" applyFill="1" applyAlignment="1" applyProtection="1">
      <alignment horizontal="right"/>
      <protection locked="0"/>
    </xf>
    <xf numFmtId="185" fontId="7" fillId="0" borderId="0" xfId="28581" applyNumberFormat="1" applyFont="1" applyFill="1" applyAlignment="1" applyProtection="1">
      <alignment horizontal="right" vertical="center"/>
      <protection locked="0"/>
    </xf>
    <xf numFmtId="43" fontId="8" fillId="0" borderId="36" xfId="4" applyFont="1" applyFill="1" applyBorder="1" applyAlignment="1" applyProtection="1">
      <alignment horizontal="right" vertical="center"/>
    </xf>
    <xf numFmtId="0" fontId="7" fillId="32" borderId="36" xfId="0" applyFont="1" applyFill="1" applyBorder="1" applyAlignment="1" applyProtection="1">
      <alignment horizontal="right" vertical="center"/>
      <protection locked="0"/>
    </xf>
    <xf numFmtId="0" fontId="7" fillId="32" borderId="36" xfId="0" applyFont="1" applyFill="1" applyBorder="1" applyAlignment="1" applyProtection="1">
      <alignment horizontal="right" vertical="center"/>
    </xf>
    <xf numFmtId="43" fontId="7" fillId="32" borderId="36" xfId="4" applyFont="1" applyFill="1" applyBorder="1" applyAlignment="1" applyProtection="1">
      <alignment horizontal="right" vertical="center"/>
    </xf>
    <xf numFmtId="185" fontId="8" fillId="0" borderId="36" xfId="28581" applyNumberFormat="1" applyFont="1" applyFill="1" applyBorder="1" applyAlignment="1" applyProtection="1">
      <alignment horizontal="right" vertical="center"/>
      <protection locked="0"/>
    </xf>
    <xf numFmtId="185" fontId="7" fillId="32" borderId="36" xfId="28581" applyNumberFormat="1" applyFont="1" applyFill="1" applyBorder="1" applyAlignment="1" applyProtection="1">
      <alignment horizontal="right" vertical="center"/>
      <protection locked="0"/>
    </xf>
    <xf numFmtId="185" fontId="8" fillId="0" borderId="36" xfId="28581" applyNumberFormat="1" applyFont="1" applyFill="1" applyBorder="1" applyAlignment="1" applyProtection="1">
      <alignment horizontal="right" vertical="center"/>
    </xf>
    <xf numFmtId="0" fontId="7" fillId="0" borderId="36" xfId="0" applyFont="1" applyFill="1" applyBorder="1" applyAlignment="1" applyProtection="1">
      <alignment horizontal="right" vertical="center"/>
    </xf>
    <xf numFmtId="10" fontId="7" fillId="0" borderId="36" xfId="51" applyNumberFormat="1" applyFont="1" applyFill="1" applyBorder="1" applyAlignment="1" applyProtection="1">
      <alignment horizontal="right" vertical="center"/>
    </xf>
    <xf numFmtId="189" fontId="7" fillId="0" borderId="36" xfId="51" applyNumberFormat="1" applyFont="1" applyFill="1" applyBorder="1" applyAlignment="1" applyProtection="1">
      <alignment horizontal="right" vertical="center"/>
    </xf>
    <xf numFmtId="0" fontId="8" fillId="0" borderId="36" xfId="0" applyFont="1" applyFill="1" applyBorder="1" applyAlignment="1" applyProtection="1">
      <alignment horizontal="right" vertical="center"/>
    </xf>
    <xf numFmtId="0" fontId="8" fillId="32" borderId="36" xfId="0" applyFont="1" applyFill="1" applyBorder="1" applyAlignment="1" applyProtection="1">
      <alignment horizontal="right" vertical="center"/>
    </xf>
    <xf numFmtId="10" fontId="8" fillId="32" borderId="36" xfId="51" applyNumberFormat="1" applyFont="1" applyFill="1" applyBorder="1" applyAlignment="1" applyProtection="1">
      <alignment horizontal="right" vertical="center"/>
    </xf>
    <xf numFmtId="187" fontId="7" fillId="0" borderId="36" xfId="24013" applyNumberFormat="1" applyFont="1" applyFill="1" applyBorder="1" applyAlignment="1" applyProtection="1">
      <alignment horizontal="right" vertical="center"/>
      <protection locked="0"/>
    </xf>
    <xf numFmtId="0" fontId="8" fillId="0" borderId="36" xfId="3997" applyFont="1" applyFill="1" applyBorder="1" applyAlignment="1" applyProtection="1">
      <alignment horizontal="center" vertical="center"/>
    </xf>
    <xf numFmtId="187" fontId="8" fillId="0" borderId="36" xfId="0" applyNumberFormat="1" applyFont="1" applyFill="1" applyBorder="1" applyAlignment="1" applyProtection="1">
      <alignment horizontal="right" vertical="center" wrapText="1"/>
    </xf>
    <xf numFmtId="0" fontId="8" fillId="0" borderId="36" xfId="4579" applyFont="1" applyFill="1" applyBorder="1" applyAlignment="1" applyProtection="1">
      <alignment horizontal="left" vertical="center" wrapText="1"/>
    </xf>
    <xf numFmtId="0" fontId="7" fillId="32" borderId="36" xfId="3997" applyFont="1" applyFill="1" applyBorder="1" applyAlignment="1" applyProtection="1">
      <alignment horizontal="center" vertical="center" wrapText="1"/>
    </xf>
    <xf numFmtId="0" fontId="8" fillId="32" borderId="36" xfId="3997" applyFont="1" applyFill="1" applyBorder="1" applyAlignment="1" applyProtection="1">
      <alignment horizontal="left" vertical="center" wrapText="1"/>
    </xf>
    <xf numFmtId="184" fontId="7" fillId="32" borderId="36" xfId="4" applyNumberFormat="1" applyFont="1" applyFill="1" applyBorder="1" applyAlignment="1" applyProtection="1">
      <alignment horizontal="right" vertical="center"/>
    </xf>
    <xf numFmtId="0" fontId="7" fillId="32" borderId="36" xfId="4579" applyFont="1" applyFill="1" applyBorder="1" applyAlignment="1" applyProtection="1">
      <alignment horizontal="left" vertical="center" wrapText="1"/>
    </xf>
    <xf numFmtId="10" fontId="8" fillId="32" borderId="36" xfId="3997" applyNumberFormat="1" applyFont="1" applyFill="1" applyBorder="1" applyAlignment="1" applyProtection="1">
      <alignment horizontal="right" vertical="center"/>
    </xf>
    <xf numFmtId="0" fontId="8" fillId="32" borderId="36" xfId="4579" applyFont="1" applyFill="1" applyBorder="1" applyAlignment="1" applyProtection="1">
      <alignment horizontal="left" vertical="center" wrapText="1"/>
    </xf>
    <xf numFmtId="185" fontId="7" fillId="0" borderId="36" xfId="3997" applyNumberFormat="1" applyFont="1" applyFill="1" applyBorder="1" applyAlignment="1" applyProtection="1">
      <alignment horizontal="right" vertical="center"/>
    </xf>
    <xf numFmtId="10" fontId="7" fillId="0" borderId="36" xfId="3997" applyNumberFormat="1" applyFont="1" applyFill="1" applyBorder="1" applyAlignment="1" applyProtection="1">
      <alignment horizontal="right" vertical="center"/>
    </xf>
    <xf numFmtId="177" fontId="7" fillId="0" borderId="36" xfId="3997" applyNumberFormat="1" applyFont="1" applyFill="1" applyBorder="1" applyAlignment="1" applyProtection="1">
      <alignment horizontal="right" vertical="center"/>
    </xf>
    <xf numFmtId="185" fontId="8" fillId="32" borderId="36" xfId="3997" applyNumberFormat="1" applyFont="1" applyFill="1" applyBorder="1" applyAlignment="1" applyProtection="1">
      <alignment horizontal="right" vertical="center"/>
    </xf>
    <xf numFmtId="185" fontId="8" fillId="0" borderId="36" xfId="3997" applyNumberFormat="1" applyFont="1" applyFill="1" applyBorder="1" applyAlignment="1" applyProtection="1">
      <alignment horizontal="right" vertical="center"/>
    </xf>
    <xf numFmtId="10" fontId="8" fillId="0" borderId="36" xfId="3997" applyNumberFormat="1" applyFont="1" applyFill="1" applyBorder="1" applyAlignment="1" applyProtection="1">
      <alignment horizontal="right" vertical="center"/>
    </xf>
    <xf numFmtId="0" fontId="8" fillId="0" borderId="36" xfId="0" applyFont="1" applyFill="1" applyBorder="1" applyAlignment="1" applyProtection="1">
      <alignment horizontal="center" vertical="center" wrapText="1"/>
      <protection locked="0"/>
    </xf>
    <xf numFmtId="0" fontId="8" fillId="0" borderId="36" xfId="0" applyFont="1" applyFill="1" applyBorder="1" applyAlignment="1" applyProtection="1">
      <alignment horizontal="left" vertical="center" wrapText="1"/>
      <protection locked="0"/>
    </xf>
    <xf numFmtId="0" fontId="8" fillId="0" borderId="36" xfId="28581" applyFont="1" applyFill="1" applyBorder="1" applyAlignment="1" applyProtection="1">
      <alignment horizontal="center" vertical="center"/>
      <protection locked="0"/>
    </xf>
    <xf numFmtId="0" fontId="8" fillId="0" borderId="36" xfId="28581" applyFont="1" applyFill="1" applyBorder="1" applyAlignment="1" applyProtection="1">
      <alignment horizontal="left" vertical="center"/>
      <protection locked="0"/>
    </xf>
    <xf numFmtId="0" fontId="7" fillId="32" borderId="36" xfId="0" applyFont="1" applyFill="1" applyBorder="1" applyAlignment="1" applyProtection="1">
      <alignment horizontal="left" vertical="center" wrapText="1"/>
    </xf>
    <xf numFmtId="185" fontId="7" fillId="0" borderId="36" xfId="28581" applyNumberFormat="1" applyFont="1" applyFill="1" applyBorder="1" applyAlignment="1" applyProtection="1">
      <alignment horizontal="right" vertical="center"/>
    </xf>
    <xf numFmtId="185" fontId="7" fillId="0" borderId="36" xfId="24013" applyNumberFormat="1" applyFont="1" applyFill="1" applyBorder="1" applyAlignment="1" applyProtection="1">
      <alignment horizontal="right" vertical="center"/>
    </xf>
    <xf numFmtId="187" fontId="7" fillId="0" borderId="36" xfId="0" applyNumberFormat="1" applyFont="1" applyFill="1" applyBorder="1" applyAlignment="1" applyProtection="1">
      <alignment horizontal="right" vertical="center" wrapText="1"/>
    </xf>
    <xf numFmtId="10" fontId="7" fillId="32" borderId="36" xfId="3997" applyNumberFormat="1" applyFont="1" applyFill="1" applyBorder="1" applyAlignment="1" applyProtection="1">
      <alignment horizontal="right" vertical="center"/>
    </xf>
    <xf numFmtId="185" fontId="7" fillId="32" borderId="36" xfId="3997" applyNumberFormat="1" applyFont="1" applyFill="1" applyBorder="1" applyAlignment="1" applyProtection="1">
      <alignment horizontal="right" vertical="center"/>
    </xf>
    <xf numFmtId="0" fontId="7" fillId="0" borderId="36" xfId="0" applyFont="1" applyFill="1" applyBorder="1" applyAlignment="1" applyProtection="1">
      <alignment horizontal="right"/>
      <protection locked="0"/>
    </xf>
    <xf numFmtId="0" fontId="8" fillId="0" borderId="36" xfId="0" applyFont="1" applyFill="1" applyBorder="1" applyAlignment="1" applyProtection="1">
      <alignment horizontal="right"/>
      <protection locked="0"/>
    </xf>
    <xf numFmtId="187" fontId="8" fillId="0" borderId="37" xfId="0" applyNumberFormat="1" applyFont="1" applyFill="1" applyBorder="1" applyAlignment="1" applyProtection="1">
      <alignment horizontal="center" vertical="center" wrapText="1"/>
      <protection locked="0"/>
    </xf>
    <xf numFmtId="187" fontId="8" fillId="0" borderId="36" xfId="0" applyNumberFormat="1" applyFont="1" applyFill="1" applyBorder="1" applyAlignment="1" applyProtection="1">
      <alignment horizontal="center" vertical="center" wrapText="1"/>
      <protection locked="0"/>
    </xf>
    <xf numFmtId="185" fontId="8" fillId="0" borderId="0" xfId="0" applyNumberFormat="1" applyFont="1" applyFill="1" applyAlignment="1" applyProtection="1">
      <alignment horizontal="center" vertical="center" wrapText="1"/>
    </xf>
    <xf numFmtId="43" fontId="8" fillId="0" borderId="36" xfId="4" applyFont="1" applyFill="1" applyBorder="1" applyAlignment="1" applyProtection="1">
      <alignment horizontal="center" vertical="center" wrapText="1"/>
    </xf>
    <xf numFmtId="43" fontId="8" fillId="0" borderId="37" xfId="4" applyFont="1" applyFill="1" applyBorder="1" applyAlignment="1" applyProtection="1">
      <alignment horizontal="center" vertical="center" wrapText="1"/>
    </xf>
    <xf numFmtId="0" fontId="2" fillId="0" borderId="36" xfId="15712" applyFont="1" applyFill="1" applyBorder="1" applyAlignment="1">
      <alignment horizontal="center" vertical="center" wrapText="1"/>
    </xf>
    <xf numFmtId="0" fontId="23" fillId="0" borderId="36" xfId="15705" applyFont="1" applyFill="1" applyBorder="1" applyAlignment="1">
      <alignment horizontal="center" vertical="center" wrapText="1"/>
    </xf>
    <xf numFmtId="185" fontId="7" fillId="0" borderId="36" xfId="0" applyNumberFormat="1" applyFont="1" applyFill="1" applyBorder="1" applyAlignment="1" applyProtection="1">
      <alignment horizontal="center" vertical="center" wrapText="1"/>
      <protection locked="0"/>
    </xf>
    <xf numFmtId="185" fontId="7" fillId="0" borderId="36" xfId="24013" applyNumberFormat="1" applyFont="1" applyFill="1" applyBorder="1" applyAlignment="1" applyProtection="1">
      <alignment horizontal="center" vertical="center"/>
      <protection locked="0"/>
    </xf>
    <xf numFmtId="185" fontId="7" fillId="0" borderId="36" xfId="28581" applyNumberFormat="1" applyFont="1" applyFill="1" applyBorder="1" applyAlignment="1" applyProtection="1">
      <alignment horizontal="center" vertical="center"/>
      <protection locked="0"/>
    </xf>
    <xf numFmtId="185" fontId="7" fillId="0" borderId="36" xfId="4" applyNumberFormat="1" applyFont="1" applyFill="1" applyBorder="1" applyAlignment="1" applyProtection="1">
      <alignment horizontal="center" vertical="center" wrapText="1"/>
      <protection locked="0"/>
    </xf>
    <xf numFmtId="185" fontId="7" fillId="0" borderId="36" xfId="4" applyNumberFormat="1" applyFont="1" applyFill="1" applyBorder="1" applyAlignment="1" applyProtection="1">
      <alignment horizontal="center" vertical="center" wrapText="1"/>
    </xf>
    <xf numFmtId="185" fontId="8" fillId="32" borderId="36" xfId="0" applyNumberFormat="1" applyFont="1" applyFill="1" applyBorder="1" applyAlignment="1" applyProtection="1">
      <alignment horizontal="center" vertical="center" wrapText="1"/>
    </xf>
    <xf numFmtId="185" fontId="7" fillId="33" borderId="36" xfId="0" applyNumberFormat="1" applyFont="1" applyFill="1" applyBorder="1" applyAlignment="1" applyProtection="1">
      <alignment horizontal="center" vertical="center" wrapText="1"/>
      <protection locked="0"/>
    </xf>
    <xf numFmtId="185" fontId="7" fillId="0" borderId="36" xfId="0" applyNumberFormat="1" applyFont="1" applyFill="1" applyBorder="1" applyAlignment="1" applyProtection="1">
      <alignment horizontal="left" vertical="center" wrapText="1"/>
      <protection locked="0"/>
    </xf>
    <xf numFmtId="185" fontId="12" fillId="0" borderId="36" xfId="23211" applyNumberFormat="1" applyFont="1" applyFill="1" applyBorder="1" applyAlignment="1" applyProtection="1">
      <alignment horizontal="left" vertical="center" wrapText="1"/>
      <protection locked="0"/>
    </xf>
    <xf numFmtId="185" fontId="7" fillId="0" borderId="36" xfId="4" applyNumberFormat="1" applyFont="1" applyFill="1" applyBorder="1" applyAlignment="1" applyProtection="1">
      <alignment horizontal="left" vertical="center" wrapText="1"/>
      <protection locked="0"/>
    </xf>
    <xf numFmtId="185" fontId="8" fillId="0" borderId="36" xfId="0" applyNumberFormat="1" applyFont="1" applyFill="1" applyBorder="1" applyAlignment="1" applyProtection="1">
      <alignment horizontal="left" vertical="center" wrapText="1"/>
    </xf>
    <xf numFmtId="185" fontId="8" fillId="32" borderId="36" xfId="0" applyNumberFormat="1" applyFont="1" applyFill="1" applyBorder="1" applyAlignment="1" applyProtection="1">
      <alignment horizontal="left" vertical="center" wrapText="1"/>
    </xf>
    <xf numFmtId="185" fontId="7" fillId="0" borderId="0" xfId="0" applyNumberFormat="1" applyFont="1" applyFill="1" applyAlignment="1" applyProtection="1">
      <alignment horizontal="left" vertical="center" wrapText="1"/>
      <protection locked="0"/>
    </xf>
    <xf numFmtId="0" fontId="7" fillId="0" borderId="0" xfId="0" applyFont="1" applyFill="1" applyAlignment="1" applyProtection="1">
      <alignment horizontal="left" vertical="center" wrapText="1"/>
      <protection locked="0"/>
    </xf>
    <xf numFmtId="43" fontId="8" fillId="0" borderId="36" xfId="4" applyFont="1" applyFill="1" applyBorder="1" applyAlignment="1" applyProtection="1">
      <alignment horizontal="center" vertical="center" wrapText="1"/>
    </xf>
    <xf numFmtId="0" fontId="8" fillId="0" borderId="36" xfId="0" applyFont="1" applyFill="1" applyBorder="1" applyAlignment="1" applyProtection="1">
      <alignment horizontal="center" vertical="center" wrapText="1"/>
    </xf>
    <xf numFmtId="187" fontId="8" fillId="0" borderId="0" xfId="0" applyNumberFormat="1" applyFont="1" applyFill="1" applyBorder="1" applyAlignment="1" applyProtection="1">
      <alignment horizontal="center" vertical="center" wrapText="1"/>
    </xf>
    <xf numFmtId="187" fontId="8" fillId="0" borderId="36" xfId="0" applyNumberFormat="1" applyFont="1" applyFill="1" applyBorder="1" applyAlignment="1" applyProtection="1">
      <alignment horizontal="center" vertical="center" wrapText="1"/>
    </xf>
    <xf numFmtId="0" fontId="7" fillId="0" borderId="36" xfId="0" applyFont="1" applyFill="1" applyBorder="1" applyAlignment="1" applyProtection="1">
      <alignment horizontal="center" vertical="center" wrapText="1"/>
    </xf>
    <xf numFmtId="185" fontId="8" fillId="0" borderId="36" xfId="4" applyNumberFormat="1" applyFont="1" applyFill="1" applyBorder="1" applyAlignment="1" applyProtection="1">
      <alignment horizontal="center" vertical="center" wrapText="1"/>
    </xf>
    <xf numFmtId="185" fontId="8" fillId="0" borderId="36" xfId="14274" applyNumberFormat="1" applyFont="1" applyFill="1" applyBorder="1" applyAlignment="1" applyProtection="1">
      <alignment horizontal="center" vertical="center" wrapText="1"/>
      <protection locked="0"/>
    </xf>
    <xf numFmtId="0" fontId="0" fillId="0" borderId="0" xfId="0" applyFont="1" applyFill="1" applyAlignment="1">
      <alignment vertical="center" wrapText="1"/>
    </xf>
    <xf numFmtId="0" fontId="0" fillId="0" borderId="0" xfId="0" applyFont="1" applyFill="1" applyAlignment="1">
      <alignment horizontal="right" vertical="center" wrapText="1"/>
    </xf>
    <xf numFmtId="0" fontId="0" fillId="0" borderId="0" xfId="0" applyFont="1" applyFill="1" applyAlignment="1">
      <alignment horizontal="left" vertical="center" wrapText="1"/>
    </xf>
    <xf numFmtId="185" fontId="0" fillId="0" borderId="0" xfId="0" applyNumberFormat="1" applyFont="1" applyFill="1" applyAlignment="1">
      <alignment horizontal="right" vertical="center" wrapText="1"/>
    </xf>
    <xf numFmtId="0" fontId="10" fillId="0" borderId="0" xfId="0" applyFont="1" applyFill="1" applyAlignment="1">
      <alignment horizontal="center" vertical="center" wrapText="1"/>
    </xf>
    <xf numFmtId="185" fontId="8" fillId="0" borderId="0" xfId="0" applyNumberFormat="1" applyFont="1" applyFill="1" applyBorder="1" applyAlignment="1" applyProtection="1">
      <alignment horizontal="center" vertical="center" wrapText="1"/>
    </xf>
    <xf numFmtId="0" fontId="10" fillId="0" borderId="0" xfId="0" applyFont="1" applyFill="1" applyAlignment="1">
      <alignment vertical="center" wrapText="1"/>
    </xf>
    <xf numFmtId="185" fontId="7" fillId="0" borderId="36" xfId="24013" applyNumberFormat="1" applyFont="1" applyFill="1" applyBorder="1" applyAlignment="1" applyProtection="1">
      <alignment horizontal="right" vertical="center" wrapText="1"/>
      <protection locked="0"/>
    </xf>
    <xf numFmtId="185" fontId="7" fillId="0" borderId="36" xfId="24013" applyNumberFormat="1" applyFont="1" applyFill="1" applyBorder="1" applyAlignment="1" applyProtection="1">
      <alignment horizontal="left" vertical="center" wrapText="1"/>
      <protection locked="0"/>
    </xf>
    <xf numFmtId="0" fontId="7" fillId="0" borderId="36" xfId="28581" applyFont="1" applyFill="1" applyBorder="1" applyAlignment="1" applyProtection="1">
      <alignment horizontal="center" vertical="center" wrapText="1"/>
    </xf>
    <xf numFmtId="0" fontId="7" fillId="0" borderId="36" xfId="27252" applyFont="1" applyFill="1" applyBorder="1" applyAlignment="1" applyProtection="1">
      <alignment horizontal="center" vertical="center" wrapText="1"/>
    </xf>
    <xf numFmtId="185" fontId="85" fillId="0" borderId="36" xfId="24013" applyNumberFormat="1" applyFont="1" applyFill="1" applyBorder="1" applyAlignment="1" applyProtection="1">
      <alignment horizontal="left" vertical="center" wrapText="1"/>
      <protection locked="0"/>
    </xf>
    <xf numFmtId="185" fontId="85" fillId="0" borderId="36" xfId="0" applyNumberFormat="1" applyFont="1" applyFill="1" applyBorder="1" applyAlignment="1" applyProtection="1">
      <alignment horizontal="left" vertical="center" wrapText="1"/>
      <protection locked="0"/>
    </xf>
    <xf numFmtId="185" fontId="7" fillId="33" borderId="36" xfId="24013" applyNumberFormat="1" applyFont="1" applyFill="1" applyBorder="1" applyAlignment="1" applyProtection="1">
      <alignment horizontal="left" vertical="center" wrapText="1"/>
      <protection locked="0"/>
    </xf>
    <xf numFmtId="185" fontId="7" fillId="33" borderId="36" xfId="0" applyNumberFormat="1" applyFont="1" applyFill="1" applyBorder="1" applyAlignment="1" applyProtection="1">
      <alignment horizontal="left" vertical="center" wrapText="1"/>
      <protection locked="0"/>
    </xf>
    <xf numFmtId="185" fontId="7" fillId="34" borderId="36" xfId="4" applyNumberFormat="1" applyFont="1" applyFill="1" applyBorder="1" applyAlignment="1" applyProtection="1">
      <alignment horizontal="left" vertical="center" wrapText="1"/>
      <protection locked="0"/>
    </xf>
    <xf numFmtId="185" fontId="7" fillId="34" borderId="36" xfId="0" applyNumberFormat="1" applyFont="1" applyFill="1" applyBorder="1" applyAlignment="1" applyProtection="1">
      <alignment horizontal="left" vertical="center" wrapText="1"/>
      <protection locked="0"/>
    </xf>
    <xf numFmtId="0" fontId="13" fillId="0" borderId="0" xfId="0" applyFont="1" applyAlignment="1">
      <alignment horizontal="center" vertical="center"/>
    </xf>
    <xf numFmtId="0" fontId="2" fillId="0" borderId="0" xfId="0" applyFont="1" applyAlignment="1">
      <alignment horizontal="left" vertical="center"/>
    </xf>
    <xf numFmtId="0" fontId="1" fillId="0" borderId="0" xfId="15705" applyFont="1" applyFill="1" applyAlignment="1">
      <alignment horizontal="left" vertical="center"/>
    </xf>
    <xf numFmtId="0" fontId="13" fillId="0" borderId="0" xfId="15705" applyFont="1" applyFill="1" applyAlignment="1">
      <alignment horizontal="center" vertical="center" wrapText="1"/>
    </xf>
    <xf numFmtId="0" fontId="23" fillId="0" borderId="36" xfId="15705" applyFont="1" applyFill="1" applyBorder="1" applyAlignment="1">
      <alignment horizontal="left" vertical="center"/>
    </xf>
    <xf numFmtId="0" fontId="1" fillId="0" borderId="38" xfId="27149" applyFont="1" applyFill="1" applyBorder="1" applyAlignment="1">
      <alignment vertical="center"/>
    </xf>
    <xf numFmtId="0" fontId="1" fillId="0" borderId="39" xfId="27149" applyFont="1" applyFill="1" applyBorder="1" applyAlignment="1">
      <alignment vertical="center"/>
    </xf>
    <xf numFmtId="0" fontId="1" fillId="0" borderId="0" xfId="28580" applyFont="1" applyFill="1" applyBorder="1" applyAlignment="1">
      <alignment horizontal="left" vertical="center"/>
    </xf>
    <xf numFmtId="0" fontId="13" fillId="0" borderId="0" xfId="15712" applyFont="1" applyFill="1" applyBorder="1" applyAlignment="1">
      <alignment horizontal="center" vertical="center" wrapText="1"/>
    </xf>
    <xf numFmtId="0" fontId="2" fillId="0" borderId="36" xfId="15705" applyFont="1" applyFill="1" applyBorder="1" applyAlignment="1">
      <alignment horizontal="center" vertical="center"/>
    </xf>
    <xf numFmtId="49" fontId="1" fillId="0" borderId="36" xfId="15705" applyNumberFormat="1" applyFont="1" applyFill="1" applyBorder="1" applyAlignment="1">
      <alignment horizontal="center" vertical="center"/>
    </xf>
    <xf numFmtId="0" fontId="1" fillId="0" borderId="36" xfId="27149" applyFont="1" applyFill="1" applyBorder="1" applyAlignment="1">
      <alignment horizontal="center" vertical="center" wrapText="1"/>
    </xf>
    <xf numFmtId="0" fontId="23" fillId="0" borderId="36" xfId="27017" applyFont="1" applyFill="1" applyBorder="1" applyAlignment="1">
      <alignment horizontal="center" vertical="center"/>
    </xf>
    <xf numFmtId="0" fontId="12" fillId="0" borderId="0" xfId="28579" applyFont="1" applyFill="1" applyBorder="1" applyAlignment="1">
      <alignment horizontal="left" vertical="center"/>
    </xf>
    <xf numFmtId="0" fontId="22" fillId="0" borderId="0" xfId="15705" applyFont="1" applyFill="1" applyBorder="1" applyAlignment="1">
      <alignment horizontal="center" vertical="center" wrapText="1"/>
    </xf>
    <xf numFmtId="0" fontId="23" fillId="0" borderId="36" xfId="15705" applyFont="1" applyFill="1" applyBorder="1" applyAlignment="1">
      <alignment horizontal="center" vertical="center"/>
    </xf>
    <xf numFmtId="0" fontId="12" fillId="0" borderId="36" xfId="21737" applyFont="1" applyFill="1" applyBorder="1" applyAlignment="1">
      <alignment horizontal="center" vertical="center"/>
    </xf>
    <xf numFmtId="0" fontId="7" fillId="0" borderId="0" xfId="0" applyFont="1" applyFill="1" applyAlignment="1" applyProtection="1">
      <alignment horizontal="left" vertical="center"/>
      <protection locked="0"/>
    </xf>
    <xf numFmtId="43" fontId="7" fillId="0" borderId="0" xfId="4" applyFont="1" applyFill="1" applyAlignment="1" applyProtection="1">
      <alignment horizontal="left" vertical="center"/>
      <protection locked="0"/>
    </xf>
    <xf numFmtId="0" fontId="7" fillId="0" borderId="0" xfId="0" applyFont="1" applyFill="1" applyAlignment="1" applyProtection="1">
      <alignment horizontal="left" vertical="center" wrapText="1"/>
      <protection locked="0"/>
    </xf>
    <xf numFmtId="0" fontId="7" fillId="0" borderId="0" xfId="0" applyFont="1" applyFill="1" applyAlignment="1">
      <alignment horizontal="left" vertical="center"/>
    </xf>
    <xf numFmtId="43" fontId="7" fillId="0" borderId="0" xfId="4" applyFont="1" applyFill="1" applyBorder="1" applyAlignment="1" applyProtection="1">
      <alignment horizontal="right" vertical="center"/>
    </xf>
    <xf numFmtId="43" fontId="7" fillId="0" borderId="0" xfId="4" applyFont="1" applyFill="1" applyAlignment="1" applyProtection="1">
      <alignment horizontal="left" vertical="center"/>
    </xf>
    <xf numFmtId="0" fontId="13" fillId="0" borderId="0" xfId="0" applyFont="1" applyFill="1" applyAlignment="1" applyProtection="1">
      <alignment horizontal="center" vertical="center" wrapText="1"/>
      <protection locked="0"/>
    </xf>
    <xf numFmtId="0" fontId="13" fillId="0" borderId="0" xfId="0" applyFont="1" applyFill="1" applyAlignment="1" applyProtection="1">
      <alignment horizontal="left" vertical="center" wrapText="1"/>
      <protection locked="0"/>
    </xf>
    <xf numFmtId="0" fontId="13" fillId="0" borderId="0" xfId="0" applyFont="1" applyFill="1" applyAlignment="1" applyProtection="1">
      <alignment horizontal="right" vertical="center" wrapText="1"/>
      <protection locked="0"/>
    </xf>
    <xf numFmtId="185" fontId="8" fillId="0" borderId="36" xfId="0" applyNumberFormat="1" applyFont="1" applyFill="1" applyBorder="1" applyAlignment="1" applyProtection="1">
      <alignment horizontal="center" vertical="center"/>
      <protection locked="0"/>
    </xf>
    <xf numFmtId="43" fontId="8" fillId="0" borderId="36" xfId="4" applyFont="1" applyFill="1" applyBorder="1" applyAlignment="1" applyProtection="1">
      <alignment horizontal="center" vertical="center" wrapText="1"/>
    </xf>
    <xf numFmtId="43" fontId="8" fillId="0" borderId="36" xfId="4" applyFont="1" applyFill="1" applyBorder="1" applyAlignment="1" applyProtection="1">
      <alignment horizontal="center" vertical="center"/>
    </xf>
    <xf numFmtId="43" fontId="8" fillId="0" borderId="0" xfId="4" applyFont="1" applyFill="1" applyAlignment="1" applyProtection="1">
      <alignment horizontal="center" vertical="center"/>
    </xf>
    <xf numFmtId="43" fontId="8" fillId="0" borderId="0" xfId="4" applyFont="1" applyFill="1" applyBorder="1" applyAlignment="1" applyProtection="1">
      <alignment horizontal="center" vertical="center" wrapText="1"/>
    </xf>
    <xf numFmtId="43" fontId="8" fillId="0" borderId="37" xfId="4" applyFont="1" applyFill="1" applyBorder="1" applyAlignment="1" applyProtection="1">
      <alignment horizontal="center" vertical="center" wrapText="1"/>
    </xf>
    <xf numFmtId="0" fontId="8" fillId="0" borderId="36" xfId="0" applyFont="1" applyFill="1" applyBorder="1" applyAlignment="1" applyProtection="1">
      <alignment horizontal="center" vertical="center" wrapText="1"/>
    </xf>
    <xf numFmtId="0" fontId="7" fillId="0" borderId="0" xfId="0" applyFont="1" applyFill="1" applyAlignment="1">
      <alignment vertical="center"/>
    </xf>
    <xf numFmtId="187" fontId="8" fillId="0" borderId="0" xfId="0" applyNumberFormat="1" applyFont="1" applyFill="1" applyBorder="1" applyAlignment="1" applyProtection="1">
      <alignment horizontal="center" vertical="center" wrapText="1"/>
    </xf>
    <xf numFmtId="187" fontId="8" fillId="0" borderId="37" xfId="0" applyNumberFormat="1" applyFont="1" applyFill="1" applyBorder="1" applyAlignment="1" applyProtection="1">
      <alignment horizontal="center" vertical="center" wrapText="1"/>
    </xf>
    <xf numFmtId="187" fontId="8" fillId="0" borderId="36" xfId="0" applyNumberFormat="1" applyFont="1" applyFill="1" applyBorder="1" applyAlignment="1" applyProtection="1">
      <alignment horizontal="center" vertical="center" wrapText="1"/>
    </xf>
    <xf numFmtId="0" fontId="7" fillId="0" borderId="0" xfId="0" applyFont="1" applyFill="1" applyAlignment="1" applyProtection="1">
      <alignment vertical="center" wrapText="1"/>
      <protection locked="0"/>
    </xf>
    <xf numFmtId="0" fontId="7" fillId="0" borderId="36" xfId="0" applyFont="1" applyFill="1" applyBorder="1" applyAlignment="1" applyProtection="1">
      <alignment horizontal="center" vertical="center" wrapText="1"/>
    </xf>
    <xf numFmtId="185" fontId="8" fillId="0" borderId="40" xfId="14274" applyNumberFormat="1" applyFont="1" applyFill="1" applyBorder="1" applyAlignment="1" applyProtection="1">
      <alignment horizontal="center" vertical="center" wrapText="1"/>
      <protection locked="0"/>
    </xf>
    <xf numFmtId="185" fontId="8" fillId="0" borderId="18" xfId="14274" applyNumberFormat="1" applyFont="1" applyFill="1" applyBorder="1" applyAlignment="1" applyProtection="1">
      <alignment horizontal="center" vertical="center" wrapText="1"/>
      <protection locked="0"/>
    </xf>
    <xf numFmtId="185" fontId="8" fillId="0" borderId="8" xfId="14274" applyNumberFormat="1" applyFont="1" applyFill="1" applyBorder="1" applyAlignment="1" applyProtection="1">
      <alignment horizontal="center" vertical="center" wrapText="1"/>
      <protection locked="0"/>
    </xf>
    <xf numFmtId="185" fontId="8" fillId="0" borderId="38" xfId="0" applyNumberFormat="1" applyFont="1" applyFill="1" applyBorder="1" applyAlignment="1" applyProtection="1">
      <alignment horizontal="center" vertical="center" wrapText="1"/>
      <protection locked="0"/>
    </xf>
    <xf numFmtId="185" fontId="8" fillId="0" borderId="39" xfId="0" applyNumberFormat="1" applyFont="1" applyFill="1" applyBorder="1" applyAlignment="1" applyProtection="1">
      <alignment horizontal="center" vertical="center" wrapText="1"/>
      <protection locked="0"/>
    </xf>
    <xf numFmtId="185" fontId="8" fillId="0" borderId="37" xfId="0" applyNumberFormat="1" applyFont="1" applyFill="1" applyBorder="1" applyAlignment="1" applyProtection="1">
      <alignment horizontal="center" vertical="center" wrapText="1"/>
      <protection locked="0"/>
    </xf>
    <xf numFmtId="185" fontId="7" fillId="0" borderId="0" xfId="0" applyNumberFormat="1" applyFont="1" applyFill="1" applyBorder="1" applyAlignment="1" applyProtection="1">
      <alignment horizontal="right" vertical="center"/>
    </xf>
    <xf numFmtId="0" fontId="0" fillId="0" borderId="0" xfId="0" applyFont="1" applyFill="1" applyAlignment="1" applyProtection="1">
      <alignment horizontal="right" vertical="center"/>
    </xf>
    <xf numFmtId="185" fontId="7" fillId="0" borderId="10" xfId="0" applyNumberFormat="1" applyFont="1" applyFill="1" applyBorder="1" applyAlignment="1" applyProtection="1">
      <alignment horizontal="center" vertical="center" wrapText="1"/>
      <protection locked="0"/>
    </xf>
    <xf numFmtId="185" fontId="7" fillId="0" borderId="11" xfId="0" applyNumberFormat="1" applyFont="1" applyFill="1" applyBorder="1" applyAlignment="1" applyProtection="1">
      <alignment horizontal="center" vertical="center" wrapText="1"/>
      <protection locked="0"/>
    </xf>
    <xf numFmtId="185" fontId="7" fillId="0" borderId="16" xfId="0" applyNumberFormat="1" applyFont="1" applyFill="1" applyBorder="1" applyAlignment="1" applyProtection="1">
      <alignment horizontal="center" vertical="center" wrapText="1"/>
      <protection locked="0"/>
    </xf>
    <xf numFmtId="43" fontId="7" fillId="2" borderId="1" xfId="4" applyFont="1" applyFill="1" applyBorder="1" applyAlignment="1" applyProtection="1">
      <alignment horizontal="center" vertical="center" wrapText="1"/>
    </xf>
    <xf numFmtId="43" fontId="7" fillId="0" borderId="10" xfId="4" applyFont="1" applyFill="1" applyBorder="1" applyAlignment="1" applyProtection="1">
      <alignment horizontal="center" vertical="center" wrapText="1"/>
    </xf>
    <xf numFmtId="43" fontId="7" fillId="0" borderId="11" xfId="4" applyFont="1" applyFill="1" applyBorder="1" applyAlignment="1" applyProtection="1">
      <alignment horizontal="center" vertical="center" wrapText="1"/>
    </xf>
    <xf numFmtId="43" fontId="7" fillId="0" borderId="16" xfId="4" applyFont="1" applyFill="1" applyBorder="1" applyAlignment="1" applyProtection="1">
      <alignment horizontal="center" vertical="center" wrapText="1"/>
    </xf>
    <xf numFmtId="0" fontId="7" fillId="0" borderId="2" xfId="0" applyFont="1" applyFill="1" applyBorder="1" applyAlignment="1" applyProtection="1">
      <alignment horizontal="center" vertical="center" wrapText="1"/>
    </xf>
    <xf numFmtId="0" fontId="7" fillId="0" borderId="18" xfId="0" applyFont="1" applyFill="1" applyBorder="1" applyAlignment="1" applyProtection="1">
      <alignment horizontal="center" vertical="center" wrapText="1"/>
    </xf>
    <xf numFmtId="0" fontId="0" fillId="0" borderId="8" xfId="0" applyFont="1" applyFill="1" applyBorder="1" applyAlignment="1" applyProtection="1">
      <alignment horizontal="center" vertical="center" wrapText="1"/>
    </xf>
    <xf numFmtId="187" fontId="7" fillId="0" borderId="19" xfId="0" applyNumberFormat="1" applyFont="1" applyFill="1" applyBorder="1" applyAlignment="1" applyProtection="1">
      <alignment horizontal="center" vertical="center" wrapText="1"/>
    </xf>
    <xf numFmtId="187" fontId="7" fillId="0" borderId="15" xfId="0" applyNumberFormat="1" applyFont="1" applyFill="1" applyBorder="1" applyAlignment="1" applyProtection="1">
      <alignment horizontal="center" vertical="center" wrapText="1"/>
    </xf>
    <xf numFmtId="187" fontId="7" fillId="0" borderId="0" xfId="0" applyNumberFormat="1" applyFont="1" applyFill="1" applyBorder="1" applyAlignment="1" applyProtection="1">
      <alignment horizontal="center" vertical="center" wrapText="1"/>
    </xf>
    <xf numFmtId="0" fontId="7" fillId="0" borderId="8" xfId="0" applyFont="1" applyFill="1" applyBorder="1" applyAlignment="1" applyProtection="1">
      <alignment horizontal="center" vertical="center" wrapText="1"/>
    </xf>
    <xf numFmtId="43" fontId="7" fillId="2" borderId="2" xfId="4" applyFont="1" applyFill="1" applyBorder="1" applyAlignment="1" applyProtection="1">
      <alignment horizontal="center" vertical="center" wrapText="1"/>
    </xf>
    <xf numFmtId="43" fontId="7" fillId="2" borderId="8" xfId="4" applyFont="1" applyFill="1" applyBorder="1" applyAlignment="1" applyProtection="1">
      <alignment horizontal="center" vertical="center" wrapText="1"/>
    </xf>
    <xf numFmtId="185" fontId="7" fillId="0" borderId="0" xfId="0" applyNumberFormat="1" applyFont="1" applyFill="1" applyBorder="1" applyAlignment="1" applyProtection="1">
      <alignment horizontal="right" vertical="center" wrapText="1"/>
    </xf>
    <xf numFmtId="0" fontId="0" fillId="0" borderId="0" xfId="0" applyFont="1" applyFill="1" applyAlignment="1" applyProtection="1">
      <alignment horizontal="right" vertical="center" wrapText="1"/>
    </xf>
    <xf numFmtId="0" fontId="13" fillId="0" borderId="15" xfId="0" applyFont="1" applyFill="1" applyBorder="1" applyAlignment="1" applyProtection="1">
      <alignment horizontal="center" vertical="center" wrapText="1"/>
      <protection locked="0"/>
    </xf>
    <xf numFmtId="0" fontId="13" fillId="0" borderId="15" xfId="0" applyFont="1" applyFill="1" applyBorder="1" applyAlignment="1" applyProtection="1">
      <alignment horizontal="right" vertical="center" wrapText="1"/>
      <protection locked="0"/>
    </xf>
    <xf numFmtId="188" fontId="8" fillId="0" borderId="36" xfId="0" applyNumberFormat="1" applyFont="1" applyFill="1" applyBorder="1" applyAlignment="1" applyProtection="1">
      <alignment horizontal="center" vertical="center" wrapText="1"/>
    </xf>
    <xf numFmtId="43" fontId="8" fillId="0" borderId="40" xfId="4" applyFont="1" applyFill="1" applyBorder="1" applyAlignment="1" applyProtection="1">
      <alignment horizontal="center" vertical="center" wrapText="1"/>
      <protection locked="0"/>
    </xf>
    <xf numFmtId="43" fontId="8" fillId="0" borderId="18" xfId="4" applyFont="1" applyFill="1" applyBorder="1" applyAlignment="1" applyProtection="1">
      <alignment horizontal="center" vertical="center" wrapText="1"/>
      <protection locked="0"/>
    </xf>
    <xf numFmtId="43" fontId="8" fillId="0" borderId="8" xfId="4" applyFont="1" applyFill="1" applyBorder="1" applyAlignment="1" applyProtection="1">
      <alignment horizontal="center" vertical="center" wrapText="1"/>
      <protection locked="0"/>
    </xf>
    <xf numFmtId="185" fontId="8" fillId="0" borderId="36" xfId="4" applyNumberFormat="1" applyFont="1" applyFill="1" applyBorder="1" applyAlignment="1" applyProtection="1">
      <alignment horizontal="center" vertical="center" wrapText="1"/>
    </xf>
    <xf numFmtId="187" fontId="8" fillId="0" borderId="17" xfId="0" applyNumberFormat="1" applyFont="1" applyFill="1" applyBorder="1" applyAlignment="1" applyProtection="1">
      <alignment horizontal="center" vertical="center" wrapText="1"/>
    </xf>
    <xf numFmtId="187" fontId="8" fillId="0" borderId="0" xfId="0" applyNumberFormat="1" applyFont="1" applyFill="1" applyAlignment="1" applyProtection="1">
      <alignment horizontal="center" vertical="center" wrapText="1"/>
    </xf>
    <xf numFmtId="187" fontId="8" fillId="0" borderId="19" xfId="0" applyNumberFormat="1" applyFont="1" applyFill="1" applyBorder="1" applyAlignment="1" applyProtection="1">
      <alignment horizontal="center" vertical="center" wrapText="1"/>
    </xf>
    <xf numFmtId="187" fontId="8" fillId="0" borderId="15" xfId="0" applyNumberFormat="1" applyFont="1" applyFill="1" applyBorder="1" applyAlignment="1" applyProtection="1">
      <alignment horizontal="center" vertical="center" wrapText="1"/>
    </xf>
    <xf numFmtId="185" fontId="8" fillId="0" borderId="39" xfId="0" applyNumberFormat="1" applyFont="1" applyFill="1" applyBorder="1" applyAlignment="1" applyProtection="1">
      <alignment horizontal="right" vertical="center" wrapText="1"/>
      <protection locked="0"/>
    </xf>
    <xf numFmtId="185" fontId="8" fillId="0" borderId="37" xfId="0" applyNumberFormat="1" applyFont="1" applyFill="1" applyBorder="1" applyAlignment="1" applyProtection="1">
      <alignment horizontal="right" vertical="center" wrapText="1"/>
      <protection locked="0"/>
    </xf>
    <xf numFmtId="0" fontId="13" fillId="0" borderId="22" xfId="0" applyFont="1" applyFill="1" applyBorder="1" applyAlignment="1" applyProtection="1">
      <alignment horizontal="center" vertical="center"/>
      <protection locked="0"/>
    </xf>
    <xf numFmtId="0" fontId="13" fillId="0" borderId="8" xfId="0" applyFont="1" applyFill="1" applyBorder="1" applyAlignment="1" applyProtection="1">
      <alignment horizontal="center" vertical="center"/>
      <protection locked="0"/>
    </xf>
    <xf numFmtId="0" fontId="13" fillId="0" borderId="19" xfId="0" applyFont="1" applyFill="1" applyBorder="1" applyAlignment="1" applyProtection="1">
      <alignment horizontal="center" vertical="center"/>
      <protection locked="0"/>
    </xf>
    <xf numFmtId="43" fontId="7" fillId="2" borderId="10" xfId="4" applyFont="1" applyFill="1" applyBorder="1" applyAlignment="1" applyProtection="1">
      <alignment horizontal="center" vertical="center"/>
    </xf>
    <xf numFmtId="43" fontId="7" fillId="2" borderId="11" xfId="4" applyFont="1" applyFill="1" applyBorder="1" applyAlignment="1" applyProtection="1">
      <alignment horizontal="center" vertical="center"/>
    </xf>
    <xf numFmtId="43" fontId="7" fillId="2" borderId="16" xfId="4" applyFont="1" applyFill="1" applyBorder="1" applyAlignment="1" applyProtection="1">
      <alignment horizontal="center" vertical="center"/>
    </xf>
    <xf numFmtId="187" fontId="7" fillId="0" borderId="17" xfId="0" applyNumberFormat="1" applyFont="1" applyFill="1" applyBorder="1" applyAlignment="1" applyProtection="1">
      <alignment horizontal="center" vertical="center"/>
    </xf>
    <xf numFmtId="187" fontId="7" fillId="0" borderId="0" xfId="0" applyNumberFormat="1" applyFont="1" applyFill="1" applyBorder="1" applyAlignment="1" applyProtection="1">
      <alignment horizontal="center" vertical="center"/>
    </xf>
    <xf numFmtId="187" fontId="7" fillId="0" borderId="0" xfId="0" applyNumberFormat="1" applyFont="1" applyFill="1" applyAlignment="1" applyProtection="1">
      <alignment horizontal="center" vertical="center"/>
    </xf>
    <xf numFmtId="0" fontId="7" fillId="0" borderId="2" xfId="0" applyFont="1" applyFill="1" applyBorder="1" applyAlignment="1" applyProtection="1">
      <alignment horizontal="center" vertical="center"/>
    </xf>
    <xf numFmtId="0" fontId="7" fillId="0" borderId="18" xfId="0" applyFont="1" applyFill="1" applyBorder="1" applyAlignment="1" applyProtection="1">
      <alignment horizontal="center" vertical="center"/>
    </xf>
    <xf numFmtId="0" fontId="7" fillId="0" borderId="8" xfId="0" applyFont="1" applyFill="1" applyBorder="1" applyAlignment="1" applyProtection="1">
      <alignment horizontal="center" vertical="center"/>
    </xf>
    <xf numFmtId="188" fontId="7" fillId="2" borderId="2" xfId="0" applyNumberFormat="1" applyFont="1" applyFill="1" applyBorder="1" applyAlignment="1" applyProtection="1">
      <alignment horizontal="center" vertical="center"/>
    </xf>
    <xf numFmtId="0" fontId="7" fillId="2" borderId="8" xfId="0" applyFont="1" applyFill="1" applyBorder="1" applyAlignment="1" applyProtection="1">
      <alignment horizontal="center" vertical="center"/>
    </xf>
    <xf numFmtId="0" fontId="7" fillId="0" borderId="0" xfId="28581" applyFont="1" applyFill="1" applyAlignment="1" applyProtection="1">
      <alignment horizontal="left" vertical="center"/>
      <protection locked="0"/>
    </xf>
    <xf numFmtId="0" fontId="13" fillId="0" borderId="0" xfId="0" applyFont="1" applyFill="1" applyAlignment="1" applyProtection="1">
      <alignment horizontal="center" vertical="center"/>
      <protection locked="0"/>
    </xf>
    <xf numFmtId="187" fontId="8" fillId="0" borderId="17" xfId="0" applyNumberFormat="1" applyFont="1" applyFill="1" applyBorder="1" applyAlignment="1" applyProtection="1">
      <alignment horizontal="center" vertical="center"/>
    </xf>
    <xf numFmtId="187" fontId="8" fillId="0" borderId="0" xfId="0" applyNumberFormat="1" applyFont="1" applyFill="1" applyBorder="1" applyAlignment="1" applyProtection="1">
      <alignment horizontal="center" vertical="center"/>
    </xf>
    <xf numFmtId="187" fontId="8" fillId="0" borderId="0" xfId="0" applyNumberFormat="1" applyFont="1" applyFill="1" applyAlignment="1" applyProtection="1">
      <alignment horizontal="center" vertical="center"/>
    </xf>
    <xf numFmtId="0" fontId="8" fillId="0" borderId="36" xfId="0" applyFont="1" applyFill="1" applyBorder="1" applyAlignment="1" applyProtection="1">
      <alignment horizontal="center" vertical="center"/>
    </xf>
    <xf numFmtId="184" fontId="8" fillId="0" borderId="36" xfId="17239" applyNumberFormat="1" applyFont="1" applyFill="1" applyBorder="1" applyAlignment="1" applyProtection="1">
      <alignment horizontal="center" vertical="center" wrapText="1"/>
    </xf>
    <xf numFmtId="185" fontId="8" fillId="0" borderId="40" xfId="0" applyNumberFormat="1" applyFont="1" applyFill="1" applyBorder="1" applyAlignment="1" applyProtection="1">
      <alignment horizontal="center" vertical="center" wrapText="1"/>
      <protection locked="0"/>
    </xf>
    <xf numFmtId="185" fontId="8" fillId="0" borderId="18" xfId="0" applyNumberFormat="1" applyFont="1" applyFill="1" applyBorder="1" applyAlignment="1" applyProtection="1">
      <alignment horizontal="center" vertical="center" wrapText="1"/>
      <protection locked="0"/>
    </xf>
    <xf numFmtId="185" fontId="8" fillId="0" borderId="8" xfId="0" applyNumberFormat="1" applyFont="1" applyFill="1" applyBorder="1" applyAlignment="1" applyProtection="1">
      <alignment horizontal="center" vertical="center" wrapText="1"/>
      <protection locked="0"/>
    </xf>
    <xf numFmtId="185" fontId="7" fillId="0" borderId="0" xfId="0" applyNumberFormat="1" applyFont="1" applyFill="1" applyBorder="1" applyAlignment="1" applyProtection="1">
      <alignment horizontal="center" vertical="center"/>
    </xf>
    <xf numFmtId="0" fontId="7" fillId="0" borderId="0" xfId="0" applyFont="1" applyFill="1" applyAlignment="1" applyProtection="1">
      <alignment vertical="center"/>
    </xf>
    <xf numFmtId="185" fontId="8" fillId="0" borderId="36" xfId="14274" applyNumberFormat="1" applyFont="1" applyFill="1" applyBorder="1" applyAlignment="1" applyProtection="1">
      <alignment horizontal="center" vertical="center" wrapText="1"/>
      <protection locked="0"/>
    </xf>
    <xf numFmtId="43" fontId="7" fillId="0" borderId="10" xfId="4" applyFont="1" applyFill="1" applyBorder="1" applyAlignment="1" applyProtection="1">
      <alignment horizontal="center" vertical="center" wrapText="1"/>
      <protection locked="0"/>
    </xf>
    <xf numFmtId="43" fontId="7" fillId="0" borderId="11" xfId="4" applyFont="1" applyFill="1" applyBorder="1" applyAlignment="1" applyProtection="1">
      <alignment horizontal="center" vertical="center" wrapText="1"/>
      <protection locked="0"/>
    </xf>
    <xf numFmtId="43" fontId="7" fillId="0" borderId="16" xfId="4" applyFont="1" applyFill="1" applyBorder="1" applyAlignment="1" applyProtection="1">
      <alignment horizontal="center" vertical="center" wrapText="1"/>
      <protection locked="0"/>
    </xf>
    <xf numFmtId="43" fontId="7" fillId="0" borderId="1" xfId="4" applyFont="1" applyFill="1" applyBorder="1" applyAlignment="1" applyProtection="1">
      <alignment horizontal="center" vertical="center" wrapText="1"/>
    </xf>
    <xf numFmtId="0" fontId="7" fillId="0" borderId="21" xfId="0" applyFont="1" applyFill="1" applyBorder="1" applyAlignment="1" applyProtection="1">
      <alignment horizontal="left" vertical="center" wrapText="1"/>
      <protection locked="0"/>
    </xf>
    <xf numFmtId="43" fontId="7" fillId="0" borderId="2" xfId="4" applyFont="1" applyFill="1" applyBorder="1" applyAlignment="1" applyProtection="1">
      <alignment horizontal="center" vertical="center" wrapText="1"/>
    </xf>
    <xf numFmtId="43" fontId="7" fillId="0" borderId="18" xfId="4" applyFont="1" applyFill="1" applyBorder="1" applyAlignment="1" applyProtection="1">
      <alignment horizontal="center" vertical="center" wrapText="1"/>
    </xf>
    <xf numFmtId="43" fontId="0" fillId="0" borderId="8" xfId="4" applyFont="1" applyFill="1" applyBorder="1" applyAlignment="1" applyProtection="1">
      <alignment horizontal="center" vertical="center" wrapText="1"/>
    </xf>
    <xf numFmtId="43" fontId="7" fillId="0" borderId="8" xfId="4" applyFont="1" applyFill="1" applyBorder="1" applyAlignment="1" applyProtection="1">
      <alignment horizontal="center" vertical="center" wrapText="1"/>
    </xf>
    <xf numFmtId="0" fontId="18" fillId="0" borderId="15" xfId="0" applyFont="1" applyFill="1" applyBorder="1" applyAlignment="1" applyProtection="1">
      <alignment horizontal="center" vertical="center" wrapText="1"/>
      <protection locked="0"/>
    </xf>
    <xf numFmtId="43" fontId="8" fillId="0" borderId="10" xfId="4" applyFont="1" applyFill="1" applyBorder="1" applyAlignment="1" applyProtection="1">
      <alignment horizontal="center" vertical="center" wrapText="1"/>
      <protection locked="0"/>
    </xf>
    <xf numFmtId="43" fontId="8" fillId="0" borderId="11" xfId="4" applyFont="1" applyFill="1" applyBorder="1" applyAlignment="1" applyProtection="1">
      <alignment horizontal="center" vertical="center" wrapText="1"/>
      <protection locked="0"/>
    </xf>
    <xf numFmtId="43" fontId="8" fillId="0" borderId="16" xfId="4" applyFont="1" applyFill="1" applyBorder="1" applyAlignment="1" applyProtection="1">
      <alignment horizontal="center" vertical="center" wrapText="1"/>
      <protection locked="0"/>
    </xf>
    <xf numFmtId="43" fontId="8" fillId="0" borderId="1" xfId="4" applyFont="1" applyFill="1" applyBorder="1" applyAlignment="1" applyProtection="1">
      <alignment horizontal="center" vertical="center" wrapText="1"/>
    </xf>
    <xf numFmtId="43" fontId="8" fillId="0" borderId="10" xfId="4" applyFont="1" applyFill="1" applyBorder="1" applyAlignment="1" applyProtection="1">
      <alignment horizontal="center" vertical="center" wrapText="1"/>
    </xf>
    <xf numFmtId="43" fontId="8" fillId="0" borderId="11" xfId="4" applyFont="1" applyFill="1" applyBorder="1" applyAlignment="1" applyProtection="1">
      <alignment horizontal="center" vertical="center" wrapText="1"/>
    </xf>
    <xf numFmtId="43" fontId="8" fillId="0" borderId="16" xfId="4" applyFont="1" applyFill="1" applyBorder="1" applyAlignment="1" applyProtection="1">
      <alignment horizontal="center" vertical="center" wrapText="1"/>
    </xf>
    <xf numFmtId="0" fontId="8" fillId="0" borderId="2" xfId="0" applyFont="1" applyFill="1" applyBorder="1" applyAlignment="1" applyProtection="1">
      <alignment horizontal="center" vertical="center" wrapText="1"/>
    </xf>
    <xf numFmtId="0" fontId="8" fillId="0" borderId="18" xfId="0" applyFont="1" applyFill="1" applyBorder="1" applyAlignment="1" applyProtection="1">
      <alignment horizontal="center" vertical="center" wrapText="1"/>
    </xf>
    <xf numFmtId="43" fontId="8" fillId="0" borderId="2" xfId="4" applyFont="1" applyFill="1" applyBorder="1" applyAlignment="1" applyProtection="1">
      <alignment horizontal="center" vertical="center" wrapText="1"/>
    </xf>
    <xf numFmtId="43" fontId="8" fillId="0" borderId="18" xfId="4" applyFont="1" applyFill="1" applyBorder="1" applyAlignment="1" applyProtection="1">
      <alignment horizontal="center" vertical="center" wrapText="1"/>
    </xf>
    <xf numFmtId="0" fontId="8" fillId="0" borderId="1" xfId="0" applyFont="1" applyFill="1" applyBorder="1" applyAlignment="1" applyProtection="1">
      <alignment horizontal="center" vertical="center" wrapText="1"/>
    </xf>
    <xf numFmtId="0" fontId="4" fillId="0" borderId="0" xfId="0" applyFont="1" applyFill="1" applyAlignment="1" applyProtection="1">
      <alignment horizontal="left" vertical="center"/>
      <protection locked="0"/>
    </xf>
    <xf numFmtId="0" fontId="0" fillId="0" borderId="0" xfId="0" applyFont="1" applyFill="1" applyAlignment="1" applyProtection="1">
      <alignment vertical="center"/>
    </xf>
    <xf numFmtId="0" fontId="10" fillId="0" borderId="15" xfId="0" applyFont="1" applyFill="1" applyBorder="1" applyAlignment="1" applyProtection="1">
      <alignment horizontal="center" vertical="center" wrapText="1"/>
      <protection locked="0"/>
    </xf>
    <xf numFmtId="0" fontId="14" fillId="0" borderId="15" xfId="0" applyFont="1" applyFill="1" applyBorder="1" applyAlignment="1" applyProtection="1">
      <alignment horizontal="center" vertical="center"/>
      <protection locked="0"/>
    </xf>
    <xf numFmtId="185" fontId="4" fillId="0" borderId="1" xfId="24013" applyNumberFormat="1" applyFont="1" applyFill="1" applyBorder="1" applyAlignment="1" applyProtection="1">
      <alignment horizontal="center" vertical="center"/>
    </xf>
    <xf numFmtId="185" fontId="4" fillId="0" borderId="1" xfId="24013" applyNumberFormat="1" applyFont="1" applyFill="1" applyBorder="1" applyAlignment="1" applyProtection="1">
      <alignment horizontal="center" vertical="center" wrapText="1"/>
    </xf>
    <xf numFmtId="43" fontId="4" fillId="0" borderId="1" xfId="4" applyFont="1" applyFill="1" applyBorder="1" applyAlignment="1" applyProtection="1">
      <alignment horizontal="center" vertical="center" wrapText="1"/>
      <protection locked="0"/>
    </xf>
    <xf numFmtId="43" fontId="4" fillId="0" borderId="1" xfId="4" applyFont="1" applyFill="1" applyBorder="1" applyAlignment="1" applyProtection="1">
      <alignment horizontal="center" vertical="center" wrapText="1"/>
    </xf>
    <xf numFmtId="0" fontId="4" fillId="0" borderId="1" xfId="28579" applyFont="1" applyFill="1" applyBorder="1" applyAlignment="1" applyProtection="1">
      <alignment horizontal="center" vertical="center" wrapText="1"/>
    </xf>
    <xf numFmtId="0" fontId="7" fillId="0" borderId="0" xfId="13445" applyFont="1" applyFill="1" applyAlignment="1">
      <alignment horizontal="left" vertical="center" wrapText="1"/>
    </xf>
    <xf numFmtId="0" fontId="7" fillId="0" borderId="0" xfId="0" applyFont="1" applyFill="1" applyAlignment="1">
      <alignment horizontal="left" vertical="center" wrapText="1"/>
    </xf>
    <xf numFmtId="0" fontId="13" fillId="0" borderId="0" xfId="13445" applyFont="1" applyFill="1" applyAlignment="1">
      <alignment horizontal="center" vertical="center" wrapText="1"/>
    </xf>
    <xf numFmtId="0" fontId="83" fillId="0" borderId="0" xfId="0" applyFont="1" applyFill="1" applyAlignment="1">
      <alignment horizontal="center" vertical="center" wrapText="1"/>
    </xf>
    <xf numFmtId="0" fontId="7" fillId="0" borderId="15" xfId="13445" applyFont="1" applyFill="1" applyBorder="1" applyAlignment="1">
      <alignment horizontal="left" vertical="center" wrapText="1"/>
    </xf>
    <xf numFmtId="0" fontId="7" fillId="0" borderId="15" xfId="13445" applyFont="1" applyFill="1" applyBorder="1" applyAlignment="1">
      <alignment horizontal="center" vertical="center" wrapText="1"/>
    </xf>
    <xf numFmtId="0" fontId="7" fillId="0" borderId="15" xfId="0" applyFont="1" applyFill="1" applyBorder="1" applyAlignment="1">
      <alignment horizontal="center" vertical="center" wrapText="1"/>
    </xf>
    <xf numFmtId="0" fontId="8" fillId="32" borderId="1" xfId="13445" applyFont="1" applyFill="1" applyBorder="1" applyAlignment="1">
      <alignment horizontal="left" vertical="center" wrapText="1"/>
    </xf>
    <xf numFmtId="0" fontId="7" fillId="0" borderId="1" xfId="27778" applyFont="1" applyFill="1" applyBorder="1" applyAlignment="1">
      <alignment horizontal="left" vertical="center" wrapText="1"/>
    </xf>
    <xf numFmtId="0" fontId="7" fillId="0" borderId="1" xfId="0" applyFont="1" applyFill="1" applyBorder="1" applyAlignment="1">
      <alignment horizontal="center" vertical="center" wrapText="1"/>
    </xf>
    <xf numFmtId="0" fontId="8" fillId="32" borderId="1" xfId="28583" applyFont="1" applyFill="1" applyBorder="1" applyAlignment="1">
      <alignment horizontal="left" vertical="center" wrapText="1"/>
    </xf>
    <xf numFmtId="0" fontId="8" fillId="32" borderId="1" xfId="27778" applyFont="1" applyFill="1" applyBorder="1" applyAlignment="1">
      <alignment horizontal="left" vertical="center" wrapText="1"/>
    </xf>
    <xf numFmtId="0" fontId="7" fillId="0" borderId="1" xfId="0" applyFont="1" applyFill="1" applyBorder="1" applyAlignment="1">
      <alignment horizontal="left" vertical="center" wrapText="1"/>
    </xf>
    <xf numFmtId="0" fontId="8" fillId="32" borderId="1" xfId="0" applyFont="1" applyFill="1" applyBorder="1" applyAlignment="1">
      <alignment horizontal="left" vertical="center" wrapText="1"/>
    </xf>
    <xf numFmtId="0" fontId="11" fillId="32" borderId="10" xfId="27778" applyFont="1" applyFill="1" applyBorder="1" applyAlignment="1">
      <alignment horizontal="left" vertical="center" wrapText="1"/>
    </xf>
    <xf numFmtId="0" fontId="11" fillId="32" borderId="11" xfId="27778" applyFont="1" applyFill="1" applyBorder="1" applyAlignment="1">
      <alignment horizontal="left" vertical="center" wrapText="1"/>
    </xf>
    <xf numFmtId="0" fontId="11" fillId="32" borderId="16" xfId="27778" applyFont="1" applyFill="1" applyBorder="1" applyAlignment="1">
      <alignment horizontal="left" vertical="center" wrapText="1"/>
    </xf>
    <xf numFmtId="0" fontId="7" fillId="0" borderId="1" xfId="27778" applyFont="1" applyFill="1" applyBorder="1" applyAlignment="1">
      <alignment horizontal="center" vertical="center" wrapText="1"/>
    </xf>
    <xf numFmtId="0" fontId="8" fillId="32" borderId="1" xfId="13445" applyFont="1" applyFill="1" applyBorder="1" applyAlignment="1">
      <alignment horizontal="center" vertical="center" wrapText="1"/>
    </xf>
    <xf numFmtId="0" fontId="7" fillId="0" borderId="1" xfId="23129" applyNumberFormat="1" applyFont="1" applyFill="1" applyBorder="1" applyAlignment="1">
      <alignment horizontal="center" vertical="center" wrapText="1"/>
    </xf>
    <xf numFmtId="0" fontId="7" fillId="0" borderId="1" xfId="13445" applyFont="1" applyFill="1" applyBorder="1" applyAlignment="1">
      <alignment horizontal="center" vertical="center" wrapText="1"/>
    </xf>
    <xf numFmtId="0" fontId="7" fillId="0" borderId="1" xfId="0" applyNumberFormat="1" applyFont="1" applyFill="1" applyBorder="1" applyAlignment="1">
      <alignment horizontal="center" vertical="center" wrapText="1"/>
    </xf>
    <xf numFmtId="185" fontId="1" fillId="0" borderId="4" xfId="0" applyNumberFormat="1" applyFont="1" applyBorder="1" applyAlignment="1">
      <alignment horizontal="center" vertical="center" wrapText="1"/>
    </xf>
    <xf numFmtId="185" fontId="1" fillId="0" borderId="1" xfId="0" applyNumberFormat="1" applyFont="1" applyBorder="1" applyAlignment="1">
      <alignment horizontal="center" vertical="center" wrapText="1"/>
    </xf>
    <xf numFmtId="185" fontId="1" fillId="0" borderId="7" xfId="0" applyNumberFormat="1" applyFont="1" applyBorder="1" applyAlignment="1">
      <alignment horizontal="center" vertical="center" wrapText="1"/>
    </xf>
    <xf numFmtId="185" fontId="1" fillId="0" borderId="1" xfId="0" applyNumberFormat="1" applyFont="1" applyBorder="1" applyAlignment="1">
      <alignment vertical="center"/>
    </xf>
    <xf numFmtId="183" fontId="1" fillId="0" borderId="3" xfId="0" applyNumberFormat="1" applyFont="1" applyBorder="1" applyAlignment="1">
      <alignment horizontal="center" vertical="center" wrapText="1"/>
    </xf>
    <xf numFmtId="183" fontId="1" fillId="0" borderId="5" xfId="0" applyNumberFormat="1" applyFont="1" applyBorder="1" applyAlignment="1">
      <alignment horizontal="center" vertical="center" wrapText="1"/>
    </xf>
    <xf numFmtId="183" fontId="1" fillId="0" borderId="6" xfId="0" applyNumberFormat="1" applyFont="1" applyBorder="1" applyAlignment="1">
      <alignment horizontal="center" vertical="center" wrapText="1"/>
    </xf>
    <xf numFmtId="183" fontId="1" fillId="0" borderId="1" xfId="0" applyNumberFormat="1" applyFont="1" applyBorder="1" applyAlignment="1">
      <alignment vertical="center"/>
    </xf>
    <xf numFmtId="185" fontId="1" fillId="0" borderId="7" xfId="0" applyNumberFormat="1" applyFont="1" applyBorder="1" applyAlignment="1">
      <alignment vertical="center"/>
    </xf>
    <xf numFmtId="185" fontId="1" fillId="0" borderId="10" xfId="0" applyNumberFormat="1" applyFont="1" applyBorder="1" applyAlignment="1">
      <alignment horizontal="center" vertical="center" wrapText="1"/>
    </xf>
    <xf numFmtId="185" fontId="1" fillId="0" borderId="11" xfId="0" applyNumberFormat="1" applyFont="1" applyBorder="1" applyAlignment="1">
      <alignment horizontal="center" vertical="center" wrapText="1"/>
    </xf>
    <xf numFmtId="185" fontId="1" fillId="0" borderId="1" xfId="0" applyNumberFormat="1" applyFont="1" applyBorder="1" applyAlignment="1">
      <alignment vertical="center" wrapText="1"/>
    </xf>
    <xf numFmtId="185" fontId="1" fillId="0" borderId="1" xfId="0" applyNumberFormat="1" applyFont="1" applyBorder="1" applyAlignment="1">
      <alignment horizontal="center" vertical="center"/>
    </xf>
    <xf numFmtId="0" fontId="1" fillId="0" borderId="12" xfId="0" applyFont="1" applyBorder="1" applyAlignment="1">
      <alignment horizontal="center" wrapText="1"/>
    </xf>
    <xf numFmtId="0" fontId="1" fillId="0" borderId="13" xfId="0" applyFont="1" applyBorder="1" applyAlignment="1">
      <alignment horizontal="center" wrapText="1"/>
    </xf>
    <xf numFmtId="0" fontId="1" fillId="0" borderId="14" xfId="0" applyFont="1" applyBorder="1" applyAlignment="1">
      <alignment horizontal="center" wrapText="1"/>
    </xf>
    <xf numFmtId="185" fontId="1" fillId="0" borderId="2" xfId="0" applyNumberFormat="1" applyFont="1" applyBorder="1" applyAlignment="1">
      <alignment horizontal="center" vertical="center" wrapText="1"/>
    </xf>
    <xf numFmtId="185" fontId="1" fillId="0" borderId="8" xfId="0" applyNumberFormat="1" applyFont="1" applyBorder="1" applyAlignment="1">
      <alignment horizontal="center" vertical="center" wrapText="1"/>
    </xf>
  </cellXfs>
  <cellStyles count="41160">
    <cellStyle name="_(38#)2000" xfId="72"/>
    <cellStyle name="_(38#)2000 2" xfId="86"/>
    <cellStyle name="_45号电梯" xfId="23"/>
    <cellStyle name="_45号电梯 10" xfId="88"/>
    <cellStyle name="_45号电梯 11" xfId="95"/>
    <cellStyle name="_45号电梯 12" xfId="99"/>
    <cellStyle name="_45号电梯 13" xfId="112"/>
    <cellStyle name="_45号电梯 2" xfId="114"/>
    <cellStyle name="_45号电梯 2 2" xfId="61"/>
    <cellStyle name="_45号电梯 2 3" xfId="124"/>
    <cellStyle name="_45号电梯 2 4" xfId="133"/>
    <cellStyle name="_45号电梯 2 5" xfId="143"/>
    <cellStyle name="_45号电梯 3" xfId="144"/>
    <cellStyle name="_45号电梯 4" xfId="155"/>
    <cellStyle name="_45号电梯 5" xfId="171"/>
    <cellStyle name="_45号电梯 6" xfId="187"/>
    <cellStyle name="_45号电梯 7" xfId="87"/>
    <cellStyle name="_45号电梯 8" xfId="32"/>
    <cellStyle name="_45号电梯 9" xfId="192"/>
    <cellStyle name="_ET_STYLE_NoName_00_" xfId="53"/>
    <cellStyle name="_ET_STYLE_NoName_00_ 10" xfId="162"/>
    <cellStyle name="_ET_STYLE_NoName_00_ 10 2" xfId="197"/>
    <cellStyle name="_ET_STYLE_NoName_00_ 10 2 2" xfId="208"/>
    <cellStyle name="_ET_STYLE_NoName_00_ 10 3" xfId="214"/>
    <cellStyle name="_ET_STYLE_NoName_00_ 10 4" xfId="217"/>
    <cellStyle name="_ET_STYLE_NoName_00_ 11" xfId="183"/>
    <cellStyle name="_ET_STYLE_NoName_00_ 11 2" xfId="233"/>
    <cellStyle name="_ET_STYLE_NoName_00_ 11 3" xfId="242"/>
    <cellStyle name="_ET_STYLE_NoName_00_ 12" xfId="82"/>
    <cellStyle name="_ET_STYLE_NoName_00_ 12 2" xfId="246"/>
    <cellStyle name="_ET_STYLE_NoName_00_ 12 3" xfId="50"/>
    <cellStyle name="_ET_STYLE_NoName_00_ 13" xfId="28"/>
    <cellStyle name="_ET_STYLE_NoName_00_ 13 2" xfId="119"/>
    <cellStyle name="_ET_STYLE_NoName_00_ 13 3" xfId="147"/>
    <cellStyle name="_ET_STYLE_NoName_00_ 14" xfId="191"/>
    <cellStyle name="_ET_STYLE_NoName_00_ 14 2" xfId="250"/>
    <cellStyle name="_ET_STYLE_NoName_00_ 14 3" xfId="255"/>
    <cellStyle name="_ET_STYLE_NoName_00_ 15" xfId="269"/>
    <cellStyle name="_ET_STYLE_NoName_00_ 15 2" xfId="101"/>
    <cellStyle name="_ET_STYLE_NoName_00_ 15 3" xfId="276"/>
    <cellStyle name="_ET_STYLE_NoName_00_ 16" xfId="289"/>
    <cellStyle name="_ET_STYLE_NoName_00_ 16 2" xfId="298"/>
    <cellStyle name="_ET_STYLE_NoName_00_ 16 3" xfId="315"/>
    <cellStyle name="_ET_STYLE_NoName_00_ 17" xfId="320"/>
    <cellStyle name="_ET_STYLE_NoName_00_ 17 2" xfId="325"/>
    <cellStyle name="_ET_STYLE_NoName_00_ 17 3" xfId="328"/>
    <cellStyle name="_ET_STYLE_NoName_00_ 18" xfId="295"/>
    <cellStyle name="_ET_STYLE_NoName_00_ 18 2" xfId="336"/>
    <cellStyle name="_ET_STYLE_NoName_00_ 18 3" xfId="343"/>
    <cellStyle name="_ET_STYLE_NoName_00_ 19" xfId="311"/>
    <cellStyle name="_ET_STYLE_NoName_00_ 19 2" xfId="37"/>
    <cellStyle name="_ET_STYLE_NoName_00_ 19 3" xfId="202"/>
    <cellStyle name="_ET_STYLE_NoName_00_ 2" xfId="174"/>
    <cellStyle name="_ET_STYLE_NoName_00_ 2 2" xfId="221"/>
    <cellStyle name="_ET_STYLE_NoName_00_ 2 2 2" xfId="266"/>
    <cellStyle name="_ET_STYLE_NoName_00_ 2 2 3" xfId="284"/>
    <cellStyle name="_ET_STYLE_NoName_00_ 2 3" xfId="236"/>
    <cellStyle name="_ET_STYLE_NoName_00_ 2 4" xfId="349"/>
    <cellStyle name="_ET_STYLE_NoName_00_ 2 5" xfId="350"/>
    <cellStyle name="_ET_STYLE_NoName_00_ 20" xfId="270"/>
    <cellStyle name="_ET_STYLE_NoName_00_ 20 2" xfId="102"/>
    <cellStyle name="_ET_STYLE_NoName_00_ 20 3" xfId="277"/>
    <cellStyle name="_ET_STYLE_NoName_00_ 21" xfId="290"/>
    <cellStyle name="_ET_STYLE_NoName_00_ 21 2" xfId="299"/>
    <cellStyle name="_ET_STYLE_NoName_00_ 21 3" xfId="316"/>
    <cellStyle name="_ET_STYLE_NoName_00_ 22" xfId="321"/>
    <cellStyle name="_ET_STYLE_NoName_00_ 22 2" xfId="326"/>
    <cellStyle name="_ET_STYLE_NoName_00_ 22 3" xfId="329"/>
    <cellStyle name="_ET_STYLE_NoName_00_ 23" xfId="296"/>
    <cellStyle name="_ET_STYLE_NoName_00_ 23 2" xfId="337"/>
    <cellStyle name="_ET_STYLE_NoName_00_ 23 3" xfId="344"/>
    <cellStyle name="_ET_STYLE_NoName_00_ 24" xfId="312"/>
    <cellStyle name="_ET_STYLE_NoName_00_ 24 2" xfId="38"/>
    <cellStyle name="_ET_STYLE_NoName_00_ 24 3" xfId="203"/>
    <cellStyle name="_ET_STYLE_NoName_00_ 25" xfId="357"/>
    <cellStyle name="_ET_STYLE_NoName_00_ 25 2" xfId="370"/>
    <cellStyle name="_ET_STYLE_NoName_00_ 25 3" xfId="375"/>
    <cellStyle name="_ET_STYLE_NoName_00_ 26" xfId="385"/>
    <cellStyle name="_ET_STYLE_NoName_00_ 26 2" xfId="393"/>
    <cellStyle name="_ET_STYLE_NoName_00_ 26 3" xfId="397"/>
    <cellStyle name="_ET_STYLE_NoName_00_ 27" xfId="413"/>
    <cellStyle name="_ET_STYLE_NoName_00_ 27 2" xfId="422"/>
    <cellStyle name="_ET_STYLE_NoName_00_ 27 3" xfId="435"/>
    <cellStyle name="_ET_STYLE_NoName_00_ 28" xfId="454"/>
    <cellStyle name="_ET_STYLE_NoName_00_ 28 2" xfId="465"/>
    <cellStyle name="_ET_STYLE_NoName_00_ 28 3" xfId="480"/>
    <cellStyle name="_ET_STYLE_NoName_00_ 29" xfId="484"/>
    <cellStyle name="_ET_STYLE_NoName_00_ 29 2" xfId="494"/>
    <cellStyle name="_ET_STYLE_NoName_00_ 29 3" xfId="16"/>
    <cellStyle name="_ET_STYLE_NoName_00_ 3" xfId="498"/>
    <cellStyle name="_ET_STYLE_NoName_00_ 3 2" xfId="500"/>
    <cellStyle name="_ET_STYLE_NoName_00_ 3 3" xfId="504"/>
    <cellStyle name="_ET_STYLE_NoName_00_ 3 4" xfId="506"/>
    <cellStyle name="_ET_STYLE_NoName_00_ 30" xfId="358"/>
    <cellStyle name="_ET_STYLE_NoName_00_ 30 2" xfId="371"/>
    <cellStyle name="_ET_STYLE_NoName_00_ 30 3" xfId="376"/>
    <cellStyle name="_ET_STYLE_NoName_00_ 31" xfId="386"/>
    <cellStyle name="_ET_STYLE_NoName_00_ 31 2" xfId="394"/>
    <cellStyle name="_ET_STYLE_NoName_00_ 31 3" xfId="398"/>
    <cellStyle name="_ET_STYLE_NoName_00_ 32" xfId="414"/>
    <cellStyle name="_ET_STYLE_NoName_00_ 32 2" xfId="423"/>
    <cellStyle name="_ET_STYLE_NoName_00_ 32 3" xfId="436"/>
    <cellStyle name="_ET_STYLE_NoName_00_ 33" xfId="455"/>
    <cellStyle name="_ET_STYLE_NoName_00_ 33 2" xfId="466"/>
    <cellStyle name="_ET_STYLE_NoName_00_ 33 3" xfId="481"/>
    <cellStyle name="_ET_STYLE_NoName_00_ 34" xfId="485"/>
    <cellStyle name="_ET_STYLE_NoName_00_ 34 2" xfId="495"/>
    <cellStyle name="_ET_STYLE_NoName_00_ 34 3" xfId="17"/>
    <cellStyle name="_ET_STYLE_NoName_00_ 35" xfId="518"/>
    <cellStyle name="_ET_STYLE_NoName_00_ 35 2" xfId="526"/>
    <cellStyle name="_ET_STYLE_NoName_00_ 35 3" xfId="531"/>
    <cellStyle name="_ET_STYLE_NoName_00_ 36" xfId="490"/>
    <cellStyle name="_ET_STYLE_NoName_00_ 36 2" xfId="546"/>
    <cellStyle name="_ET_STYLE_NoName_00_ 36 3" xfId="554"/>
    <cellStyle name="_ET_STYLE_NoName_00_ 37" xfId="10"/>
    <cellStyle name="_ET_STYLE_NoName_00_ 37 2" xfId="561"/>
    <cellStyle name="_ET_STYLE_NoName_00_ 37 3" xfId="568"/>
    <cellStyle name="_ET_STYLE_NoName_00_ 38" xfId="571"/>
    <cellStyle name="_ET_STYLE_NoName_00_ 38 2" xfId="576"/>
    <cellStyle name="_ET_STYLE_NoName_00_ 38 3" xfId="579"/>
    <cellStyle name="_ET_STYLE_NoName_00_ 39" xfId="581"/>
    <cellStyle name="_ET_STYLE_NoName_00_ 39 2" xfId="583"/>
    <cellStyle name="_ET_STYLE_NoName_00_ 39 3" xfId="585"/>
    <cellStyle name="_ET_STYLE_NoName_00_ 4" xfId="587"/>
    <cellStyle name="_ET_STYLE_NoName_00_ 4 2" xfId="589"/>
    <cellStyle name="_ET_STYLE_NoName_00_ 4 3" xfId="590"/>
    <cellStyle name="_ET_STYLE_NoName_00_ 4 4" xfId="593"/>
    <cellStyle name="_ET_STYLE_NoName_00_ 40" xfId="519"/>
    <cellStyle name="_ET_STYLE_NoName_00_ 40 2" xfId="527"/>
    <cellStyle name="_ET_STYLE_NoName_00_ 40 3" xfId="532"/>
    <cellStyle name="_ET_STYLE_NoName_00_ 41" xfId="491"/>
    <cellStyle name="_ET_STYLE_NoName_00_ 41 2" xfId="547"/>
    <cellStyle name="_ET_STYLE_NoName_00_ 41 3" xfId="555"/>
    <cellStyle name="_ET_STYLE_NoName_00_ 42" xfId="11"/>
    <cellStyle name="_ET_STYLE_NoName_00_ 42 2" xfId="562"/>
    <cellStyle name="_ET_STYLE_NoName_00_ 42 3" xfId="569"/>
    <cellStyle name="_ET_STYLE_NoName_00_ 43" xfId="572"/>
    <cellStyle name="_ET_STYLE_NoName_00_ 43 2" xfId="577"/>
    <cellStyle name="_ET_STYLE_NoName_00_ 43 3" xfId="580"/>
    <cellStyle name="_ET_STYLE_NoName_00_ 44" xfId="582"/>
    <cellStyle name="_ET_STYLE_NoName_00_ 44 2" xfId="584"/>
    <cellStyle name="_ET_STYLE_NoName_00_ 44 3" xfId="586"/>
    <cellStyle name="_ET_STYLE_NoName_00_ 45" xfId="206"/>
    <cellStyle name="_ET_STYLE_NoName_00_ 45 2" xfId="597"/>
    <cellStyle name="_ET_STYLE_NoName_00_ 45 3" xfId="600"/>
    <cellStyle name="_ET_STYLE_NoName_00_ 46" xfId="603"/>
    <cellStyle name="_ET_STYLE_NoName_00_ 46 2" xfId="607"/>
    <cellStyle name="_ET_STYLE_NoName_00_ 46 3" xfId="611"/>
    <cellStyle name="_ET_STYLE_NoName_00_ 47" xfId="614"/>
    <cellStyle name="_ET_STYLE_NoName_00_ 47 2" xfId="617"/>
    <cellStyle name="_ET_STYLE_NoName_00_ 47 3" xfId="620"/>
    <cellStyle name="_ET_STYLE_NoName_00_ 48" xfId="624"/>
    <cellStyle name="_ET_STYLE_NoName_00_ 48 2" xfId="630"/>
    <cellStyle name="_ET_STYLE_NoName_00_ 48 3" xfId="637"/>
    <cellStyle name="_ET_STYLE_NoName_00_ 49" xfId="643"/>
    <cellStyle name="_ET_STYLE_NoName_00_ 49 2" xfId="658"/>
    <cellStyle name="_ET_STYLE_NoName_00_ 49 3" xfId="686"/>
    <cellStyle name="_ET_STYLE_NoName_00_ 5" xfId="688"/>
    <cellStyle name="_ET_STYLE_NoName_00_ 5 2" xfId="696"/>
    <cellStyle name="_ET_STYLE_NoName_00_ 5 3" xfId="700"/>
    <cellStyle name="_ET_STYLE_NoName_00_ 5 4" xfId="711"/>
    <cellStyle name="_ET_STYLE_NoName_00_ 50" xfId="207"/>
    <cellStyle name="_ET_STYLE_NoName_00_ 50 2" xfId="598"/>
    <cellStyle name="_ET_STYLE_NoName_00_ 50 3" xfId="601"/>
    <cellStyle name="_ET_STYLE_NoName_00_ 51" xfId="604"/>
    <cellStyle name="_ET_STYLE_NoName_00_ 51 2" xfId="608"/>
    <cellStyle name="_ET_STYLE_NoName_00_ 51 3" xfId="612"/>
    <cellStyle name="_ET_STYLE_NoName_00_ 52" xfId="615"/>
    <cellStyle name="_ET_STYLE_NoName_00_ 52 2" xfId="618"/>
    <cellStyle name="_ET_STYLE_NoName_00_ 52 3" xfId="621"/>
    <cellStyle name="_ET_STYLE_NoName_00_ 53" xfId="625"/>
    <cellStyle name="_ET_STYLE_NoName_00_ 53 2" xfId="631"/>
    <cellStyle name="_ET_STYLE_NoName_00_ 53 3" xfId="638"/>
    <cellStyle name="_ET_STYLE_NoName_00_ 54" xfId="644"/>
    <cellStyle name="_ET_STYLE_NoName_00_ 54 2" xfId="659"/>
    <cellStyle name="_ET_STYLE_NoName_00_ 54 3" xfId="687"/>
    <cellStyle name="_ET_STYLE_NoName_00_ 55" xfId="716"/>
    <cellStyle name="_ET_STYLE_NoName_00_ 56" xfId="730"/>
    <cellStyle name="_ET_STYLE_NoName_00_ 57" xfId="734"/>
    <cellStyle name="_ET_STYLE_NoName_00_ 6" xfId="738"/>
    <cellStyle name="_ET_STYLE_NoName_00_ 6 2" xfId="743"/>
    <cellStyle name="_ET_STYLE_NoName_00_ 6 3" xfId="745"/>
    <cellStyle name="_ET_STYLE_NoName_00_ 6 4" xfId="749"/>
    <cellStyle name="_ET_STYLE_NoName_00_ 7" xfId="752"/>
    <cellStyle name="_ET_STYLE_NoName_00_ 7 2" xfId="755"/>
    <cellStyle name="_ET_STYLE_NoName_00_ 7 3" xfId="756"/>
    <cellStyle name="_ET_STYLE_NoName_00_ 7 4" xfId="757"/>
    <cellStyle name="_ET_STYLE_NoName_00_ 8" xfId="764"/>
    <cellStyle name="_ET_STYLE_NoName_00_ 8 2" xfId="771"/>
    <cellStyle name="_ET_STYLE_NoName_00_ 8 3" xfId="772"/>
    <cellStyle name="_ET_STYLE_NoName_00_ 8 4" xfId="773"/>
    <cellStyle name="_ET_STYLE_NoName_00_ 9" xfId="776"/>
    <cellStyle name="_ET_STYLE_NoName_00_ 9 2" xfId="781"/>
    <cellStyle name="_ET_STYLE_NoName_00_ 9 3" xfId="782"/>
    <cellStyle name="_ET_STYLE_NoName_00_ 9 4" xfId="783"/>
    <cellStyle name="_ET_STYLE_NoName_00__甲供清单" xfId="450"/>
    <cellStyle name="_ET_STYLE_NoName_00__甲供清单 2" xfId="462"/>
    <cellStyle name="_SC-8S（新标准）" xfId="796"/>
    <cellStyle name="_SC-8S（新标准） 2" xfId="799"/>
    <cellStyle name="_电梯轿厢装修" xfId="807"/>
    <cellStyle name="_电梯轿厢装修 2" xfId="746"/>
    <cellStyle name="_电梯轿厢装修 3" xfId="810"/>
    <cellStyle name="_电梯轿厢装修 4" xfId="814"/>
    <cellStyle name="_分户门，管井门" xfId="820"/>
    <cellStyle name="_分户门，管井门 2" xfId="292"/>
    <cellStyle name="_分户门，管井门 3" xfId="305"/>
    <cellStyle name="_分户门，管井门 4" xfId="356"/>
    <cellStyle name="_恒大城74#样板房装修清单7.17" xfId="226"/>
    <cellStyle name="_恒大城74#样板房装修清单7.17 2" xfId="259"/>
    <cellStyle name="_恒大城74#样板房装修清单7.17 3" xfId="281"/>
    <cellStyle name="_恒大城74#样板房装修清单7.17 4" xfId="830"/>
    <cellStyle name="_恒大绿洲住宅装修（新标准)及70号楼复式(旧标准)5-26" xfId="835"/>
    <cellStyle name="_甲供材料" xfId="844"/>
    <cellStyle name="_甲供材料 2" xfId="851"/>
    <cellStyle name="_甲供材料 3" xfId="856"/>
    <cellStyle name="_甲供材料 4" xfId="862"/>
    <cellStyle name="_金碧世纪29号4楼样板房报价-(合同件修改)" xfId="117"/>
    <cellStyle name="_金碧世纪29号4楼样板房报价-(合同件修改) 2" xfId="64"/>
    <cellStyle name="_金碧世纪29号4楼样板房报价-(合同件修改) 3" xfId="126"/>
    <cellStyle name="_金碧世纪29号4楼样板房报价-(合同件修改) 4" xfId="135"/>
    <cellStyle name="_昆明样板房合同附件（正式打印版）" xfId="871"/>
    <cellStyle name="_昆明样板房合同附件（正式打印版） 2" xfId="880"/>
    <cellStyle name="_昆明样板房合同附件（正式打印版） 3" xfId="886"/>
    <cellStyle name="_昆明样板房合同附件（正式打印版） 4" xfId="575"/>
    <cellStyle name="_立项意见书" xfId="894"/>
    <cellStyle name="_立项意见书 2" xfId="906"/>
    <cellStyle name="_绿洲13# sc-7电梯间" xfId="913"/>
    <cellStyle name="_绿洲13# sc-7电梯间 2" xfId="925"/>
    <cellStyle name="_绿洲13#SC-7 大堂" xfId="935"/>
    <cellStyle name="_绿洲13#SC-7 大堂 2" xfId="939"/>
    <cellStyle name="_清单报价09.6.12" xfId="914"/>
    <cellStyle name="_清单报价09.6.12 2" xfId="940"/>
    <cellStyle name="_清单报价09.6.12 3" xfId="945"/>
    <cellStyle name="_清单报价09.6.12 4" xfId="947"/>
    <cellStyle name="_全国楼盘（别墅）装修工程汇总" xfId="949"/>
    <cellStyle name="_全国楼盘（别墅）装修工程汇总 2" xfId="787"/>
    <cellStyle name="_全国楼盘（别墅）装修工程汇总 3" xfId="957"/>
    <cellStyle name="_全国楼盘（别墅）装修工程汇总 4" xfId="970"/>
    <cellStyle name="_砂岩" xfId="977"/>
    <cellStyle name="_砂岩 2" xfId="981"/>
    <cellStyle name="_砂岩 3" xfId="992"/>
    <cellStyle name="_砂岩 4" xfId="1006"/>
    <cellStyle name="_沈阳恒大绿洲运动中心室内装修清单( 1234层)" xfId="31"/>
    <cellStyle name="_沈阳恒大绿洲运动中心室内装修清单( 1234层) 2" xfId="955"/>
    <cellStyle name="_沈阳恒大绿洲运动中心室内装修清单( 1234层) 3" xfId="968"/>
    <cellStyle name="_沈阳恒大绿洲运动中心室内装修清单( 1234层) 4" xfId="1017"/>
    <cellStyle name="_太原运动中心外墙报价清单" xfId="1025"/>
    <cellStyle name="_太原运动中心外墙报价清单 2" xfId="154"/>
    <cellStyle name="_太原运动中心外墙报价清单 2 2" xfId="836"/>
    <cellStyle name="_太原运动中心外墙报价清单 2 3" xfId="1026"/>
    <cellStyle name="_太原运动中心外墙报价清单 3" xfId="168"/>
    <cellStyle name="_太原运动中心外墙报价清单 3 2" xfId="808"/>
    <cellStyle name="_太原运动中心外墙报价清单 3 3" xfId="812"/>
    <cellStyle name="_太原运动中心外墙报价清单 4" xfId="186"/>
    <cellStyle name="_太原运动中心外墙报价清单 5" xfId="84"/>
    <cellStyle name="_小高层样板房363#(D7)10A单元4-15" xfId="1034"/>
    <cellStyle name="_小高层样板房363#(D7)10A单元4-15 2" xfId="794"/>
    <cellStyle name="_小高层样板房363#(D7)10A单元4-15 3" xfId="1040"/>
    <cellStyle name="_小高层样板房363#(D7)10A单元4-15 4" xfId="45"/>
    <cellStyle name="_小高层样板房363#(D7)10B单元2009-4-12日杨修改" xfId="1043"/>
    <cellStyle name="_小高层样板房363#(D7)10B单元2009-4-12日杨修改 2" xfId="1046"/>
    <cellStyle name="_小高层样板房363#(D7)10B单元2009-4-12日杨修改 3" xfId="655"/>
    <cellStyle name="_小高层样板房363#(D7)10B单元2009-4-12日杨修改 4" xfId="678"/>
    <cellStyle name="_小高层样板房368#(D7)10A单元4-15" xfId="1050"/>
    <cellStyle name="_小高层样板房368#(D7)10A单元4-15 2" xfId="473"/>
    <cellStyle name="_小高层样板房368#(D7)10A单元4-15 3" xfId="1054"/>
    <cellStyle name="_小高层样板房368#(D7)10A单元4-15 4" xfId="779"/>
    <cellStyle name="`" xfId="406"/>
    <cellStyle name="` 10" xfId="1055"/>
    <cellStyle name="` 10 2" xfId="1056"/>
    <cellStyle name="` 10 2 2" xfId="1020"/>
    <cellStyle name="` 10 3" xfId="1057"/>
    <cellStyle name="` 10 3 2" xfId="96"/>
    <cellStyle name="` 10 4" xfId="1059"/>
    <cellStyle name="` 10 4 2" xfId="759"/>
    <cellStyle name="` 10 5" xfId="1062"/>
    <cellStyle name="` 11" xfId="1069"/>
    <cellStyle name="` 11 2" xfId="1036"/>
    <cellStyle name="` 11 2 2" xfId="819"/>
    <cellStyle name="` 11 3" xfId="43"/>
    <cellStyle name="` 11 3 2" xfId="1073"/>
    <cellStyle name="` 11 4" xfId="1077"/>
    <cellStyle name="` 11 4 2" xfId="1079"/>
    <cellStyle name="` 11 5" xfId="1082"/>
    <cellStyle name="` 12" xfId="1084"/>
    <cellStyle name="` 2" xfId="419"/>
    <cellStyle name="` 2 10" xfId="556"/>
    <cellStyle name="` 2 10 2" xfId="1088"/>
    <cellStyle name="` 2 10 2 2" xfId="1093"/>
    <cellStyle name="` 2 10 3" xfId="694"/>
    <cellStyle name="` 2 10 3 2" xfId="1095"/>
    <cellStyle name="` 2 10 4" xfId="698"/>
    <cellStyle name="` 2 10 4 2" xfId="1097"/>
    <cellStyle name="` 2 10 5" xfId="706"/>
    <cellStyle name="` 2 11" xfId="563"/>
    <cellStyle name="` 2 2" xfId="1099"/>
    <cellStyle name="` 2 2 2" xfId="1100"/>
    <cellStyle name="` 2 2 2 2" xfId="1102"/>
    <cellStyle name="` 2 2 2 2 2" xfId="279"/>
    <cellStyle name="` 2 2 2 2 2 2" xfId="1103"/>
    <cellStyle name="` 2 2 2 2 2 2 2" xfId="1107"/>
    <cellStyle name="` 2 2 2 2 2 3" xfId="1111"/>
    <cellStyle name="` 2 2 2 2 2 3 2" xfId="1114"/>
    <cellStyle name="` 2 2 2 2 2 4" xfId="1120"/>
    <cellStyle name="` 2 2 2 2 2 4 2" xfId="1123"/>
    <cellStyle name="` 2 2 2 2 2 5" xfId="1126"/>
    <cellStyle name="` 2 2 2 2 3" xfId="825"/>
    <cellStyle name="` 2 2 2 2 3 2" xfId="1129"/>
    <cellStyle name="` 2 2 2 2 3 2 2" xfId="1134"/>
    <cellStyle name="` 2 2 2 2 3 3" xfId="1136"/>
    <cellStyle name="` 2 2 2 2 3 3 2" xfId="1139"/>
    <cellStyle name="` 2 2 2 2 3 4" xfId="1142"/>
    <cellStyle name="` 2 2 2 2 4" xfId="1144"/>
    <cellStyle name="` 2 2 2 2 4 2" xfId="1146"/>
    <cellStyle name="` 2 2 2 2 5" xfId="1044"/>
    <cellStyle name="` 2 2 2 3" xfId="1151"/>
    <cellStyle name="` 2 2 2 3 2" xfId="1153"/>
    <cellStyle name="` 2 2 2 3 2 2" xfId="1"/>
    <cellStyle name="` 2 2 2 3 3" xfId="1155"/>
    <cellStyle name="` 2 2 2 3 3 2" xfId="1065"/>
    <cellStyle name="` 2 2 2 3 4" xfId="1157"/>
    <cellStyle name="` 2 2 2 3 4 2" xfId="1159"/>
    <cellStyle name="` 2 2 2 3 5" xfId="1161"/>
    <cellStyle name="` 2 2 2 4" xfId="1170"/>
    <cellStyle name="` 2 2 2 4 2" xfId="1171"/>
    <cellStyle name="` 2 2 2 4 2 2" xfId="1177"/>
    <cellStyle name="` 2 2 2 4 3" xfId="1185"/>
    <cellStyle name="` 2 2 2 4 3 2" xfId="1188"/>
    <cellStyle name="` 2 2 2 4 4" xfId="1192"/>
    <cellStyle name="` 2 2 2 5" xfId="1208"/>
    <cellStyle name="` 2 2 2 5 2" xfId="840"/>
    <cellStyle name="` 2 2 2 6" xfId="1212"/>
    <cellStyle name="` 2 2 3" xfId="1215"/>
    <cellStyle name="` 2 2 3 2" xfId="1220"/>
    <cellStyle name="` 2 2 3 2 2" xfId="1206"/>
    <cellStyle name="` 2 2 3 2 2 2" xfId="838"/>
    <cellStyle name="` 2 2 3 2 2 2 2" xfId="847"/>
    <cellStyle name="` 2 2 3 2 2 3" xfId="1222"/>
    <cellStyle name="` 2 2 3 2 2 3 2" xfId="1225"/>
    <cellStyle name="` 2 2 3 2 2 4" xfId="1236"/>
    <cellStyle name="` 2 2 3 2 2 4 2" xfId="1239"/>
    <cellStyle name="` 2 2 3 2 2 5" xfId="1247"/>
    <cellStyle name="` 2 2 3 2 3" xfId="1210"/>
    <cellStyle name="` 2 2 3 2 3 2" xfId="138"/>
    <cellStyle name="` 2 2 3 2 3 2 2" xfId="407"/>
    <cellStyle name="` 2 2 3 2 3 3" xfId="1248"/>
    <cellStyle name="` 2 2 3 2 3 3 2" xfId="1250"/>
    <cellStyle name="` 2 2 3 2 3 4" xfId="1257"/>
    <cellStyle name="` 2 2 3 2 4" xfId="1259"/>
    <cellStyle name="` 2 2 3 2 4 2" xfId="1260"/>
    <cellStyle name="` 2 2 3 2 5" xfId="331"/>
    <cellStyle name="` 2 2 3 3" xfId="1267"/>
    <cellStyle name="` 2 2 3 3 2" xfId="1278"/>
    <cellStyle name="` 2 2 3 3 2 2" xfId="1287"/>
    <cellStyle name="` 2 2 3 3 3" xfId="1293"/>
    <cellStyle name="` 2 2 3 3 3 2" xfId="1299"/>
    <cellStyle name="` 2 2 3 3 4" xfId="1301"/>
    <cellStyle name="` 2 2 3 3 4 2" xfId="1307"/>
    <cellStyle name="` 2 2 3 3 5" xfId="33"/>
    <cellStyle name="` 2 2 3 4" xfId="1313"/>
    <cellStyle name="` 2 2 3 4 2" xfId="893"/>
    <cellStyle name="` 2 2 3 4 2 2" xfId="901"/>
    <cellStyle name="` 2 2 3 4 3" xfId="1320"/>
    <cellStyle name="` 2 2 3 4 3 2" xfId="1326"/>
    <cellStyle name="` 2 2 3 4 4" xfId="1329"/>
    <cellStyle name="` 2 2 3 5" xfId="1269"/>
    <cellStyle name="` 2 2 3 5 2" xfId="1285"/>
    <cellStyle name="` 2 2 3 6" xfId="1291"/>
    <cellStyle name="` 2 2 4" xfId="1330"/>
    <cellStyle name="` 2 2 4 2" xfId="975"/>
    <cellStyle name="` 2 2 4 2 2" xfId="988"/>
    <cellStyle name="` 2 2 4 2 2 2" xfId="1342"/>
    <cellStyle name="` 2 2 4 2 3" xfId="997"/>
    <cellStyle name="` 2 2 4 2 3 2" xfId="884"/>
    <cellStyle name="` 2 2 4 2 4" xfId="1000"/>
    <cellStyle name="` 2 2 4 2 4 2" xfId="1344"/>
    <cellStyle name="` 2 2 4 2 5" xfId="1346"/>
    <cellStyle name="` 2 2 4 3" xfId="69"/>
    <cellStyle name="` 2 2 4 3 2" xfId="179"/>
    <cellStyle name="` 2 2 4 3 2 2" xfId="230"/>
    <cellStyle name="` 2 2 4 3 3" xfId="80"/>
    <cellStyle name="` 2 2 4 3 3 2" xfId="245"/>
    <cellStyle name="` 2 2 4 3 4" xfId="20"/>
    <cellStyle name="` 2 2 4 4" xfId="1350"/>
    <cellStyle name="` 2 2 4 4 2" xfId="724"/>
    <cellStyle name="` 2 2 4 5" xfId="889"/>
    <cellStyle name="` 2 2 5" xfId="1352"/>
    <cellStyle name="` 2 2 5 2" xfId="1353"/>
    <cellStyle name="` 2 2 5 2 2" xfId="1356"/>
    <cellStyle name="` 2 2 5 2 2 2" xfId="1359"/>
    <cellStyle name="` 2 2 5 2 3" xfId="1339"/>
    <cellStyle name="` 2 2 5 2 3 2" xfId="1366"/>
    <cellStyle name="` 2 2 5 2 4" xfId="557"/>
    <cellStyle name="` 2 2 5 2 4 2" xfId="1089"/>
    <cellStyle name="` 2 2 5 2 5" xfId="564"/>
    <cellStyle name="` 2 2 5 3" xfId="863"/>
    <cellStyle name="` 2 2 5 3 2" xfId="874"/>
    <cellStyle name="` 2 2 5 3 2 2" xfId="1369"/>
    <cellStyle name="` 2 2 5 3 3" xfId="881"/>
    <cellStyle name="` 2 2 5 3 3 2" xfId="1371"/>
    <cellStyle name="` 2 2 5 3 4" xfId="573"/>
    <cellStyle name="` 2 2 5 4" xfId="1374"/>
    <cellStyle name="` 2 2 5 4 2" xfId="1377"/>
    <cellStyle name="` 2 2 5 5" xfId="1281"/>
    <cellStyle name="` 2 2 6" xfId="249"/>
    <cellStyle name="` 2 2 6 2" xfId="1378"/>
    <cellStyle name="` 2 2 6 2 2" xfId="1379"/>
    <cellStyle name="` 2 2 6 3" xfId="1380"/>
    <cellStyle name="` 2 2 6 3 2" xfId="1382"/>
    <cellStyle name="` 2 2 6 4" xfId="1386"/>
    <cellStyle name="` 2 2 6 4 2" xfId="1391"/>
    <cellStyle name="` 2 2 6 5" xfId="1294"/>
    <cellStyle name="` 2 2 7" xfId="252"/>
    <cellStyle name="` 2 2 7 2" xfId="1393"/>
    <cellStyle name="` 2 2 7 2 2" xfId="1395"/>
    <cellStyle name="` 2 2 7 3" xfId="1396"/>
    <cellStyle name="` 2 2 7 3 2" xfId="1241"/>
    <cellStyle name="` 2 2 7 4" xfId="1401"/>
    <cellStyle name="` 2 2 7 4 2" xfId="1404"/>
    <cellStyle name="` 2 2 7 5" xfId="1302"/>
    <cellStyle name="` 2 2 8" xfId="1409"/>
    <cellStyle name="` 2 2 8 2" xfId="352"/>
    <cellStyle name="` 2 2 8 2 2" xfId="368"/>
    <cellStyle name="` 2 2 8 3" xfId="377"/>
    <cellStyle name="` 2 2 8 3 2" xfId="391"/>
    <cellStyle name="` 2 2 8 4" xfId="404"/>
    <cellStyle name="` 2 2 8 4 2" xfId="416"/>
    <cellStyle name="` 2 2 8 5" xfId="440"/>
    <cellStyle name="` 2 2 9" xfId="1410"/>
    <cellStyle name="` 2 3" xfId="323"/>
    <cellStyle name="` 2 3 2" xfId="1411"/>
    <cellStyle name="` 2 3 2 2" xfId="1413"/>
    <cellStyle name="` 2 3 2 2 2" xfId="512"/>
    <cellStyle name="` 2 3 2 2 2 2" xfId="523"/>
    <cellStyle name="` 2 3 2 2 2 2 2" xfId="213"/>
    <cellStyle name="` 2 3 2 2 2 3" xfId="530"/>
    <cellStyle name="` 2 3 2 2 2 3 2" xfId="241"/>
    <cellStyle name="` 2 3 2 2 2 4" xfId="1133"/>
    <cellStyle name="` 2 3 2 2 2 4 2" xfId="49"/>
    <cellStyle name="` 2 3 2 2 2 5" xfId="1416"/>
    <cellStyle name="` 2 3 2 2 3" xfId="488"/>
    <cellStyle name="` 2 3 2 2 3 2" xfId="544"/>
    <cellStyle name="` 2 3 2 2 3 2 2" xfId="1424"/>
    <cellStyle name="` 2 3 2 2 3 3" xfId="553"/>
    <cellStyle name="` 2 3 2 2 3 3 2" xfId="1426"/>
    <cellStyle name="` 2 3 2 2 3 4" xfId="1138"/>
    <cellStyle name="` 2 3 2 2 4" xfId="6"/>
    <cellStyle name="` 2 3 2 2 4 2" xfId="560"/>
    <cellStyle name="` 2 3 2 2 5" xfId="570"/>
    <cellStyle name="` 2 3 2 3" xfId="1431"/>
    <cellStyle name="` 2 3 2 3 2" xfId="1435"/>
    <cellStyle name="` 2 3 2 3 2 2" xfId="1439"/>
    <cellStyle name="` 2 3 2 3 3" xfId="520"/>
    <cellStyle name="` 2 3 2 3 3 2" xfId="210"/>
    <cellStyle name="` 2 3 2 3 4" xfId="528"/>
    <cellStyle name="` 2 3 2 3 4 2" xfId="237"/>
    <cellStyle name="` 2 3 2 3 5" xfId="1131"/>
    <cellStyle name="` 2 3 2 4" xfId="1443"/>
    <cellStyle name="` 2 3 2 4 2" xfId="1447"/>
    <cellStyle name="` 2 3 2 4 2 2" xfId="674"/>
    <cellStyle name="` 2 3 2 4 3" xfId="541"/>
    <cellStyle name="` 2 3 2 4 3 2" xfId="1420"/>
    <cellStyle name="` 2 3 2 4 4" xfId="551"/>
    <cellStyle name="` 2 3 2 5" xfId="982"/>
    <cellStyle name="` 2 3 2 5 2" xfId="1335"/>
    <cellStyle name="` 2 3 2 6" xfId="993"/>
    <cellStyle name="` 2 3 3" xfId="1448"/>
    <cellStyle name="` 2 3 3 2" xfId="959"/>
    <cellStyle name="` 2 3 3 2 2" xfId="1450"/>
    <cellStyle name="` 2 3 3 2 2 2" xfId="1453"/>
    <cellStyle name="` 2 3 3 2 3" xfId="175"/>
    <cellStyle name="` 2 3 3 2 3 2" xfId="222"/>
    <cellStyle name="` 2 3 3 2 4" xfId="499"/>
    <cellStyle name="` 2 3 3 2 4 2" xfId="503"/>
    <cellStyle name="` 2 3 3 2 5" xfId="588"/>
    <cellStyle name="` 2 3 3 3" xfId="1007"/>
    <cellStyle name="` 2 3 3 3 2" xfId="1454"/>
    <cellStyle name="` 2 3 3 3 2 2" xfId="1457"/>
    <cellStyle name="` 2 3 3 3 3" xfId="1437"/>
    <cellStyle name="` 2 3 3 3 3 2" xfId="1458"/>
    <cellStyle name="` 2 3 3 3 4" xfId="1459"/>
    <cellStyle name="` 2 3 3 4" xfId="159"/>
    <cellStyle name="` 2 3 3 4 2" xfId="196"/>
    <cellStyle name="` 2 3 3 5" xfId="177"/>
    <cellStyle name="` 2 3 4" xfId="1460"/>
    <cellStyle name="` 2 3 4 2" xfId="622"/>
    <cellStyle name="` 2 3 4 2 2" xfId="626"/>
    <cellStyle name="` 2 3 4 2 2 2" xfId="1463"/>
    <cellStyle name="` 2 3 4 2 3" xfId="634"/>
    <cellStyle name="` 2 3 4 2 3 2" xfId="1468"/>
    <cellStyle name="` 2 3 4 2 4" xfId="1470"/>
    <cellStyle name="` 2 3 4 2 4 2" xfId="93"/>
    <cellStyle name="` 2 3 4 2 5" xfId="1472"/>
    <cellStyle name="` 2 3 4 3" xfId="640"/>
    <cellStyle name="` 2 3 4 3 2" xfId="652"/>
    <cellStyle name="` 2 3 4 3 2 2" xfId="1479"/>
    <cellStyle name="` 2 3 4 3 3" xfId="667"/>
    <cellStyle name="` 2 3 4 3 3 2" xfId="1489"/>
    <cellStyle name="` 2 3 4 3 4" xfId="1495"/>
    <cellStyle name="` 2 3 4 4" xfId="713"/>
    <cellStyle name="` 2 3 4 4 2" xfId="1507"/>
    <cellStyle name="` 2 3 4 5" xfId="719"/>
    <cellStyle name="` 2 3 5" xfId="1508"/>
    <cellStyle name="` 2 3 5 2" xfId="1512"/>
    <cellStyle name="` 2 3 5 2 2" xfId="330"/>
    <cellStyle name="` 2 3 5 3" xfId="1516"/>
    <cellStyle name="` 2 3 5 3 2" xfId="345"/>
    <cellStyle name="` 2 3 5 4" xfId="1518"/>
    <cellStyle name="` 2 3 5 4 2" xfId="201"/>
    <cellStyle name="` 2 3 5 5" xfId="904"/>
    <cellStyle name="` 2 3 6" xfId="1519"/>
    <cellStyle name="` 2 3 6 2" xfId="1520"/>
    <cellStyle name="` 2 3 6 2 2" xfId="1523"/>
    <cellStyle name="` 2 3 6 3" xfId="1526"/>
    <cellStyle name="` 2 3 6 3 2" xfId="1527"/>
    <cellStyle name="` 2 3 6 4" xfId="1529"/>
    <cellStyle name="` 2 3 7" xfId="1530"/>
    <cellStyle name="` 2 3 7 2" xfId="1532"/>
    <cellStyle name="` 2 3 8" xfId="1533"/>
    <cellStyle name="` 2 3 9" xfId="1535"/>
    <cellStyle name="` 2 4" xfId="1538"/>
    <cellStyle name="` 2 4 2" xfId="1539"/>
    <cellStyle name="` 2 4 2 2" xfId="1540"/>
    <cellStyle name="` 2 4 2 2 2" xfId="1541"/>
    <cellStyle name="` 2 4 2 2 2 2" xfId="1542"/>
    <cellStyle name="` 2 4 2 2 3" xfId="1543"/>
    <cellStyle name="` 2 4 2 2 3 2" xfId="1544"/>
    <cellStyle name="` 2 4 2 2 4" xfId="1547"/>
    <cellStyle name="` 2 4 2 2 4 2" xfId="1551"/>
    <cellStyle name="` 2 4 2 2 5" xfId="1555"/>
    <cellStyle name="` 2 4 2 3" xfId="1556"/>
    <cellStyle name="` 2 4 2 3 2" xfId="1558"/>
    <cellStyle name="` 2 4 2 3 2 2" xfId="1559"/>
    <cellStyle name="` 2 4 2 3 3" xfId="1561"/>
    <cellStyle name="` 2 4 2 3 3 2" xfId="1563"/>
    <cellStyle name="` 2 4 2 3 4" xfId="1566"/>
    <cellStyle name="` 2 4 2 4" xfId="1567"/>
    <cellStyle name="` 2 4 2 4 2" xfId="1571"/>
    <cellStyle name="` 2 4 2 5" xfId="1574"/>
    <cellStyle name="` 2 4 3" xfId="1579"/>
    <cellStyle name="` 2 4 3 2" xfId="1583"/>
    <cellStyle name="` 2 4 3 2 2" xfId="1586"/>
    <cellStyle name="` 2 4 3 3" xfId="1587"/>
    <cellStyle name="` 2 4 3 3 2" xfId="1590"/>
    <cellStyle name="` 2 4 3 4" xfId="1592"/>
    <cellStyle name="` 2 4 3 4 2" xfId="1597"/>
    <cellStyle name="` 2 4 3 5" xfId="1599"/>
    <cellStyle name="` 2 4 4" xfId="1602"/>
    <cellStyle name="` 2 4 4 2" xfId="1610"/>
    <cellStyle name="` 2 4 4 2 2" xfId="1615"/>
    <cellStyle name="` 2 4 4 3" xfId="1617"/>
    <cellStyle name="` 2 4 4 3 2" xfId="1621"/>
    <cellStyle name="` 2 4 4 4" xfId="1623"/>
    <cellStyle name="` 2 4 5" xfId="1628"/>
    <cellStyle name="` 2 4 5 2" xfId="1632"/>
    <cellStyle name="` 2 4 6" xfId="1634"/>
    <cellStyle name="` 2 5" xfId="1363"/>
    <cellStyle name="` 2 5 2" xfId="1636"/>
    <cellStyle name="` 2 5 2 2" xfId="1637"/>
    <cellStyle name="` 2 5 2 2 2" xfId="1638"/>
    <cellStyle name="` 2 5 2 2 2 2" xfId="1639"/>
    <cellStyle name="` 2 5 2 2 3" xfId="1640"/>
    <cellStyle name="` 2 5 2 2 3 2" xfId="1641"/>
    <cellStyle name="` 2 5 2 2 4" xfId="1644"/>
    <cellStyle name="` 2 5 2 2 4 2" xfId="1648"/>
    <cellStyle name="` 2 5 2 2 5" xfId="1652"/>
    <cellStyle name="` 2 5 2 3" xfId="1653"/>
    <cellStyle name="` 2 5 2 3 2" xfId="1655"/>
    <cellStyle name="` 2 5 2 3 2 2" xfId="567"/>
    <cellStyle name="` 2 5 2 3 3" xfId="1657"/>
    <cellStyle name="` 2 5 2 3 3 2" xfId="578"/>
    <cellStyle name="` 2 5 2 3 4" xfId="1661"/>
    <cellStyle name="` 2 5 2 4" xfId="1665"/>
    <cellStyle name="` 2 5 2 4 2" xfId="1668"/>
    <cellStyle name="` 2 5 2 5" xfId="1671"/>
    <cellStyle name="` 2 5 3" xfId="1681"/>
    <cellStyle name="` 2 5 3 2" xfId="1683"/>
    <cellStyle name="` 2 5 3 2 2" xfId="1684"/>
    <cellStyle name="` 2 5 3 3" xfId="1685"/>
    <cellStyle name="` 2 5 3 3 2" xfId="1687"/>
    <cellStyle name="` 2 5 3 4" xfId="1690"/>
    <cellStyle name="` 2 5 3 4 2" xfId="1697"/>
    <cellStyle name="` 2 5 3 5" xfId="1700"/>
    <cellStyle name="` 2 5 4" xfId="1705"/>
    <cellStyle name="` 2 5 4 2" xfId="1706"/>
    <cellStyle name="` 2 5 4 2 2" xfId="1707"/>
    <cellStyle name="` 2 5 4 3" xfId="1708"/>
    <cellStyle name="` 2 5 4 3 2" xfId="1711"/>
    <cellStyle name="` 2 5 4 4" xfId="1713"/>
    <cellStyle name="` 2 5 5" xfId="1714"/>
    <cellStyle name="` 2 5 5 2" xfId="1715"/>
    <cellStyle name="` 2 5 6" xfId="1716"/>
    <cellStyle name="` 2 6" xfId="1720"/>
    <cellStyle name="` 2 6 2" xfId="1721"/>
    <cellStyle name="` 2 6 2 2" xfId="1722"/>
    <cellStyle name="` 2 6 2 2 2" xfId="1723"/>
    <cellStyle name="` 2 6 2 3" xfId="1724"/>
    <cellStyle name="` 2 6 2 3 2" xfId="1726"/>
    <cellStyle name="` 2 6 2 4" xfId="1732"/>
    <cellStyle name="` 2 6 2 4 2" xfId="1734"/>
    <cellStyle name="` 2 6 2 5" xfId="1737"/>
    <cellStyle name="` 2 6 3" xfId="1205"/>
    <cellStyle name="` 2 6 3 2" xfId="837"/>
    <cellStyle name="` 2 6 3 2 2" xfId="846"/>
    <cellStyle name="` 2 6 3 3" xfId="1221"/>
    <cellStyle name="` 2 6 3 3 2" xfId="1224"/>
    <cellStyle name="` 2 6 3 4" xfId="1235"/>
    <cellStyle name="` 2 6 4" xfId="1209"/>
    <cellStyle name="` 2 6 4 2" xfId="137"/>
    <cellStyle name="` 2 6 5" xfId="1258"/>
    <cellStyle name="` 2 7" xfId="1738"/>
    <cellStyle name="` 2 7 2" xfId="1739"/>
    <cellStyle name="` 2 7 2 2" xfId="1742"/>
    <cellStyle name="` 2 7 2 2 2" xfId="1745"/>
    <cellStyle name="` 2 7 2 3" xfId="1752"/>
    <cellStyle name="` 2 7 2 3 2" xfId="1753"/>
    <cellStyle name="` 2 7 2 4" xfId="1759"/>
    <cellStyle name="` 2 7 2 4 2" xfId="1763"/>
    <cellStyle name="` 2 7 2 5" xfId="1771"/>
    <cellStyle name="` 2 7 3" xfId="1277"/>
    <cellStyle name="` 2 7 3 2" xfId="1286"/>
    <cellStyle name="` 2 7 3 2 2" xfId="1772"/>
    <cellStyle name="` 2 7 3 3" xfId="1775"/>
    <cellStyle name="` 2 7 3 3 2" xfId="1778"/>
    <cellStyle name="` 2 7 3 4" xfId="1784"/>
    <cellStyle name="` 2 7 4" xfId="1292"/>
    <cellStyle name="` 2 7 4 2" xfId="1298"/>
    <cellStyle name="` 2 7 5" xfId="1300"/>
    <cellStyle name="` 2 8" xfId="1786"/>
    <cellStyle name="` 2 8 2" xfId="1793"/>
    <cellStyle name="` 2 8 2 2" xfId="1797"/>
    <cellStyle name="` 2 8 3" xfId="892"/>
    <cellStyle name="` 2 8 3 2" xfId="900"/>
    <cellStyle name="` 2 8 4" xfId="1319"/>
    <cellStyle name="` 2 8 4 2" xfId="1325"/>
    <cellStyle name="` 2 8 5" xfId="1328"/>
    <cellStyle name="` 2 9" xfId="60"/>
    <cellStyle name="` 2 9 2" xfId="1799"/>
    <cellStyle name="` 2 9 2 2" xfId="1800"/>
    <cellStyle name="` 2 9 3" xfId="1284"/>
    <cellStyle name="` 2 9 3 2" xfId="1806"/>
    <cellStyle name="` 2 9 4" xfId="1810"/>
    <cellStyle name="` 2 9 4 2" xfId="1813"/>
    <cellStyle name="` 2 9 5" xfId="1815"/>
    <cellStyle name="` 3" xfId="1818"/>
    <cellStyle name="` 3 2" xfId="1820"/>
    <cellStyle name="` 3 2 2" xfId="1821"/>
    <cellStyle name="` 3 2 2 2" xfId="1823"/>
    <cellStyle name="` 3 2 2 2 2" xfId="1826"/>
    <cellStyle name="` 3 2 2 2 2 2" xfId="1827"/>
    <cellStyle name="` 3 2 2 2 3" xfId="1834"/>
    <cellStyle name="` 3 2 2 2 3 2" xfId="1835"/>
    <cellStyle name="` 3 2 2 2 4" xfId="1837"/>
    <cellStyle name="` 3 2 2 2 4 2" xfId="1838"/>
    <cellStyle name="` 3 2 2 2 5" xfId="1840"/>
    <cellStyle name="` 3 2 2 3" xfId="1846"/>
    <cellStyle name="` 3 2 2 3 2" xfId="1847"/>
    <cellStyle name="` 3 2 2 3 2 2" xfId="809"/>
    <cellStyle name="` 3 2 2 3 3" xfId="1852"/>
    <cellStyle name="` 3 2 2 3 3 2" xfId="1854"/>
    <cellStyle name="` 3 2 2 3 4" xfId="1860"/>
    <cellStyle name="` 3 2 2 4" xfId="1861"/>
    <cellStyle name="` 3 2 2 4 2" xfId="1862"/>
    <cellStyle name="` 3 2 2 5" xfId="1863"/>
    <cellStyle name="` 3 2 3" xfId="1864"/>
    <cellStyle name="` 3 2 3 2" xfId="1865"/>
    <cellStyle name="` 3 2 3 2 2" xfId="1867"/>
    <cellStyle name="` 3 2 3 3" xfId="1871"/>
    <cellStyle name="` 3 2 3 3 2" xfId="1872"/>
    <cellStyle name="` 3 2 3 4" xfId="1873"/>
    <cellStyle name="` 3 2 3 4 2" xfId="1874"/>
    <cellStyle name="` 3 2 3 5" xfId="1875"/>
    <cellStyle name="` 3 2 4" xfId="1877"/>
    <cellStyle name="` 3 2 4 2" xfId="1879"/>
    <cellStyle name="` 3 2 4 2 2" xfId="1887"/>
    <cellStyle name="` 3 2 4 3" xfId="1890"/>
    <cellStyle name="` 3 2 4 3 2" xfId="1896"/>
    <cellStyle name="` 3 2 4 4" xfId="1899"/>
    <cellStyle name="` 3 2 5" xfId="1903"/>
    <cellStyle name="` 3 2 5 2" xfId="1905"/>
    <cellStyle name="` 3 2 6" xfId="1907"/>
    <cellStyle name="` 3 3" xfId="1912"/>
    <cellStyle name="` 3 3 2" xfId="1916"/>
    <cellStyle name="` 3 3 2 2" xfId="1919"/>
    <cellStyle name="` 3 3 2 2 2" xfId="1920"/>
    <cellStyle name="` 3 3 2 2 2 2" xfId="1921"/>
    <cellStyle name="` 3 3 2 2 3" xfId="1923"/>
    <cellStyle name="` 3 3 2 2 3 2" xfId="1924"/>
    <cellStyle name="` 3 3 2 2 4" xfId="1925"/>
    <cellStyle name="` 3 3 2 2 4 2" xfId="1926"/>
    <cellStyle name="` 3 3 2 2 5" xfId="1928"/>
    <cellStyle name="` 3 3 2 3" xfId="1935"/>
    <cellStyle name="` 3 3 2 3 2" xfId="304"/>
    <cellStyle name="` 3 3 2 3 2 2" xfId="1939"/>
    <cellStyle name="` 3 3 2 3 3" xfId="355"/>
    <cellStyle name="` 3 3 2 3 3 2" xfId="1941"/>
    <cellStyle name="` 3 3 2 3 4" xfId="1944"/>
    <cellStyle name="` 3 3 2 4" xfId="1946"/>
    <cellStyle name="` 3 3 2 4 2" xfId="1948"/>
    <cellStyle name="` 3 3 2 5" xfId="1950"/>
    <cellStyle name="` 3 3 3" xfId="1952"/>
    <cellStyle name="` 3 3 3 2" xfId="1954"/>
    <cellStyle name="` 3 3 3 2 2" xfId="1955"/>
    <cellStyle name="` 3 3 3 3" xfId="1956"/>
    <cellStyle name="` 3 3 3 3 2" xfId="1959"/>
    <cellStyle name="` 3 3 3 4" xfId="1960"/>
    <cellStyle name="` 3 3 3 4 2" xfId="1962"/>
    <cellStyle name="` 3 3 3 5" xfId="1963"/>
    <cellStyle name="` 3 3 4" xfId="1966"/>
    <cellStyle name="` 3 3 4 2" xfId="1969"/>
    <cellStyle name="` 3 3 4 2 2" xfId="1973"/>
    <cellStyle name="` 3 3 4 3" xfId="1976"/>
    <cellStyle name="` 3 3 4 3 2" xfId="1978"/>
    <cellStyle name="` 3 3 4 4" xfId="1980"/>
    <cellStyle name="` 3 3 5" xfId="1986"/>
    <cellStyle name="` 3 3 5 2" xfId="1989"/>
    <cellStyle name="` 3 3 6" xfId="1992"/>
    <cellStyle name="` 3 4" xfId="1993"/>
    <cellStyle name="` 3 4 2" xfId="1994"/>
    <cellStyle name="` 3 4 2 2" xfId="1998"/>
    <cellStyle name="` 3 4 2 2 2" xfId="2001"/>
    <cellStyle name="` 3 4 2 3" xfId="2004"/>
    <cellStyle name="` 3 4 2 3 2" xfId="2009"/>
    <cellStyle name="` 3 4 2 4" xfId="2012"/>
    <cellStyle name="` 3 4 2 4 2" xfId="2015"/>
    <cellStyle name="` 3 4 2 5" xfId="2017"/>
    <cellStyle name="` 3 4 3" xfId="2018"/>
    <cellStyle name="` 3 4 3 2" xfId="2019"/>
    <cellStyle name="` 3 4 3 2 2" xfId="2021"/>
    <cellStyle name="` 3 4 3 3" xfId="2022"/>
    <cellStyle name="` 3 4 3 3 2" xfId="2024"/>
    <cellStyle name="` 3 4 3 4" xfId="2026"/>
    <cellStyle name="` 3 4 4" xfId="2029"/>
    <cellStyle name="` 3 4 4 2" xfId="2033"/>
    <cellStyle name="` 3 4 5" xfId="2037"/>
    <cellStyle name="` 3 5" xfId="1365"/>
    <cellStyle name="` 3 5 2" xfId="2038"/>
    <cellStyle name="` 3 5 2 2" xfId="2040"/>
    <cellStyle name="` 3 5 2 2 2" xfId="2042"/>
    <cellStyle name="` 3 5 2 3" xfId="2043"/>
    <cellStyle name="` 3 5 2 3 2" xfId="2045"/>
    <cellStyle name="` 3 5 2 4" xfId="2046"/>
    <cellStyle name="` 3 5 2 4 2" xfId="2047"/>
    <cellStyle name="` 3 5 2 5" xfId="2048"/>
    <cellStyle name="` 3 5 3" xfId="2052"/>
    <cellStyle name="` 3 5 3 2" xfId="2053"/>
    <cellStyle name="` 3 5 3 2 2" xfId="2055"/>
    <cellStyle name="` 3 5 3 3" xfId="2056"/>
    <cellStyle name="` 3 5 3 3 2" xfId="2059"/>
    <cellStyle name="` 3 5 3 4" xfId="2060"/>
    <cellStyle name="` 3 5 4" xfId="2062"/>
    <cellStyle name="` 3 5 4 2" xfId="2065"/>
    <cellStyle name="` 3 5 5" xfId="2067"/>
    <cellStyle name="` 3 6" xfId="2068"/>
    <cellStyle name="` 3 6 2" xfId="2069"/>
    <cellStyle name="` 3 6 2 2" xfId="2073"/>
    <cellStyle name="` 3 6 3" xfId="987"/>
    <cellStyle name="` 3 6 3 2" xfId="1341"/>
    <cellStyle name="` 3 6 4" xfId="996"/>
    <cellStyle name="` 3 6 4 2" xfId="883"/>
    <cellStyle name="` 3 6 5" xfId="999"/>
    <cellStyle name="` 3 7" xfId="2074"/>
    <cellStyle name="` 3 7 2" xfId="2075"/>
    <cellStyle name="` 3 7 2 2" xfId="2076"/>
    <cellStyle name="` 3 7 3" xfId="178"/>
    <cellStyle name="` 3 7 3 2" xfId="229"/>
    <cellStyle name="` 3 7 4" xfId="79"/>
    <cellStyle name="` 3 7 4 2" xfId="244"/>
    <cellStyle name="` 3 7 5" xfId="19"/>
    <cellStyle name="` 3 8" xfId="2082"/>
    <cellStyle name="` 3 8 2" xfId="2083"/>
    <cellStyle name="` 3 8 2 2" xfId="2085"/>
    <cellStyle name="` 3 8 3" xfId="723"/>
    <cellStyle name="` 3 8 3 2" xfId="2087"/>
    <cellStyle name="` 3 8 4" xfId="2094"/>
    <cellStyle name="` 3 8 4 2" xfId="2101"/>
    <cellStyle name="` 3 8 5" xfId="2105"/>
    <cellStyle name="` 3 9" xfId="2106"/>
    <cellStyle name="` 4" xfId="2107"/>
    <cellStyle name="` 4 2" xfId="2108"/>
    <cellStyle name="` 4 2 2" xfId="2109"/>
    <cellStyle name="` 4 2 2 2" xfId="2110"/>
    <cellStyle name="` 4 2 2 2 2" xfId="1654"/>
    <cellStyle name="` 4 2 2 2 2 2" xfId="1656"/>
    <cellStyle name="` 4 2 2 2 3" xfId="1666"/>
    <cellStyle name="` 4 2 2 2 3 2" xfId="1669"/>
    <cellStyle name="` 4 2 2 2 4" xfId="1672"/>
    <cellStyle name="` 4 2 2 2 4 2" xfId="2114"/>
    <cellStyle name="` 4 2 2 2 5" xfId="2119"/>
    <cellStyle name="` 4 2 2 3" xfId="2121"/>
    <cellStyle name="` 4 2 2 3 2" xfId="1686"/>
    <cellStyle name="` 4 2 2 3 2 2" xfId="1688"/>
    <cellStyle name="` 4 2 2 3 3" xfId="1691"/>
    <cellStyle name="` 4 2 2 3 3 2" xfId="1698"/>
    <cellStyle name="` 4 2 2 3 4" xfId="1701"/>
    <cellStyle name="` 4 2 2 4" xfId="2123"/>
    <cellStyle name="` 4 2 2 4 2" xfId="1709"/>
    <cellStyle name="` 4 2 2 5" xfId="2125"/>
    <cellStyle name="` 4 2 3" xfId="2126"/>
    <cellStyle name="` 4 2 3 2" xfId="2127"/>
    <cellStyle name="` 4 2 3 2 2" xfId="1725"/>
    <cellStyle name="` 4 2 3 3" xfId="2128"/>
    <cellStyle name="` 4 2 3 3 2" xfId="1223"/>
    <cellStyle name="` 4 2 3 4" xfId="2131"/>
    <cellStyle name="` 4 2 3 4 2" xfId="1249"/>
    <cellStyle name="` 4 2 3 5" xfId="2133"/>
    <cellStyle name="` 4 2 4" xfId="2135"/>
    <cellStyle name="` 4 2 4 2" xfId="2139"/>
    <cellStyle name="` 4 2 4 2 2" xfId="1750"/>
    <cellStyle name="` 4 2 4 3" xfId="2144"/>
    <cellStyle name="` 4 2 4 3 2" xfId="1776"/>
    <cellStyle name="` 4 2 4 4" xfId="2150"/>
    <cellStyle name="` 4 2 5" xfId="2156"/>
    <cellStyle name="` 4 2 5 2" xfId="2162"/>
    <cellStyle name="` 4 2 6" xfId="2165"/>
    <cellStyle name="` 4 3" xfId="2170"/>
    <cellStyle name="` 4 3 2" xfId="2172"/>
    <cellStyle name="` 4 3 2 2" xfId="2173"/>
    <cellStyle name="` 4 3 2 2 2" xfId="2044"/>
    <cellStyle name="` 4 3 2 3" xfId="2174"/>
    <cellStyle name="` 4 3 2 3 2" xfId="2057"/>
    <cellStyle name="` 4 3 2 4" xfId="2175"/>
    <cellStyle name="` 4 3 2 4 2" xfId="2178"/>
    <cellStyle name="` 4 3 2 5" xfId="2179"/>
    <cellStyle name="` 4 3 3" xfId="2180"/>
    <cellStyle name="` 4 3 3 2" xfId="2181"/>
    <cellStyle name="` 4 3 3 2 2" xfId="2183"/>
    <cellStyle name="` 4 3 3 3" xfId="2184"/>
    <cellStyle name="` 4 3 3 3 2" xfId="2186"/>
    <cellStyle name="` 4 3 3 4" xfId="2187"/>
    <cellStyle name="` 4 3 4" xfId="2190"/>
    <cellStyle name="` 4 3 4 2" xfId="2196"/>
    <cellStyle name="` 4 3 5" xfId="2198"/>
    <cellStyle name="` 4 4" xfId="2199"/>
    <cellStyle name="` 4 4 2" xfId="2200"/>
    <cellStyle name="` 4 4 2 2" xfId="2203"/>
    <cellStyle name="` 4 4 2 2 2" xfId="2205"/>
    <cellStyle name="` 4 4 2 3" xfId="2207"/>
    <cellStyle name="` 4 4 2 3 2" xfId="2209"/>
    <cellStyle name="` 4 4 2 4" xfId="2211"/>
    <cellStyle name="` 4 4 2 4 2" xfId="2216"/>
    <cellStyle name="` 4 4 2 5" xfId="2221"/>
    <cellStyle name="` 4 4 3" xfId="2222"/>
    <cellStyle name="` 4 4 3 2" xfId="2223"/>
    <cellStyle name="` 4 4 3 2 2" xfId="2224"/>
    <cellStyle name="` 4 4 3 3" xfId="2225"/>
    <cellStyle name="` 4 4 3 3 2" xfId="1718"/>
    <cellStyle name="` 4 4 3 4" xfId="2226"/>
    <cellStyle name="` 4 4 4" xfId="2228"/>
    <cellStyle name="` 4 4 4 2" xfId="2233"/>
    <cellStyle name="` 4 4 5" xfId="522"/>
    <cellStyle name="` 4 5" xfId="1086"/>
    <cellStyle name="` 4 5 2" xfId="1091"/>
    <cellStyle name="` 4 5 2 2" xfId="619"/>
    <cellStyle name="` 4 5 3" xfId="2234"/>
    <cellStyle name="` 4 5 3 2" xfId="635"/>
    <cellStyle name="` 4 5 4" xfId="2236"/>
    <cellStyle name="` 4 5 4 2" xfId="685"/>
    <cellStyle name="` 4 5 5" xfId="543"/>
    <cellStyle name="` 4 6" xfId="691"/>
    <cellStyle name="` 4 6 2" xfId="1094"/>
    <cellStyle name="` 4 6 2 2" xfId="2237"/>
    <cellStyle name="` 4 6 3" xfId="1355"/>
    <cellStyle name="` 4 6 3 2" xfId="1358"/>
    <cellStyle name="` 4 6 4" xfId="1338"/>
    <cellStyle name="` 4 7" xfId="697"/>
    <cellStyle name="` 4 7 2" xfId="1096"/>
    <cellStyle name="` 4 8" xfId="705"/>
    <cellStyle name="` 4 9" xfId="2239"/>
    <cellStyle name="` 5" xfId="2240"/>
    <cellStyle name="` 5 2" xfId="2242"/>
    <cellStyle name="` 5 2 2" xfId="2245"/>
    <cellStyle name="` 5 2 2 2" xfId="2252"/>
    <cellStyle name="` 5 2 2 2 2" xfId="2255"/>
    <cellStyle name="` 5 2 2 3" xfId="2259"/>
    <cellStyle name="` 5 2 2 3 2" xfId="2261"/>
    <cellStyle name="` 5 2 2 4" xfId="2262"/>
    <cellStyle name="` 5 2 2 4 2" xfId="2264"/>
    <cellStyle name="` 5 2 2 5" xfId="2266"/>
    <cellStyle name="` 5 2 3" xfId="2270"/>
    <cellStyle name="` 5 2 3 2" xfId="2278"/>
    <cellStyle name="` 5 2 3 2 2" xfId="2284"/>
    <cellStyle name="` 5 2 3 3" xfId="1032"/>
    <cellStyle name="` 5 2 3 3 2" xfId="793"/>
    <cellStyle name="` 5 2 3 4" xfId="2287"/>
    <cellStyle name="` 5 2 4" xfId="2290"/>
    <cellStyle name="` 5 2 4 2" xfId="2298"/>
    <cellStyle name="` 5 2 5" xfId="2303"/>
    <cellStyle name="` 5 3" xfId="2310"/>
    <cellStyle name="` 5 3 2" xfId="2314"/>
    <cellStyle name="` 5 3 2 2" xfId="2318"/>
    <cellStyle name="` 5 3 3" xfId="2323"/>
    <cellStyle name="` 5 3 3 2" xfId="2328"/>
    <cellStyle name="` 5 3 4" xfId="2334"/>
    <cellStyle name="` 5 3 4 2" xfId="2337"/>
    <cellStyle name="` 5 3 5" xfId="2340"/>
    <cellStyle name="` 5 4" xfId="2349"/>
    <cellStyle name="` 5 4 2" xfId="2354"/>
    <cellStyle name="` 5 4 2 2" xfId="2355"/>
    <cellStyle name="` 5 4 3" xfId="2358"/>
    <cellStyle name="` 5 4 3 2" xfId="2360"/>
    <cellStyle name="` 5 4 4" xfId="2362"/>
    <cellStyle name="` 5 5" xfId="2370"/>
    <cellStyle name="` 5 5 2" xfId="2373"/>
    <cellStyle name="` 5 6" xfId="2377"/>
    <cellStyle name="` 6" xfId="2378"/>
    <cellStyle name="` 6 2" xfId="2380"/>
    <cellStyle name="` 6 2 2" xfId="2385"/>
    <cellStyle name="` 6 2 2 2" xfId="704"/>
    <cellStyle name="` 6 2 2 2 2" xfId="2386"/>
    <cellStyle name="` 6 2 2 3" xfId="2238"/>
    <cellStyle name="` 6 2 2 3 2" xfId="2388"/>
    <cellStyle name="` 6 2 2 4" xfId="2389"/>
    <cellStyle name="` 6 2 2 4 2" xfId="2392"/>
    <cellStyle name="` 6 2 2 5" xfId="2396"/>
    <cellStyle name="` 6 2 3" xfId="2399"/>
    <cellStyle name="` 6 2 3 2" xfId="2404"/>
    <cellStyle name="` 6 2 3 2 2" xfId="2405"/>
    <cellStyle name="` 6 2 3 3" xfId="2406"/>
    <cellStyle name="` 6 2 3 3 2" xfId="2407"/>
    <cellStyle name="` 6 2 3 4" xfId="2408"/>
    <cellStyle name="` 6 2 4" xfId="2414"/>
    <cellStyle name="` 6 2 4 2" xfId="2417"/>
    <cellStyle name="` 6 2 5" xfId="2421"/>
    <cellStyle name="` 6 3" xfId="2424"/>
    <cellStyle name="` 6 3 2" xfId="2427"/>
    <cellStyle name="` 6 3 2 2" xfId="306"/>
    <cellStyle name="` 6 3 3" xfId="2429"/>
    <cellStyle name="` 6 3 3 2" xfId="2430"/>
    <cellStyle name="` 6 3 4" xfId="2434"/>
    <cellStyle name="` 6 3 4 2" xfId="2437"/>
    <cellStyle name="` 6 3 5" xfId="2441"/>
    <cellStyle name="` 6 4" xfId="2447"/>
    <cellStyle name="` 6 4 2" xfId="2449"/>
    <cellStyle name="` 6 4 2 2" xfId="2450"/>
    <cellStyle name="` 6 4 3" xfId="2451"/>
    <cellStyle name="` 6 4 3 2" xfId="2452"/>
    <cellStyle name="` 6 4 4" xfId="2456"/>
    <cellStyle name="` 6 5" xfId="2463"/>
    <cellStyle name="` 6 5 2" xfId="2466"/>
    <cellStyle name="` 6 6" xfId="2473"/>
    <cellStyle name="` 7" xfId="2474"/>
    <cellStyle name="` 7 2" xfId="2478"/>
    <cellStyle name="` 7 2 2" xfId="2482"/>
    <cellStyle name="` 7 2 2 2" xfId="2491"/>
    <cellStyle name="` 7 2 3" xfId="2495"/>
    <cellStyle name="` 7 2 3 2" xfId="2503"/>
    <cellStyle name="` 7 2 4" xfId="2510"/>
    <cellStyle name="` 7 2 4 2" xfId="2515"/>
    <cellStyle name="` 7 2 5" xfId="2520"/>
    <cellStyle name="` 7 3" xfId="2525"/>
    <cellStyle name="` 7 3 2" xfId="2528"/>
    <cellStyle name="` 7 3 2 2" xfId="2532"/>
    <cellStyle name="` 7 3 3" xfId="2533"/>
    <cellStyle name="` 7 3 3 2" xfId="2537"/>
    <cellStyle name="` 7 3 4" xfId="2542"/>
    <cellStyle name="` 7 4" xfId="2550"/>
    <cellStyle name="` 7 4 2" xfId="2551"/>
    <cellStyle name="` 7 5" xfId="2555"/>
    <cellStyle name="` 8" xfId="2556"/>
    <cellStyle name="` 8 2" xfId="2560"/>
    <cellStyle name="` 8 2 2" xfId="2566"/>
    <cellStyle name="` 8 2 2 2" xfId="1317"/>
    <cellStyle name="` 8 2 3" xfId="2567"/>
    <cellStyle name="` 8 2 3 2" xfId="1809"/>
    <cellStyle name="` 8 2 4" xfId="1110"/>
    <cellStyle name="` 8 2 4 2" xfId="2571"/>
    <cellStyle name="` 8 2 5" xfId="2575"/>
    <cellStyle name="` 8 3" xfId="2580"/>
    <cellStyle name="` 8 3 2" xfId="2584"/>
    <cellStyle name="` 8 3 2 2" xfId="2091"/>
    <cellStyle name="` 8 3 3" xfId="2586"/>
    <cellStyle name="` 8 3 3 2" xfId="2591"/>
    <cellStyle name="` 8 3 4" xfId="1117"/>
    <cellStyle name="` 8 4" xfId="2592"/>
    <cellStyle name="` 8 4 2" xfId="2596"/>
    <cellStyle name="` 8 5" xfId="2598"/>
    <cellStyle name="` 9" xfId="2602"/>
    <cellStyle name="` 9 2" xfId="2608"/>
    <cellStyle name="` 9 2 2" xfId="2614"/>
    <cellStyle name="` 9 3" xfId="2618"/>
    <cellStyle name="` 9 3 2" xfId="2621"/>
    <cellStyle name="` 9 4" xfId="2622"/>
    <cellStyle name="` 9 4 2" xfId="2626"/>
    <cellStyle name="` 9 5" xfId="2628"/>
    <cellStyle name="{" xfId="2630"/>
    <cellStyle name="{ 10" xfId="2632"/>
    <cellStyle name="{ 10 2" xfId="2636"/>
    <cellStyle name="{ 10 2 2" xfId="205"/>
    <cellStyle name="{ 10 3" xfId="2637"/>
    <cellStyle name="{ 10 3 2" xfId="2639"/>
    <cellStyle name="{ 10 4" xfId="2640"/>
    <cellStyle name="{ 10 4 2" xfId="2641"/>
    <cellStyle name="{ 10 5" xfId="2642"/>
    <cellStyle name="{ 11" xfId="2643"/>
    <cellStyle name="{ 11 2" xfId="2651"/>
    <cellStyle name="{ 11 2 2" xfId="2656"/>
    <cellStyle name="{ 11 3" xfId="2660"/>
    <cellStyle name="{ 11 3 2" xfId="2661"/>
    <cellStyle name="{ 11 4" xfId="2664"/>
    <cellStyle name="{ 11 4 2" xfId="2668"/>
    <cellStyle name="{ 11 5" xfId="2670"/>
    <cellStyle name="{ 12" xfId="2064"/>
    <cellStyle name="{ 2" xfId="2672"/>
    <cellStyle name="{ 2 10" xfId="2675"/>
    <cellStyle name="{ 2 10 2" xfId="2679"/>
    <cellStyle name="{ 2 10 2 2" xfId="2682"/>
    <cellStyle name="{ 2 10 3" xfId="2686"/>
    <cellStyle name="{ 2 10 3 2" xfId="2689"/>
    <cellStyle name="{ 2 10 4" xfId="2692"/>
    <cellStyle name="{ 2 10 4 2" xfId="2695"/>
    <cellStyle name="{ 2 10 5" xfId="2698"/>
    <cellStyle name="{ 2 11" xfId="2701"/>
    <cellStyle name="{ 2 2" xfId="227"/>
    <cellStyle name="{ 2 2 10" xfId="2704"/>
    <cellStyle name="{ 2 2 2" xfId="260"/>
    <cellStyle name="{ 2 2 2 2" xfId="2706"/>
    <cellStyle name="{ 2 2 2 2 2" xfId="2707"/>
    <cellStyle name="{ 2 2 2 2 2 2" xfId="2709"/>
    <cellStyle name="{ 2 2 2 2 2 2 2" xfId="348"/>
    <cellStyle name="{ 2 2 2 2 2 3" xfId="2713"/>
    <cellStyle name="{ 2 2 2 2 2 3 2" xfId="510"/>
    <cellStyle name="{ 2 2 2 2 2 4" xfId="2718"/>
    <cellStyle name="{ 2 2 2 2 2 4 2" xfId="595"/>
    <cellStyle name="{ 2 2 2 2 2 5" xfId="2725"/>
    <cellStyle name="{ 2 2 2 2 3" xfId="2726"/>
    <cellStyle name="{ 2 2 2 2 3 2" xfId="2728"/>
    <cellStyle name="{ 2 2 2 2 3 2 2" xfId="2731"/>
    <cellStyle name="{ 2 2 2 2 3 3" xfId="2735"/>
    <cellStyle name="{ 2 2 2 2 3 3 2" xfId="2738"/>
    <cellStyle name="{ 2 2 2 2 3 4" xfId="2743"/>
    <cellStyle name="{ 2 2 2 2 4" xfId="2744"/>
    <cellStyle name="{ 2 2 2 2 4 2" xfId="2745"/>
    <cellStyle name="{ 2 2 2 2 5" xfId="2750"/>
    <cellStyle name="{ 2 2 2 3" xfId="2755"/>
    <cellStyle name="{ 2 2 2 3 2" xfId="2757"/>
    <cellStyle name="{ 2 2 2 3 2 2" xfId="2760"/>
    <cellStyle name="{ 2 2 2 3 3" xfId="2764"/>
    <cellStyle name="{ 2 2 2 3 3 2" xfId="2768"/>
    <cellStyle name="{ 2 2 2 3 4" xfId="2771"/>
    <cellStyle name="{ 2 2 2 3 4 2" xfId="2778"/>
    <cellStyle name="{ 2 2 2 3 5" xfId="2783"/>
    <cellStyle name="{ 2 2 2 4" xfId="2786"/>
    <cellStyle name="{ 2 2 2 4 2" xfId="2788"/>
    <cellStyle name="{ 2 2 2 4 2 2" xfId="2790"/>
    <cellStyle name="{ 2 2 2 4 3" xfId="2793"/>
    <cellStyle name="{ 2 2 2 4 3 2" xfId="2796"/>
    <cellStyle name="{ 2 2 2 4 4" xfId="2799"/>
    <cellStyle name="{ 2 2 2 4 4 2" xfId="2802"/>
    <cellStyle name="{ 2 2 2 4 5" xfId="2806"/>
    <cellStyle name="{ 2 2 2 5" xfId="2810"/>
    <cellStyle name="{ 2 2 2 5 2" xfId="2813"/>
    <cellStyle name="{ 2 2 2 5 2 2" xfId="2815"/>
    <cellStyle name="{ 2 2 2 5 3" xfId="2818"/>
    <cellStyle name="{ 2 2 2 5 3 2" xfId="2821"/>
    <cellStyle name="{ 2 2 2 5 4" xfId="2824"/>
    <cellStyle name="{ 2 2 2 6" xfId="899"/>
    <cellStyle name="{ 2 2 2 6 2" xfId="2830"/>
    <cellStyle name="{ 2 2 2 7" xfId="2838"/>
    <cellStyle name="{ 2 2 3" xfId="282"/>
    <cellStyle name="{ 2 2 3 2" xfId="2843"/>
    <cellStyle name="{ 2 2 3 2 2" xfId="2845"/>
    <cellStyle name="{ 2 2 3 2 2 2" xfId="2850"/>
    <cellStyle name="{ 2 2 3 2 2 2 2" xfId="2858"/>
    <cellStyle name="{ 2 2 3 2 2 3" xfId="2866"/>
    <cellStyle name="{ 2 2 3 2 2 3 2" xfId="2873"/>
    <cellStyle name="{ 2 2 3 2 2 4" xfId="428"/>
    <cellStyle name="{ 2 2 3 2 2 4 2" xfId="2877"/>
    <cellStyle name="{ 2 2 3 2 2 5" xfId="439"/>
    <cellStyle name="{ 2 2 3 2 3" xfId="2878"/>
    <cellStyle name="{ 2 2 3 2 3 2" xfId="2884"/>
    <cellStyle name="{ 2 2 3 2 3 2 2" xfId="2890"/>
    <cellStyle name="{ 2 2 3 2 3 3" xfId="934"/>
    <cellStyle name="{ 2 2 3 2 3 3 2" xfId="938"/>
    <cellStyle name="{ 2 2 3 2 3 4" xfId="464"/>
    <cellStyle name="{ 2 2 3 2 4" xfId="2891"/>
    <cellStyle name="{ 2 2 3 2 4 2" xfId="2896"/>
    <cellStyle name="{ 2 2 3 2 5" xfId="2899"/>
    <cellStyle name="{ 2 2 3 3" xfId="2903"/>
    <cellStyle name="{ 2 2 3 3 2" xfId="2906"/>
    <cellStyle name="{ 2 2 3 3 2 2" xfId="2910"/>
    <cellStyle name="{ 2 2 3 3 3" xfId="2913"/>
    <cellStyle name="{ 2 2 3 3 3 2" xfId="2921"/>
    <cellStyle name="{ 2 2 3 3 4" xfId="2924"/>
    <cellStyle name="{ 2 2 3 3 4 2" xfId="2933"/>
    <cellStyle name="{ 2 2 3 3 5" xfId="2938"/>
    <cellStyle name="{ 2 2 3 4" xfId="2941"/>
    <cellStyle name="{ 2 2 3 4 2" xfId="2943"/>
    <cellStyle name="{ 2 2 3 4 2 2" xfId="2945"/>
    <cellStyle name="{ 2 2 3 4 3" xfId="2948"/>
    <cellStyle name="{ 2 2 3 4 3 2" xfId="805"/>
    <cellStyle name="{ 2 2 3 4 4" xfId="2951"/>
    <cellStyle name="{ 2 2 3 5" xfId="2955"/>
    <cellStyle name="{ 2 2 3 5 2" xfId="2960"/>
    <cellStyle name="{ 2 2 3 6" xfId="1324"/>
    <cellStyle name="{ 2 2 4" xfId="831"/>
    <cellStyle name="{ 2 2 4 2" xfId="2962"/>
    <cellStyle name="{ 2 2 4 2 2" xfId="2963"/>
    <cellStyle name="{ 2 2 4 2 2 2" xfId="2964"/>
    <cellStyle name="{ 2 2 4 2 3" xfId="2965"/>
    <cellStyle name="{ 2 2 4 2 3 2" xfId="2966"/>
    <cellStyle name="{ 2 2 4 2 4" xfId="2968"/>
    <cellStyle name="{ 2 2 4 2 4 2" xfId="253"/>
    <cellStyle name="{ 2 2 4 2 5" xfId="2974"/>
    <cellStyle name="{ 2 2 4 3" xfId="2978"/>
    <cellStyle name="{ 2 2 4 3 2" xfId="2981"/>
    <cellStyle name="{ 2 2 4 3 2 2" xfId="2983"/>
    <cellStyle name="{ 2 2 4 3 3" xfId="2986"/>
    <cellStyle name="{ 2 2 4 3 3 2" xfId="2989"/>
    <cellStyle name="{ 2 2 4 3 4" xfId="2992"/>
    <cellStyle name="{ 2 2 4 4" xfId="2996"/>
    <cellStyle name="{ 2 2 4 4 2" xfId="2998"/>
    <cellStyle name="{ 2 2 4 5" xfId="3002"/>
    <cellStyle name="{ 2 2 5" xfId="3004"/>
    <cellStyle name="{ 2 2 5 2" xfId="3009"/>
    <cellStyle name="{ 2 2 5 2 2" xfId="3015"/>
    <cellStyle name="{ 2 2 5 2 2 2" xfId="3021"/>
    <cellStyle name="{ 2 2 5 2 3" xfId="3027"/>
    <cellStyle name="{ 2 2 5 2 3 2" xfId="3030"/>
    <cellStyle name="{ 2 2 5 2 4" xfId="3038"/>
    <cellStyle name="{ 2 2 5 2 4 2" xfId="3039"/>
    <cellStyle name="{ 2 2 5 2 5" xfId="3042"/>
    <cellStyle name="{ 2 2 5 3" xfId="3044"/>
    <cellStyle name="{ 2 2 5 3 2" xfId="3052"/>
    <cellStyle name="{ 2 2 5 3 2 2" xfId="3062"/>
    <cellStyle name="{ 2 2 5 3 3" xfId="3067"/>
    <cellStyle name="{ 2 2 5 3 3 2" xfId="3072"/>
    <cellStyle name="{ 2 2 5 3 4" xfId="3076"/>
    <cellStyle name="{ 2 2 5 4" xfId="3079"/>
    <cellStyle name="{ 2 2 5 4 2" xfId="3084"/>
    <cellStyle name="{ 2 2 5 5" xfId="3091"/>
    <cellStyle name="{ 2 2 6" xfId="3099"/>
    <cellStyle name="{ 2 2 6 2" xfId="3105"/>
    <cellStyle name="{ 2 2 6 2 2" xfId="3108"/>
    <cellStyle name="{ 2 2 6 3" xfId="3111"/>
    <cellStyle name="{ 2 2 6 3 2" xfId="3119"/>
    <cellStyle name="{ 2 2 6 4" xfId="3127"/>
    <cellStyle name="{ 2 2 6 4 2" xfId="3132"/>
    <cellStyle name="{ 2 2 6 5" xfId="3137"/>
    <cellStyle name="{ 2 2 7" xfId="650"/>
    <cellStyle name="{ 2 2 7 2" xfId="1477"/>
    <cellStyle name="{ 2 2 7 2 2" xfId="3145"/>
    <cellStyle name="{ 2 2 7 3" xfId="3147"/>
    <cellStyle name="{ 2 2 7 3 2" xfId="3154"/>
    <cellStyle name="{ 2 2 7 4" xfId="3159"/>
    <cellStyle name="{ 2 2 7 4 2" xfId="3163"/>
    <cellStyle name="{ 2 2 7 5" xfId="3167"/>
    <cellStyle name="{ 2 2 8" xfId="666"/>
    <cellStyle name="{ 2 2 8 2" xfId="1487"/>
    <cellStyle name="{ 2 2 8 2 2" xfId="3170"/>
    <cellStyle name="{ 2 2 8 3" xfId="3175"/>
    <cellStyle name="{ 2 2 8 3 2" xfId="3180"/>
    <cellStyle name="{ 2 2 8 4" xfId="3186"/>
    <cellStyle name="{ 2 2 8 4 2" xfId="3192"/>
    <cellStyle name="{ 2 2 8 5" xfId="3197"/>
    <cellStyle name="{ 2 2 9" xfId="1494"/>
    <cellStyle name="{ 2 2 9 2" xfId="3202"/>
    <cellStyle name="{ 2 2 9 2 2" xfId="3204"/>
    <cellStyle name="{ 2 2 9 3" xfId="3205"/>
    <cellStyle name="{ 2 2 9 3 2" xfId="3206"/>
    <cellStyle name="{ 2 2 9 4" xfId="3207"/>
    <cellStyle name="{ 2 2 9 4 2" xfId="3209"/>
    <cellStyle name="{ 2 2 9 5" xfId="3210"/>
    <cellStyle name="{ 2 3" xfId="3216"/>
    <cellStyle name="{ 2 3 2" xfId="3225"/>
    <cellStyle name="{ 2 3 2 2" xfId="3227"/>
    <cellStyle name="{ 2 3 2 2 2" xfId="3229"/>
    <cellStyle name="{ 2 3 2 2 2 2" xfId="3230"/>
    <cellStyle name="{ 2 3 2 2 2 2 2" xfId="3232"/>
    <cellStyle name="{ 2 3 2 2 2 3" xfId="3234"/>
    <cellStyle name="{ 2 3 2 2 2 3 2" xfId="3237"/>
    <cellStyle name="{ 2 3 2 2 2 4" xfId="3239"/>
    <cellStyle name="{ 2 3 2 2 2 4 2" xfId="3241"/>
    <cellStyle name="{ 2 3 2 2 2 5" xfId="2665"/>
    <cellStyle name="{ 2 3 2 2 3" xfId="921"/>
    <cellStyle name="{ 2 3 2 2 3 2" xfId="3242"/>
    <cellStyle name="{ 2 3 2 2 3 2 2" xfId="3245"/>
    <cellStyle name="{ 2 3 2 2 3 3" xfId="3247"/>
    <cellStyle name="{ 2 3 2 2 3 3 2" xfId="3250"/>
    <cellStyle name="{ 2 3 2 2 3 4" xfId="3251"/>
    <cellStyle name="{ 2 3 2 2 4" xfId="3254"/>
    <cellStyle name="{ 2 3 2 2 4 2" xfId="3255"/>
    <cellStyle name="{ 2 3 2 2 5" xfId="3260"/>
    <cellStyle name="{ 2 3 2 3" xfId="2487"/>
    <cellStyle name="{ 2 3 2 3 2" xfId="3262"/>
    <cellStyle name="{ 2 3 2 3 2 2" xfId="3264"/>
    <cellStyle name="{ 2 3 2 3 3" xfId="3270"/>
    <cellStyle name="{ 2 3 2 3 3 2" xfId="3273"/>
    <cellStyle name="{ 2 3 2 3 4" xfId="3277"/>
    <cellStyle name="{ 2 3 2 3 4 2" xfId="3280"/>
    <cellStyle name="{ 2 3 2 3 5" xfId="3284"/>
    <cellStyle name="{ 2 3 2 4" xfId="3286"/>
    <cellStyle name="{ 2 3 2 4 2" xfId="3288"/>
    <cellStyle name="{ 2 3 2 4 2 2" xfId="3290"/>
    <cellStyle name="{ 2 3 2 4 3" xfId="2654"/>
    <cellStyle name="{ 2 3 2 4 3 2" xfId="3293"/>
    <cellStyle name="{ 2 3 2 4 4" xfId="3297"/>
    <cellStyle name="{ 2 3 2 5" xfId="3299"/>
    <cellStyle name="{ 2 3 2 5 2" xfId="3301"/>
    <cellStyle name="{ 2 3 2 6" xfId="1804"/>
    <cellStyle name="{ 2 3 3" xfId="3305"/>
    <cellStyle name="{ 2 3 3 2" xfId="3308"/>
    <cellStyle name="{ 2 3 3 2 2" xfId="3309"/>
    <cellStyle name="{ 2 3 3 2 2 2" xfId="3311"/>
    <cellStyle name="{ 2 3 3 2 3" xfId="3317"/>
    <cellStyle name="{ 2 3 3 2 3 2" xfId="3319"/>
    <cellStyle name="{ 2 3 3 2 4" xfId="3322"/>
    <cellStyle name="{ 2 3 3 2 4 2" xfId="3324"/>
    <cellStyle name="{ 2 3 3 2 5" xfId="3328"/>
    <cellStyle name="{ 2 3 3 3" xfId="2500"/>
    <cellStyle name="{ 2 3 3 3 2" xfId="3330"/>
    <cellStyle name="{ 2 3 3 3 2 2" xfId="3332"/>
    <cellStyle name="{ 2 3 3 3 3" xfId="3338"/>
    <cellStyle name="{ 2 3 3 3 3 2" xfId="3342"/>
    <cellStyle name="{ 2 3 3 3 4" xfId="3347"/>
    <cellStyle name="{ 2 3 3 4" xfId="3350"/>
    <cellStyle name="{ 2 3 3 4 2" xfId="3354"/>
    <cellStyle name="{ 2 3 3 5" xfId="3356"/>
    <cellStyle name="{ 2 3 4" xfId="3361"/>
    <cellStyle name="{ 2 3 4 2" xfId="3363"/>
    <cellStyle name="{ 2 3 4 2 2" xfId="3365"/>
    <cellStyle name="{ 2 3 4 2 2 2" xfId="822"/>
    <cellStyle name="{ 2 3 4 2 3" xfId="3371"/>
    <cellStyle name="{ 2 3 4 2 3 2" xfId="3374"/>
    <cellStyle name="{ 2 3 4 2 4" xfId="3376"/>
    <cellStyle name="{ 2 3 4 2 4 2" xfId="3379"/>
    <cellStyle name="{ 2 3 4 2 5" xfId="3384"/>
    <cellStyle name="{ 2 3 4 3" xfId="2514"/>
    <cellStyle name="{ 2 3 4 3 2" xfId="3387"/>
    <cellStyle name="{ 2 3 4 3 2 2" xfId="3390"/>
    <cellStyle name="{ 2 3 4 3 3" xfId="3394"/>
    <cellStyle name="{ 2 3 4 3 3 2" xfId="3400"/>
    <cellStyle name="{ 2 3 4 3 4" xfId="3404"/>
    <cellStyle name="{ 2 3 4 4" xfId="3406"/>
    <cellStyle name="{ 2 3 4 4 2" xfId="3408"/>
    <cellStyle name="{ 2 3 4 5" xfId="3410"/>
    <cellStyle name="{ 2 3 5" xfId="3415"/>
    <cellStyle name="{ 2 3 5 2" xfId="3419"/>
    <cellStyle name="{ 2 3 5 2 2" xfId="3421"/>
    <cellStyle name="{ 2 3 5 3" xfId="3425"/>
    <cellStyle name="{ 2 3 5 3 2" xfId="3430"/>
    <cellStyle name="{ 2 3 5 4" xfId="3433"/>
    <cellStyle name="{ 2 3 5 4 2" xfId="3436"/>
    <cellStyle name="{ 2 3 5 5" xfId="3439"/>
    <cellStyle name="{ 2 3 6" xfId="3444"/>
    <cellStyle name="{ 2 3 6 2" xfId="3450"/>
    <cellStyle name="{ 2 3 6 2 2" xfId="3454"/>
    <cellStyle name="{ 2 3 6 3" xfId="3458"/>
    <cellStyle name="{ 2 3 6 3 2" xfId="3469"/>
    <cellStyle name="{ 2 3 6 4" xfId="3476"/>
    <cellStyle name="{ 2 3 7" xfId="1505"/>
    <cellStyle name="{ 2 3 7 2" xfId="3481"/>
    <cellStyle name="{ 2 3 8" xfId="3489"/>
    <cellStyle name="{ 2 3 9" xfId="3495"/>
    <cellStyle name="{ 2 4" xfId="3499"/>
    <cellStyle name="{ 2 4 2" xfId="3380"/>
    <cellStyle name="{ 2 4 2 2" xfId="3501"/>
    <cellStyle name="{ 2 4 2 2 2" xfId="3503"/>
    <cellStyle name="{ 2 4 2 2 2 2" xfId="3126"/>
    <cellStyle name="{ 2 4 2 2 3" xfId="3509"/>
    <cellStyle name="{ 2 4 2 2 3 2" xfId="3155"/>
    <cellStyle name="{ 2 4 2 2 4" xfId="2765"/>
    <cellStyle name="{ 2 4 2 2 4 2" xfId="3189"/>
    <cellStyle name="{ 2 4 2 2 5" xfId="3512"/>
    <cellStyle name="{ 2 4 2 3" xfId="2530"/>
    <cellStyle name="{ 2 4 2 3 2" xfId="3514"/>
    <cellStyle name="{ 2 4 2 3 2 2" xfId="3471"/>
    <cellStyle name="{ 2 4 2 3 3" xfId="3521"/>
    <cellStyle name="{ 2 4 2 3 3 2" xfId="3524"/>
    <cellStyle name="{ 2 4 2 3 4" xfId="2775"/>
    <cellStyle name="{ 2 4 2 4" xfId="3526"/>
    <cellStyle name="{ 2 4 2 4 2" xfId="3529"/>
    <cellStyle name="{ 2 4 2 5" xfId="3533"/>
    <cellStyle name="{ 2 4 3" xfId="3535"/>
    <cellStyle name="{ 2 4 3 2" xfId="3538"/>
    <cellStyle name="{ 2 4 3 2 2" xfId="3543"/>
    <cellStyle name="{ 2 4 3 3" xfId="2536"/>
    <cellStyle name="{ 2 4 3 3 2" xfId="3548"/>
    <cellStyle name="{ 2 4 3 4" xfId="3551"/>
    <cellStyle name="{ 2 4 3 4 2" xfId="3554"/>
    <cellStyle name="{ 2 4 3 5" xfId="3556"/>
    <cellStyle name="{ 2 4 4" xfId="3557"/>
    <cellStyle name="{ 2 4 4 2" xfId="3559"/>
    <cellStyle name="{ 2 4 4 2 2" xfId="3566"/>
    <cellStyle name="{ 2 4 4 3" xfId="3570"/>
    <cellStyle name="{ 2 4 4 3 2" xfId="3576"/>
    <cellStyle name="{ 2 4 4 4" xfId="3578"/>
    <cellStyle name="{ 2 4 5" xfId="3579"/>
    <cellStyle name="{ 2 4 5 2" xfId="3585"/>
    <cellStyle name="{ 2 4 6" xfId="3587"/>
    <cellStyle name="{ 2 5" xfId="3591"/>
    <cellStyle name="{ 2 5 2" xfId="3592"/>
    <cellStyle name="{ 2 5 2 2" xfId="3595"/>
    <cellStyle name="{ 2 5 2 2 2" xfId="3601"/>
    <cellStyle name="{ 2 5 2 2 2 2" xfId="3605"/>
    <cellStyle name="{ 2 5 2 2 3" xfId="3611"/>
    <cellStyle name="{ 2 5 2 2 3 2" xfId="3614"/>
    <cellStyle name="{ 2 5 2 2 4" xfId="2918"/>
    <cellStyle name="{ 2 5 2 2 4 2" xfId="3616"/>
    <cellStyle name="{ 2 5 2 2 5" xfId="3619"/>
    <cellStyle name="{ 2 5 2 3" xfId="3626"/>
    <cellStyle name="{ 2 5 2 3 2" xfId="3630"/>
    <cellStyle name="{ 2 5 2 3 2 2" xfId="3635"/>
    <cellStyle name="{ 2 5 2 3 3" xfId="3641"/>
    <cellStyle name="{ 2 5 2 3 3 2" xfId="3646"/>
    <cellStyle name="{ 2 5 2 3 4" xfId="2930"/>
    <cellStyle name="{ 2 5 2 4" xfId="3652"/>
    <cellStyle name="{ 2 5 2 4 2" xfId="3657"/>
    <cellStyle name="{ 2 5 2 5" xfId="3659"/>
    <cellStyle name="{ 2 5 3" xfId="3660"/>
    <cellStyle name="{ 2 5 3 2" xfId="3661"/>
    <cellStyle name="{ 2 5 3 2 2" xfId="3669"/>
    <cellStyle name="{ 2 5 3 3" xfId="3674"/>
    <cellStyle name="{ 2 5 3 3 2" xfId="3681"/>
    <cellStyle name="{ 2 5 3 4" xfId="3686"/>
    <cellStyle name="{ 2 5 3 4 2" xfId="3693"/>
    <cellStyle name="{ 2 5 3 5" xfId="3699"/>
    <cellStyle name="{ 2 5 4" xfId="3700"/>
    <cellStyle name="{ 2 5 4 2" xfId="3701"/>
    <cellStyle name="{ 2 5 4 2 2" xfId="3706"/>
    <cellStyle name="{ 2 5 4 3" xfId="3708"/>
    <cellStyle name="{ 2 5 4 3 2" xfId="3714"/>
    <cellStyle name="{ 2 5 4 4" xfId="3717"/>
    <cellStyle name="{ 2 5 5" xfId="3720"/>
    <cellStyle name="{ 2 5 5 2" xfId="3727"/>
    <cellStyle name="{ 2 5 6" xfId="3730"/>
    <cellStyle name="{ 2 6" xfId="3731"/>
    <cellStyle name="{ 2 6 2" xfId="3733"/>
    <cellStyle name="{ 2 6 2 2" xfId="3735"/>
    <cellStyle name="{ 2 6 2 2 2" xfId="3736"/>
    <cellStyle name="{ 2 6 2 3" xfId="3738"/>
    <cellStyle name="{ 2 6 2 3 2" xfId="1902"/>
    <cellStyle name="{ 2 6 2 4" xfId="3741"/>
    <cellStyle name="{ 2 6 2 4 2" xfId="1983"/>
    <cellStyle name="{ 2 6 2 5" xfId="3743"/>
    <cellStyle name="{ 2 6 3" xfId="2020"/>
    <cellStyle name="{ 2 6 3 2" xfId="3744"/>
    <cellStyle name="{ 2 6 3 2 2" xfId="3745"/>
    <cellStyle name="{ 2 6 3 3" xfId="3747"/>
    <cellStyle name="{ 2 6 3 3 2" xfId="2155"/>
    <cellStyle name="{ 2 6 3 4" xfId="3750"/>
    <cellStyle name="{ 2 6 4" xfId="3751"/>
    <cellStyle name="{ 2 6 4 2" xfId="3752"/>
    <cellStyle name="{ 2 6 5" xfId="3756"/>
    <cellStyle name="{ 2 7" xfId="3395"/>
    <cellStyle name="{ 2 7 2" xfId="3757"/>
    <cellStyle name="{ 2 7 2 2" xfId="3758"/>
    <cellStyle name="{ 2 7 2 2 2" xfId="3759"/>
    <cellStyle name="{ 2 7 2 3" xfId="3761"/>
    <cellStyle name="{ 2 7 2 3 2" xfId="3765"/>
    <cellStyle name="{ 2 7 2 4" xfId="3767"/>
    <cellStyle name="{ 2 7 2 4 2" xfId="3771"/>
    <cellStyle name="{ 2 7 2 5" xfId="3772"/>
    <cellStyle name="{ 2 7 3" xfId="2023"/>
    <cellStyle name="{ 2 7 3 2" xfId="3773"/>
    <cellStyle name="{ 2 7 3 2 2" xfId="3774"/>
    <cellStyle name="{ 2 7 3 3" xfId="3777"/>
    <cellStyle name="{ 2 7 3 3 2" xfId="3781"/>
    <cellStyle name="{ 2 7 3 4" xfId="3782"/>
    <cellStyle name="{ 2 7 4" xfId="3783"/>
    <cellStyle name="{ 2 7 4 2" xfId="3784"/>
    <cellStyle name="{ 2 7 5" xfId="3787"/>
    <cellStyle name="{ 2 8" xfId="843"/>
    <cellStyle name="{ 2 8 2" xfId="850"/>
    <cellStyle name="{ 2 8 2 2" xfId="3788"/>
    <cellStyle name="{ 2 8 3" xfId="855"/>
    <cellStyle name="{ 2 8 3 2" xfId="3791"/>
    <cellStyle name="{ 2 8 4" xfId="860"/>
    <cellStyle name="{ 2 8 4 2" xfId="828"/>
    <cellStyle name="{ 2 8 5" xfId="3797"/>
    <cellStyle name="{ 2 9" xfId="3798"/>
    <cellStyle name="{ 2 9 2" xfId="3803"/>
    <cellStyle name="{ 2 9 2 2" xfId="3804"/>
    <cellStyle name="{ 2 9 3" xfId="3807"/>
    <cellStyle name="{ 2 9 3 2" xfId="3808"/>
    <cellStyle name="{ 2 9 4" xfId="3811"/>
    <cellStyle name="{ 2 9 4 2" xfId="1213"/>
    <cellStyle name="{ 2 9 5" xfId="3815"/>
    <cellStyle name="{ 3" xfId="3816"/>
    <cellStyle name="{ 3 10" xfId="3822"/>
    <cellStyle name="{ 3 2" xfId="3828"/>
    <cellStyle name="{ 3 2 2" xfId="1167"/>
    <cellStyle name="{ 3 2 2 2" xfId="1173"/>
    <cellStyle name="{ 3 2 2 2 2" xfId="1178"/>
    <cellStyle name="{ 3 2 2 2 2 2" xfId="3836"/>
    <cellStyle name="{ 3 2 2 2 3" xfId="3839"/>
    <cellStyle name="{ 3 2 2 2 3 2" xfId="3845"/>
    <cellStyle name="{ 3 2 2 2 4" xfId="3848"/>
    <cellStyle name="{ 3 2 2 2 4 2" xfId="3851"/>
    <cellStyle name="{ 3 2 2 2 5" xfId="3855"/>
    <cellStyle name="{ 3 2 2 3" xfId="1186"/>
    <cellStyle name="{ 3 2 2 3 2" xfId="1190"/>
    <cellStyle name="{ 3 2 2 3 2 2" xfId="3857"/>
    <cellStyle name="{ 3 2 2 3 3" xfId="3859"/>
    <cellStyle name="{ 3 2 2 3 3 2" xfId="3861"/>
    <cellStyle name="{ 3 2 2 3 4" xfId="3863"/>
    <cellStyle name="{ 3 2 2 4" xfId="1194"/>
    <cellStyle name="{ 3 2 2 4 2" xfId="3865"/>
    <cellStyle name="{ 3 2 2 5" xfId="3868"/>
    <cellStyle name="{ 3 2 3" xfId="1207"/>
    <cellStyle name="{ 3 2 3 2" xfId="842"/>
    <cellStyle name="{ 3 2 3 2 2" xfId="2395"/>
    <cellStyle name="{ 3 2 3 3" xfId="3872"/>
    <cellStyle name="{ 3 2 3 3 2" xfId="3876"/>
    <cellStyle name="{ 3 2 3 4" xfId="3878"/>
    <cellStyle name="{ 3 2 3 4 2" xfId="3880"/>
    <cellStyle name="{ 3 2 3 5" xfId="3883"/>
    <cellStyle name="{ 3 2 4" xfId="1211"/>
    <cellStyle name="{ 3 2 4 2" xfId="3885"/>
    <cellStyle name="{ 3 2 4 2 2" xfId="415"/>
    <cellStyle name="{ 3 2 4 3" xfId="3887"/>
    <cellStyle name="{ 3 2 4 3 2" xfId="3891"/>
    <cellStyle name="{ 3 2 4 4" xfId="3893"/>
    <cellStyle name="{ 3 2 4 4 2" xfId="3898"/>
    <cellStyle name="{ 3 2 4 5" xfId="3899"/>
    <cellStyle name="{ 3 2 5" xfId="3901"/>
    <cellStyle name="{ 3 2 5 2" xfId="3905"/>
    <cellStyle name="{ 3 2 5 2 2" xfId="3910"/>
    <cellStyle name="{ 3 2 5 3" xfId="3914"/>
    <cellStyle name="{ 3 2 5 3 2" xfId="3921"/>
    <cellStyle name="{ 3 2 5 4" xfId="3927"/>
    <cellStyle name="{ 3 2 6" xfId="334"/>
    <cellStyle name="{ 3 2 6 2" xfId="3933"/>
    <cellStyle name="{ 3 2 7" xfId="342"/>
    <cellStyle name="{ 3 3" xfId="3937"/>
    <cellStyle name="{ 3 3 2" xfId="1312"/>
    <cellStyle name="{ 3 3 2 2" xfId="891"/>
    <cellStyle name="{ 3 3 2 2 2" xfId="896"/>
    <cellStyle name="{ 3 3 2 2 2 2" xfId="2828"/>
    <cellStyle name="{ 3 3 2 2 3" xfId="2836"/>
    <cellStyle name="{ 3 3 2 2 3 2" xfId="3940"/>
    <cellStyle name="{ 3 3 2 2 4" xfId="3942"/>
    <cellStyle name="{ 3 3 2 2 4 2" xfId="3944"/>
    <cellStyle name="{ 3 3 2 2 5" xfId="3947"/>
    <cellStyle name="{ 3 3 2 3" xfId="1314"/>
    <cellStyle name="{ 3 3 2 3 2" xfId="1321"/>
    <cellStyle name="{ 3 3 2 3 2 2" xfId="3949"/>
    <cellStyle name="{ 3 3 2 3 3" xfId="3950"/>
    <cellStyle name="{ 3 3 2 3 3 2" xfId="3951"/>
    <cellStyle name="{ 3 3 2 3 4" xfId="3952"/>
    <cellStyle name="{ 3 3 2 4" xfId="1327"/>
    <cellStyle name="{ 3 3 2 4 2" xfId="3954"/>
    <cellStyle name="{ 3 3 2 5" xfId="3956"/>
    <cellStyle name="{ 3 3 3" xfId="1268"/>
    <cellStyle name="{ 3 3 3 2" xfId="1283"/>
    <cellStyle name="{ 3 3 3 2 2" xfId="1801"/>
    <cellStyle name="{ 3 3 3 3" xfId="1807"/>
    <cellStyle name="{ 3 3 3 3 2" xfId="1812"/>
    <cellStyle name="{ 3 3 3 4" xfId="1814"/>
    <cellStyle name="{ 3 3 3 4 2" xfId="3957"/>
    <cellStyle name="{ 3 3 3 5" xfId="3959"/>
    <cellStyle name="{ 3 3 4" xfId="1289"/>
    <cellStyle name="{ 3 3 4 2" xfId="3960"/>
    <cellStyle name="{ 3 3 4 2 2" xfId="3961"/>
    <cellStyle name="{ 3 3 4 3" xfId="2569"/>
    <cellStyle name="{ 3 3 4 3 2" xfId="3962"/>
    <cellStyle name="{ 3 3 4 4" xfId="3963"/>
    <cellStyle name="{ 3 3 5" xfId="3965"/>
    <cellStyle name="{ 3 3 5 2" xfId="3967"/>
    <cellStyle name="{ 3 3 6" xfId="35"/>
    <cellStyle name="{ 3 4" xfId="3968"/>
    <cellStyle name="{ 3 4 2" xfId="1347"/>
    <cellStyle name="{ 3 4 2 2" xfId="722"/>
    <cellStyle name="{ 3 4 2 2 2" xfId="2086"/>
    <cellStyle name="{ 3 4 2 3" xfId="2090"/>
    <cellStyle name="{ 3 4 2 3 2" xfId="2100"/>
    <cellStyle name="{ 3 4 2 4" xfId="2104"/>
    <cellStyle name="{ 3 4 2 4 2" xfId="3971"/>
    <cellStyle name="{ 3 4 2 5" xfId="3976"/>
    <cellStyle name="{ 3 4 3" xfId="887"/>
    <cellStyle name="{ 3 4 3 2" xfId="3978"/>
    <cellStyle name="{ 3 4 3 2 2" xfId="3979"/>
    <cellStyle name="{ 3 4 3 3" xfId="2589"/>
    <cellStyle name="{ 3 4 3 3 2" xfId="3987"/>
    <cellStyle name="{ 3 4 3 4" xfId="3990"/>
    <cellStyle name="{ 3 4 4" xfId="3991"/>
    <cellStyle name="{ 3 4 4 2" xfId="3992"/>
    <cellStyle name="{ 3 4 5" xfId="3993"/>
    <cellStyle name="{ 3 5" xfId="3994"/>
    <cellStyle name="{ 3 5 2" xfId="1372"/>
    <cellStyle name="{ 3 5 2 2" xfId="1376"/>
    <cellStyle name="{ 3 5 2 2 2" xfId="3995"/>
    <cellStyle name="{ 3 5 2 3" xfId="3996"/>
    <cellStyle name="{ 3 5 2 3 2" xfId="4000"/>
    <cellStyle name="{ 3 5 2 4" xfId="4001"/>
    <cellStyle name="{ 3 5 2 4 2" xfId="4003"/>
    <cellStyle name="{ 3 5 2 5" xfId="4004"/>
    <cellStyle name="{ 3 5 3" xfId="1280"/>
    <cellStyle name="{ 3 5 3 2" xfId="4005"/>
    <cellStyle name="{ 3 5 3 2 2" xfId="4006"/>
    <cellStyle name="{ 3 5 3 3" xfId="4007"/>
    <cellStyle name="{ 3 5 3 3 2" xfId="4009"/>
    <cellStyle name="{ 3 5 3 4" xfId="4010"/>
    <cellStyle name="{ 3 5 4" xfId="4011"/>
    <cellStyle name="{ 3 5 4 2" xfId="4012"/>
    <cellStyle name="{ 3 5 5" xfId="4015"/>
    <cellStyle name="{ 3 6" xfId="4016"/>
    <cellStyle name="{ 3 6 2" xfId="1383"/>
    <cellStyle name="{ 3 6 2 2" xfId="1390"/>
    <cellStyle name="{ 3 6 3" xfId="1297"/>
    <cellStyle name="{ 3 6 3 2" xfId="4020"/>
    <cellStyle name="{ 3 6 4" xfId="2849"/>
    <cellStyle name="{ 3 6 4 2" xfId="2855"/>
    <cellStyle name="{ 3 6 5" xfId="2865"/>
    <cellStyle name="{ 3 7" xfId="4021"/>
    <cellStyle name="{ 3 7 2" xfId="1402"/>
    <cellStyle name="{ 3 7 2 2" xfId="1406"/>
    <cellStyle name="{ 3 7 3" xfId="1306"/>
    <cellStyle name="{ 3 7 3 2" xfId="4024"/>
    <cellStyle name="{ 3 7 4" xfId="2883"/>
    <cellStyle name="{ 3 7 4 2" xfId="2887"/>
    <cellStyle name="{ 3 7 5" xfId="933"/>
    <cellStyle name="{ 3 8" xfId="4025"/>
    <cellStyle name="{ 3 8 2" xfId="405"/>
    <cellStyle name="{ 3 8 2 2" xfId="418"/>
    <cellStyle name="{ 3 8 3" xfId="444"/>
    <cellStyle name="{ 3 8 3 2" xfId="4030"/>
    <cellStyle name="{ 3 8 4" xfId="2895"/>
    <cellStyle name="{ 3 8 4 2" xfId="4031"/>
    <cellStyle name="{ 3 8 5" xfId="4034"/>
    <cellStyle name="{ 3 9" xfId="4035"/>
    <cellStyle name="{ 3 9 2" xfId="4040"/>
    <cellStyle name="{ 3 9 2 2" xfId="4042"/>
    <cellStyle name="{ 3 9 3" xfId="4044"/>
    <cellStyle name="{ 3 9 3 2" xfId="4045"/>
    <cellStyle name="{ 3 9 4" xfId="4046"/>
    <cellStyle name="{ 3 9 4 2" xfId="4047"/>
    <cellStyle name="{ 3 9 5" xfId="4048"/>
    <cellStyle name="{ 4" xfId="4050"/>
    <cellStyle name="{ 4 2" xfId="4056"/>
    <cellStyle name="{ 4 2 2" xfId="1441"/>
    <cellStyle name="{ 4 2 2 2" xfId="1446"/>
    <cellStyle name="{ 4 2 2 2 2" xfId="673"/>
    <cellStyle name="{ 4 2 2 2 2 2" xfId="4069"/>
    <cellStyle name="{ 4 2 2 2 3" xfId="4074"/>
    <cellStyle name="{ 4 2 2 2 3 2" xfId="4081"/>
    <cellStyle name="{ 4 2 2 2 4" xfId="4083"/>
    <cellStyle name="{ 4 2 2 2 4 2" xfId="4087"/>
    <cellStyle name="{ 4 2 2 2 5" xfId="4091"/>
    <cellStyle name="{ 4 2 2 3" xfId="539"/>
    <cellStyle name="{ 4 2 2 3 2" xfId="1419"/>
    <cellStyle name="{ 4 2 2 3 2 2" xfId="4095"/>
    <cellStyle name="{ 4 2 2 3 3" xfId="4096"/>
    <cellStyle name="{ 4 2 2 3 3 2" xfId="4100"/>
    <cellStyle name="{ 4 2 2 3 4" xfId="4101"/>
    <cellStyle name="{ 4 2 2 4" xfId="550"/>
    <cellStyle name="{ 4 2 2 4 2" xfId="4104"/>
    <cellStyle name="{ 4 2 2 5" xfId="4107"/>
    <cellStyle name="{ 4 2 3" xfId="979"/>
    <cellStyle name="{ 4 2 3 2" xfId="1334"/>
    <cellStyle name="{ 4 2 3 2 2" xfId="4110"/>
    <cellStyle name="{ 4 2 3 3" xfId="4117"/>
    <cellStyle name="{ 4 2 3 3 2" xfId="4120"/>
    <cellStyle name="{ 4 2 3 4" xfId="4126"/>
    <cellStyle name="{ 4 2 3 4 2" xfId="4129"/>
    <cellStyle name="{ 4 2 3 5" xfId="4133"/>
    <cellStyle name="{ 4 2 4" xfId="990"/>
    <cellStyle name="{ 4 2 4 2" xfId="4135"/>
    <cellStyle name="{ 4 2 4 2 2" xfId="4137"/>
    <cellStyle name="{ 4 2 4 3" xfId="4143"/>
    <cellStyle name="{ 4 2 4 3 2" xfId="4146"/>
    <cellStyle name="{ 4 2 4 4" xfId="4156"/>
    <cellStyle name="{ 4 2 5" xfId="1002"/>
    <cellStyle name="{ 4 2 5 2" xfId="4161"/>
    <cellStyle name="{ 4 2 6" xfId="4163"/>
    <cellStyle name="{ 4 3" xfId="4165"/>
    <cellStyle name="{ 4 3 2" xfId="158"/>
    <cellStyle name="{ 4 3 2 2" xfId="195"/>
    <cellStyle name="{ 4 3 2 2 2" xfId="4168"/>
    <cellStyle name="{ 4 3 2 3" xfId="4169"/>
    <cellStyle name="{ 4 3 2 3 2" xfId="4170"/>
    <cellStyle name="{ 4 3 2 4" xfId="4171"/>
    <cellStyle name="{ 4 3 2 4 2" xfId="4174"/>
    <cellStyle name="{ 4 3 2 5" xfId="4175"/>
    <cellStyle name="{ 4 3 3" xfId="176"/>
    <cellStyle name="{ 4 3 3 2" xfId="4178"/>
    <cellStyle name="{ 4 3 3 2 2" xfId="4179"/>
    <cellStyle name="{ 4 3 3 3" xfId="4180"/>
    <cellStyle name="{ 4 3 3 3 2" xfId="4181"/>
    <cellStyle name="{ 4 3 3 4" xfId="4185"/>
    <cellStyle name="{ 4 3 4" xfId="4186"/>
    <cellStyle name="{ 4 3 4 2" xfId="4188"/>
    <cellStyle name="{ 4 3 5" xfId="4190"/>
    <cellStyle name="{ 4 4" xfId="4192"/>
    <cellStyle name="{ 4 4 2" xfId="712"/>
    <cellStyle name="{ 4 4 2 2" xfId="1498"/>
    <cellStyle name="{ 4 4 2 2 2" xfId="3479"/>
    <cellStyle name="{ 4 4 2 3" xfId="3486"/>
    <cellStyle name="{ 4 4 2 3 2" xfId="4196"/>
    <cellStyle name="{ 4 4 2 4" xfId="3494"/>
    <cellStyle name="{ 4 4 2 4 2" xfId="4199"/>
    <cellStyle name="{ 4 4 2 5" xfId="4203"/>
    <cellStyle name="{ 4 4 3" xfId="717"/>
    <cellStyle name="{ 4 4 3 2" xfId="4206"/>
    <cellStyle name="{ 4 4 3 2 2" xfId="4208"/>
    <cellStyle name="{ 4 4 3 3" xfId="4212"/>
    <cellStyle name="{ 4 4 3 3 2" xfId="4216"/>
    <cellStyle name="{ 4 4 3 4" xfId="4222"/>
    <cellStyle name="{ 4 4 4" xfId="4223"/>
    <cellStyle name="{ 4 4 4 2" xfId="4225"/>
    <cellStyle name="{ 4 4 5" xfId="4226"/>
    <cellStyle name="{ 4 5" xfId="4228"/>
    <cellStyle name="{ 4 5 2" xfId="1517"/>
    <cellStyle name="{ 4 5 2 2" xfId="199"/>
    <cellStyle name="{ 4 5 3" xfId="903"/>
    <cellStyle name="{ 4 5 3 2" xfId="374"/>
    <cellStyle name="{ 4 5 4" xfId="4229"/>
    <cellStyle name="{ 4 5 4 2" xfId="400"/>
    <cellStyle name="{ 4 5 5" xfId="4232"/>
    <cellStyle name="{ 4 6" xfId="4233"/>
    <cellStyle name="{ 4 6 2" xfId="1528"/>
    <cellStyle name="{ 4 6 2 2" xfId="4236"/>
    <cellStyle name="{ 4 6 3" xfId="4238"/>
    <cellStyle name="{ 4 6 3 2" xfId="4239"/>
    <cellStyle name="{ 4 6 4" xfId="2907"/>
    <cellStyle name="{ 4 7" xfId="3593"/>
    <cellStyle name="{ 4 7 2" xfId="3599"/>
    <cellStyle name="{ 4 8" xfId="3624"/>
    <cellStyle name="{ 4 9" xfId="3648"/>
    <cellStyle name="{ 5" xfId="4241"/>
    <cellStyle name="{ 5 2" xfId="4246"/>
    <cellStyle name="{ 5 2 2" xfId="1570"/>
    <cellStyle name="{ 5 2 2 2" xfId="1573"/>
    <cellStyle name="{ 5 2 2 2 2" xfId="4247"/>
    <cellStyle name="{ 5 2 2 3" xfId="224"/>
    <cellStyle name="{ 5 2 2 3 2" xfId="258"/>
    <cellStyle name="{ 5 2 2 4" xfId="3213"/>
    <cellStyle name="{ 5 2 2 4 2" xfId="3220"/>
    <cellStyle name="{ 5 2 2 5" xfId="3497"/>
    <cellStyle name="{ 5 2 3" xfId="1576"/>
    <cellStyle name="{ 5 2 3 2" xfId="4250"/>
    <cellStyle name="{ 5 2 3 2 2" xfId="4252"/>
    <cellStyle name="{ 5 2 3 3" xfId="3826"/>
    <cellStyle name="{ 5 2 3 3 2" xfId="1166"/>
    <cellStyle name="{ 5 2 3 4" xfId="3936"/>
    <cellStyle name="{ 5 2 4" xfId="4255"/>
    <cellStyle name="{ 5 2 4 2" xfId="4261"/>
    <cellStyle name="{ 5 2 5" xfId="4264"/>
    <cellStyle name="{ 5 3" xfId="4266"/>
    <cellStyle name="{ 5 3 2" xfId="1591"/>
    <cellStyle name="{ 5 3 2 2" xfId="1594"/>
    <cellStyle name="{ 5 3 3" xfId="1598"/>
    <cellStyle name="{ 5 3 3 2" xfId="4268"/>
    <cellStyle name="{ 5 3 4" xfId="4271"/>
    <cellStyle name="{ 5 3 4 2" xfId="4273"/>
    <cellStyle name="{ 5 3 5" xfId="4276"/>
    <cellStyle name="{ 5 4" xfId="4278"/>
    <cellStyle name="{ 5 4 2" xfId="1625"/>
    <cellStyle name="{ 5 4 2 2" xfId="4283"/>
    <cellStyle name="{ 5 4 3" xfId="4286"/>
    <cellStyle name="{ 5 4 3 2" xfId="4289"/>
    <cellStyle name="{ 5 4 4" xfId="4292"/>
    <cellStyle name="{ 5 5" xfId="4293"/>
    <cellStyle name="{ 5 5 2" xfId="4294"/>
    <cellStyle name="{ 5 6" xfId="4295"/>
    <cellStyle name="{ 6" xfId="4297"/>
    <cellStyle name="{ 6 2" xfId="4300"/>
    <cellStyle name="{ 6 2 2" xfId="1664"/>
    <cellStyle name="{ 6 2 2 2" xfId="1667"/>
    <cellStyle name="{ 6 2 2 2 2" xfId="4302"/>
    <cellStyle name="{ 6 2 2 3" xfId="4303"/>
    <cellStyle name="{ 6 2 2 3 2" xfId="4304"/>
    <cellStyle name="{ 6 2 2 4" xfId="4305"/>
    <cellStyle name="{ 6 2 2 4 2" xfId="156"/>
    <cellStyle name="{ 6 2 2 5" xfId="4307"/>
    <cellStyle name="{ 6 2 3" xfId="1670"/>
    <cellStyle name="{ 6 2 3 2" xfId="2112"/>
    <cellStyle name="{ 6 2 3 2 2" xfId="4308"/>
    <cellStyle name="{ 6 2 3 3" xfId="4310"/>
    <cellStyle name="{ 6 2 3 3 2" xfId="4311"/>
    <cellStyle name="{ 6 2 3 4" xfId="4313"/>
    <cellStyle name="{ 6 2 4" xfId="2116"/>
    <cellStyle name="{ 6 2 4 2" xfId="4317"/>
    <cellStyle name="{ 6 2 5" xfId="4320"/>
    <cellStyle name="{ 6 3" xfId="4323"/>
    <cellStyle name="{ 6 3 2" xfId="1689"/>
    <cellStyle name="{ 6 3 2 2" xfId="1695"/>
    <cellStyle name="{ 6 3 3" xfId="1699"/>
    <cellStyle name="{ 6 3 3 2" xfId="4327"/>
    <cellStyle name="{ 6 3 4" xfId="4329"/>
    <cellStyle name="{ 6 3 4 2" xfId="4330"/>
    <cellStyle name="{ 6 3 5" xfId="4335"/>
    <cellStyle name="{ 6 4" xfId="4338"/>
    <cellStyle name="{ 6 4 2" xfId="1712"/>
    <cellStyle name="{ 6 4 2 2" xfId="4340"/>
    <cellStyle name="{ 6 4 3" xfId="4343"/>
    <cellStyle name="{ 6 4 3 2" xfId="4346"/>
    <cellStyle name="{ 6 4 4" xfId="4349"/>
    <cellStyle name="{ 6 5" xfId="4350"/>
    <cellStyle name="{ 6 5 2" xfId="4351"/>
    <cellStyle name="{ 6 6" xfId="4352"/>
    <cellStyle name="{ 7" xfId="4354"/>
    <cellStyle name="{ 7 2" xfId="4357"/>
    <cellStyle name="{ 7 2 2" xfId="1730"/>
    <cellStyle name="{ 7 2 2 2" xfId="1733"/>
    <cellStyle name="{ 7 2 3" xfId="1735"/>
    <cellStyle name="{ 7 2 3 2" xfId="1148"/>
    <cellStyle name="{ 7 2 4" xfId="4358"/>
    <cellStyle name="{ 7 2 4 2" xfId="1264"/>
    <cellStyle name="{ 7 2 5" xfId="4359"/>
    <cellStyle name="{ 7 3" xfId="1886"/>
    <cellStyle name="{ 7 3 2" xfId="1234"/>
    <cellStyle name="{ 7 3 2 2" xfId="1238"/>
    <cellStyle name="{ 7 3 3" xfId="1245"/>
    <cellStyle name="{ 7 3 3 2" xfId="1428"/>
    <cellStyle name="{ 7 3 4" xfId="4363"/>
    <cellStyle name="{ 7 4" xfId="4370"/>
    <cellStyle name="{ 7 4 2" xfId="1256"/>
    <cellStyle name="{ 7 5" xfId="4377"/>
    <cellStyle name="{ 8" xfId="4380"/>
    <cellStyle name="{ 8 2" xfId="4385"/>
    <cellStyle name="{ 8 2 2" xfId="1756"/>
    <cellStyle name="{ 8 2 2 2" xfId="1762"/>
    <cellStyle name="{ 8 2 3" xfId="1768"/>
    <cellStyle name="{ 8 2 3 2" xfId="1844"/>
    <cellStyle name="{ 8 2 4" xfId="2825"/>
    <cellStyle name="{ 8 2 4 2" xfId="1870"/>
    <cellStyle name="{ 8 2 5" xfId="4387"/>
    <cellStyle name="{ 8 3" xfId="1895"/>
    <cellStyle name="{ 8 3 2" xfId="1783"/>
    <cellStyle name="{ 8 3 2 2" xfId="4393"/>
    <cellStyle name="{ 8 3 3" xfId="4397"/>
    <cellStyle name="{ 8 3 3 2" xfId="1934"/>
    <cellStyle name="{ 8 3 4" xfId="3938"/>
    <cellStyle name="{ 8 4" xfId="4402"/>
    <cellStyle name="{ 8 4 2" xfId="4407"/>
    <cellStyle name="{ 8 5" xfId="4413"/>
    <cellStyle name="{ 9" xfId="4418"/>
    <cellStyle name="{ 9 2" xfId="4423"/>
    <cellStyle name="{ 9 2 2" xfId="4425"/>
    <cellStyle name="{ 9 3" xfId="4429"/>
    <cellStyle name="{ 9 3 2" xfId="3943"/>
    <cellStyle name="{ 9 4" xfId="4431"/>
    <cellStyle name="{ 9 4 2" xfId="3953"/>
    <cellStyle name="{ 9 5" xfId="4436"/>
    <cellStyle name="" xfId="4437"/>
    <cellStyle name="" xfId="4439"/>
    <cellStyle name=" 10" xfId="4441"/>
    <cellStyle name=" 10 2" xfId="4442"/>
    <cellStyle name=" 10 2 2" xfId="1397"/>
    <cellStyle name=" 10 2 2 2" xfId="1242"/>
    <cellStyle name=" 10 2 2 2 2" xfId="4444"/>
    <cellStyle name=" 10 2 2 3" xfId="4446"/>
    <cellStyle name=" 10 2 2 3 2" xfId="4448"/>
    <cellStyle name=" 10 2 2 4" xfId="4450"/>
    <cellStyle name=" 10 2 2 4 2" xfId="4451"/>
    <cellStyle name=" 10 2 2 5" xfId="4452"/>
    <cellStyle name=" 10 2 3" xfId="1398"/>
    <cellStyle name=" 10 2 3 2" xfId="1405"/>
    <cellStyle name=" 10 2 3 2 2" xfId="4454"/>
    <cellStyle name=" 10 2 3 3" xfId="4456"/>
    <cellStyle name=" 10 2 3 3 2" xfId="4457"/>
    <cellStyle name=" 10 2 3 4" xfId="4458"/>
    <cellStyle name=" 10 2 4" xfId="1303"/>
    <cellStyle name=" 10 2 4 2" xfId="4022"/>
    <cellStyle name=" 10 2 5" xfId="2881"/>
    <cellStyle name=" 10 3" xfId="4459"/>
    <cellStyle name=" 10 3 2" xfId="378"/>
    <cellStyle name=" 10 3 2 2" xfId="392"/>
    <cellStyle name=" 10 3 3" xfId="402"/>
    <cellStyle name=" 10 3 3 2" xfId="417"/>
    <cellStyle name=" 10 3 4" xfId="441"/>
    <cellStyle name=" 10 3 4 2" xfId="4028"/>
    <cellStyle name=" 10 3 5" xfId="2894"/>
    <cellStyle name=" 10 4" xfId="4460"/>
    <cellStyle name=" 10 4 2" xfId="4461"/>
    <cellStyle name=" 10 4 2 2" xfId="4462"/>
    <cellStyle name=" 10 4 3" xfId="4039"/>
    <cellStyle name=" 10 4 3 2" xfId="4041"/>
    <cellStyle name=" 10 4 4" xfId="4043"/>
    <cellStyle name=" 10 5" xfId="4465"/>
    <cellStyle name=" 10 5 2" xfId="4471"/>
    <cellStyle name=" 10 6" xfId="4474"/>
    <cellStyle name=" 10 7" xfId="4482"/>
    <cellStyle name=" 11" xfId="4483"/>
    <cellStyle name=" 11 2" xfId="4485"/>
    <cellStyle name=" 11 2 2" xfId="4488"/>
    <cellStyle name=" 11 2 2 2" xfId="4491"/>
    <cellStyle name=" 11 2 2 2 2" xfId="4493"/>
    <cellStyle name=" 11 2 2 3" xfId="4495"/>
    <cellStyle name=" 11 2 2 3 2" xfId="4497"/>
    <cellStyle name=" 11 2 2 4" xfId="4500"/>
    <cellStyle name=" 11 2 2 4 2" xfId="4501"/>
    <cellStyle name=" 11 2 2 5" xfId="4502"/>
    <cellStyle name=" 11 2 3" xfId="3598"/>
    <cellStyle name=" 11 2 3 2" xfId="3604"/>
    <cellStyle name=" 11 2 3 2 2" xfId="4505"/>
    <cellStyle name=" 11 2 3 3" xfId="4507"/>
    <cellStyle name=" 11 2 3 3 2" xfId="4508"/>
    <cellStyle name=" 11 2 3 4" xfId="4509"/>
    <cellStyle name=" 11 2 4" xfId="3606"/>
    <cellStyle name=" 11 2 4 2" xfId="3613"/>
    <cellStyle name=" 11 2 5" xfId="2916"/>
    <cellStyle name=" 11 3" xfId="4511"/>
    <cellStyle name=" 11 3 2" xfId="4512"/>
    <cellStyle name=" 11 3 2 2" xfId="4513"/>
    <cellStyle name=" 11 3 3" xfId="3628"/>
    <cellStyle name=" 11 3 3 2" xfId="3632"/>
    <cellStyle name=" 11 3 4" xfId="3638"/>
    <cellStyle name=" 11 3 4 2" xfId="3643"/>
    <cellStyle name=" 11 3 5" xfId="2927"/>
    <cellStyle name=" 11 4" xfId="4514"/>
    <cellStyle name=" 11 4 2" xfId="4515"/>
    <cellStyle name=" 11 4 2 2" xfId="4518"/>
    <cellStyle name=" 11 4 3" xfId="3655"/>
    <cellStyle name=" 11 4 3 2" xfId="4520"/>
    <cellStyle name=" 11 4 4" xfId="4522"/>
    <cellStyle name=" 11 5" xfId="4524"/>
    <cellStyle name=" 11 5 2" xfId="4527"/>
    <cellStyle name=" 11 6" xfId="4530"/>
    <cellStyle name=" 11 7" xfId="4536"/>
    <cellStyle name=" 12" xfId="4537"/>
    <cellStyle name=" 12 2" xfId="4538"/>
    <cellStyle name=" 12 2 2" xfId="4540"/>
    <cellStyle name=" 12 2 2 2" xfId="4542"/>
    <cellStyle name=" 12 2 2 2 2" xfId="4544"/>
    <cellStyle name=" 12 2 2 3" xfId="4545"/>
    <cellStyle name=" 12 2 2 3 2" xfId="4549"/>
    <cellStyle name=" 12 2 2 4" xfId="4551"/>
    <cellStyle name=" 12 2 2 4 2" xfId="4555"/>
    <cellStyle name=" 12 2 2 5" xfId="4556"/>
    <cellStyle name=" 12 2 3" xfId="3665"/>
    <cellStyle name=" 12 2 3 2" xfId="4558"/>
    <cellStyle name=" 12 2 3 2 2" xfId="4561"/>
    <cellStyle name=" 12 2 3 3" xfId="4563"/>
    <cellStyle name=" 12 2 3 3 2" xfId="2811"/>
    <cellStyle name=" 12 2 3 4" xfId="4565"/>
    <cellStyle name=" 12 2 4" xfId="4566"/>
    <cellStyle name=" 12 2 4 2" xfId="4568"/>
    <cellStyle name=" 12 2 5" xfId="801"/>
    <cellStyle name=" 12 3" xfId="4570"/>
    <cellStyle name=" 12 3 2" xfId="4571"/>
    <cellStyle name=" 12 3 2 2" xfId="4574"/>
    <cellStyle name=" 12 3 3" xfId="3679"/>
    <cellStyle name=" 12 3 3 2" xfId="4576"/>
    <cellStyle name=" 12 3 4" xfId="4577"/>
    <cellStyle name=" 12 3 4 2" xfId="4580"/>
    <cellStyle name=" 12 3 5" xfId="4582"/>
    <cellStyle name=" 12 4" xfId="4583"/>
    <cellStyle name=" 12 4 2" xfId="4584"/>
    <cellStyle name=" 12 4 2 2" xfId="4586"/>
    <cellStyle name=" 12 4 3" xfId="3691"/>
    <cellStyle name=" 12 4 3 2" xfId="4588"/>
    <cellStyle name=" 12 4 4" xfId="4591"/>
    <cellStyle name=" 12 5" xfId="4593"/>
    <cellStyle name=" 12 5 2" xfId="4594"/>
    <cellStyle name=" 12 6" xfId="4595"/>
    <cellStyle name=" 12 7" xfId="4597"/>
    <cellStyle name=" 13" xfId="4598"/>
    <cellStyle name=" 13 2" xfId="4599"/>
    <cellStyle name=" 13 2 2" xfId="4601"/>
    <cellStyle name=" 13 2 2 2" xfId="4603"/>
    <cellStyle name=" 13 2 2 2 2" xfId="4606"/>
    <cellStyle name=" 13 2 2 3" xfId="4610"/>
    <cellStyle name=" 13 2 2 3 2" xfId="4613"/>
    <cellStyle name=" 13 2 2 4" xfId="4616"/>
    <cellStyle name=" 13 2 2 4 2" xfId="4619"/>
    <cellStyle name=" 13 2 2 5" xfId="877"/>
    <cellStyle name=" 13 2 3" xfId="3703"/>
    <cellStyle name=" 13 2 3 2" xfId="4623"/>
    <cellStyle name=" 13 2 3 2 2" xfId="4628"/>
    <cellStyle name=" 13 2 3 3" xfId="4631"/>
    <cellStyle name=" 13 2 3 3 2" xfId="4634"/>
    <cellStyle name=" 13 2 3 4" xfId="4636"/>
    <cellStyle name=" 13 2 4" xfId="4638"/>
    <cellStyle name=" 13 2 4 2" xfId="4641"/>
    <cellStyle name=" 13 2 5" xfId="4646"/>
    <cellStyle name=" 13 3" xfId="4648"/>
    <cellStyle name=" 13 3 2" xfId="4649"/>
    <cellStyle name=" 13 3 2 2" xfId="4653"/>
    <cellStyle name=" 13 3 3" xfId="3710"/>
    <cellStyle name=" 13 3 3 2" xfId="4657"/>
    <cellStyle name=" 13 3 4" xfId="4659"/>
    <cellStyle name=" 13 3 4 2" xfId="4667"/>
    <cellStyle name=" 13 3 5" xfId="4671"/>
    <cellStyle name=" 13 4" xfId="4672"/>
    <cellStyle name=" 13 4 2" xfId="4673"/>
    <cellStyle name=" 13 4 2 2" xfId="4675"/>
    <cellStyle name=" 13 4 3" xfId="4677"/>
    <cellStyle name=" 13 4 3 2" xfId="141"/>
    <cellStyle name=" 13 4 4" xfId="4679"/>
    <cellStyle name=" 13 5" xfId="4680"/>
    <cellStyle name=" 13 5 2" xfId="4681"/>
    <cellStyle name=" 13 6" xfId="4683"/>
    <cellStyle name=" 13 7" xfId="4684"/>
    <cellStyle name=" 14" xfId="4687"/>
    <cellStyle name=" 14 2" xfId="4688"/>
    <cellStyle name=" 14 2 2" xfId="4689"/>
    <cellStyle name=" 14 2 2 2" xfId="4690"/>
    <cellStyle name=" 14 2 3" xfId="4696"/>
    <cellStyle name=" 14 2 3 2" xfId="4698"/>
    <cellStyle name=" 14 2 4" xfId="2138"/>
    <cellStyle name=" 14 2 4 2" xfId="1748"/>
    <cellStyle name=" 14 2 5" xfId="2143"/>
    <cellStyle name=" 14 3" xfId="4702"/>
    <cellStyle name=" 14 3 2" xfId="4703"/>
    <cellStyle name=" 14 3 2 2" xfId="4705"/>
    <cellStyle name=" 14 3 3" xfId="4709"/>
    <cellStyle name=" 14 3 3 2" xfId="4711"/>
    <cellStyle name=" 14 3 4" xfId="2160"/>
    <cellStyle name=" 14 3 4 2" xfId="4715"/>
    <cellStyle name=" 14 3 5" xfId="4719"/>
    <cellStyle name=" 14 4" xfId="4720"/>
    <cellStyle name=" 14 4 2" xfId="4721"/>
    <cellStyle name=" 14 4 2 2" xfId="4723"/>
    <cellStyle name=" 14 4 3" xfId="4727"/>
    <cellStyle name=" 14 4 3 2" xfId="4728"/>
    <cellStyle name=" 14 4 4" xfId="4731"/>
    <cellStyle name=" 14 5" xfId="4732"/>
    <cellStyle name=" 14 5 2" xfId="4734"/>
    <cellStyle name=" 14 6" xfId="4736"/>
    <cellStyle name=" 15" xfId="4739"/>
    <cellStyle name=" 15 2" xfId="4741"/>
    <cellStyle name=" 15 2 2" xfId="4745"/>
    <cellStyle name=" 15 2 2 2" xfId="4747"/>
    <cellStyle name=" 15 2 3" xfId="4755"/>
    <cellStyle name=" 15 2 3 2" xfId="4756"/>
    <cellStyle name=" 15 2 4" xfId="2195"/>
    <cellStyle name=" 15 2 4 2" xfId="4759"/>
    <cellStyle name=" 15 2 5" xfId="4764"/>
    <cellStyle name=" 15 3" xfId="4766"/>
    <cellStyle name=" 15 3 2" xfId="4768"/>
    <cellStyle name=" 15 3 2 2" xfId="4771"/>
    <cellStyle name=" 15 3 3" xfId="4775"/>
    <cellStyle name=" 15 3 3 2" xfId="4777"/>
    <cellStyle name=" 15 3 4" xfId="4779"/>
    <cellStyle name=" 15 3 4 2" xfId="4783"/>
    <cellStyle name=" 15 3 5" xfId="4786"/>
    <cellStyle name=" 15 4" xfId="4788"/>
    <cellStyle name=" 15 4 2" xfId="4790"/>
    <cellStyle name=" 15 4 2 2" xfId="4791"/>
    <cellStyle name=" 15 4 3" xfId="4793"/>
    <cellStyle name=" 15 4 3 2" xfId="4794"/>
    <cellStyle name=" 15 4 4" xfId="4797"/>
    <cellStyle name=" 15 5" xfId="4800"/>
    <cellStyle name=" 15 5 2" xfId="4803"/>
    <cellStyle name=" 15 6" xfId="4805"/>
    <cellStyle name=" 16" xfId="4811"/>
    <cellStyle name=" 16 2" xfId="4813"/>
    <cellStyle name=" 16 2 2" xfId="4816"/>
    <cellStyle name=" 16 2 2 2" xfId="4817"/>
    <cellStyle name=" 16 2 3" xfId="4819"/>
    <cellStyle name=" 16 2 3 2" xfId="4821"/>
    <cellStyle name=" 16 2 4" xfId="2232"/>
    <cellStyle name=" 16 2 4 2" xfId="4823"/>
    <cellStyle name=" 16 2 5" xfId="4826"/>
    <cellStyle name=" 16 3" xfId="4828"/>
    <cellStyle name=" 16 3 2" xfId="4830"/>
    <cellStyle name=" 16 4" xfId="4833"/>
    <cellStyle name=" 16 4 2" xfId="4837"/>
    <cellStyle name=" 16 5" xfId="4839"/>
    <cellStyle name=" 16 5 2" xfId="4842"/>
    <cellStyle name=" 16 6" xfId="4844"/>
    <cellStyle name=" 17" xfId="1484"/>
    <cellStyle name=" 17 2" xfId="3172"/>
    <cellStyle name=" 17 2 2" xfId="4849"/>
    <cellStyle name=" 17 2 2 2" xfId="4851"/>
    <cellStyle name=" 17 2 3" xfId="656"/>
    <cellStyle name=" 17 2 3 2" xfId="4855"/>
    <cellStyle name=" 17 2 4" xfId="683"/>
    <cellStyle name=" 17 2 4 2" xfId="4857"/>
    <cellStyle name=" 17 2 5" xfId="2214"/>
    <cellStyle name=" 17 3" xfId="4861"/>
    <cellStyle name=" 17 3 2" xfId="4864"/>
    <cellStyle name=" 17 4" xfId="4866"/>
    <cellStyle name=" 17 4 2" xfId="4868"/>
    <cellStyle name=" 17 5" xfId="4872"/>
    <cellStyle name=" 17 5 2" xfId="4876"/>
    <cellStyle name=" 17 6" xfId="4877"/>
    <cellStyle name=" 18" xfId="3177"/>
    <cellStyle name=" 18 2" xfId="3182"/>
    <cellStyle name=" 18 2 2" xfId="1909"/>
    <cellStyle name=" 18 3" xfId="4880"/>
    <cellStyle name=" 18 3 2" xfId="2169"/>
    <cellStyle name=" 18 4" xfId="4883"/>
    <cellStyle name=" 18 4 2" xfId="2308"/>
    <cellStyle name=" 18 5" xfId="4887"/>
    <cellStyle name=" 19" xfId="3188"/>
    <cellStyle name=" 19 2" xfId="3194"/>
    <cellStyle name=" 19 2 2" xfId="4889"/>
    <cellStyle name=" 19 3" xfId="4892"/>
    <cellStyle name=" 19 3 2" xfId="190"/>
    <cellStyle name=" 19 4" xfId="4895"/>
    <cellStyle name=" 19 4 2" xfId="4900"/>
    <cellStyle name=" 19 5" xfId="4903"/>
    <cellStyle name=" 2" xfId="4904"/>
    <cellStyle name=" 2 10" xfId="4906"/>
    <cellStyle name=" 2 10 2" xfId="1534"/>
    <cellStyle name=" 2 10 2 2" xfId="2702"/>
    <cellStyle name=" 2 10 3" xfId="795"/>
    <cellStyle name=" 2 10 3 2" xfId="798"/>
    <cellStyle name=" 2 10 4" xfId="3364"/>
    <cellStyle name=" 2 10 4 2" xfId="821"/>
    <cellStyle name=" 2 10 5" xfId="3369"/>
    <cellStyle name=" 2 11" xfId="4746"/>
    <cellStyle name=" 2 2" xfId="4908"/>
    <cellStyle name=" 2 2 10" xfId="4802"/>
    <cellStyle name=" 2 2 10 2" xfId="4909"/>
    <cellStyle name=" 2 2 10 2 2" xfId="2268"/>
    <cellStyle name=" 2 2 10 3" xfId="4910"/>
    <cellStyle name=" 2 2 10 3 2" xfId="2322"/>
    <cellStyle name=" 2 2 10 4" xfId="4911"/>
    <cellStyle name=" 2 2 10 4 2" xfId="2357"/>
    <cellStyle name=" 2 2 10 5" xfId="3434"/>
    <cellStyle name=" 2 2 11" xfId="4912"/>
    <cellStyle name=" 2 2 2" xfId="4913"/>
    <cellStyle name=" 2 2 2 2" xfId="1876"/>
    <cellStyle name=" 2 2 2 2 2" xfId="1878"/>
    <cellStyle name=" 2 2 2 2 2 2" xfId="1882"/>
    <cellStyle name=" 2 2 2 2 2 2 2" xfId="1231"/>
    <cellStyle name=" 2 2 2 2 2 3" xfId="4366"/>
    <cellStyle name=" 2 2 2 2 2 3 2" xfId="1255"/>
    <cellStyle name=" 2 2 2 2 2 4" xfId="4376"/>
    <cellStyle name=" 2 2 2 2 2 4 2" xfId="4920"/>
    <cellStyle name=" 2 2 2 2 2 5" xfId="3835"/>
    <cellStyle name=" 2 2 2 2 3" xfId="1889"/>
    <cellStyle name=" 2 2 2 2 3 2" xfId="1892"/>
    <cellStyle name=" 2 2 2 2 3 2 2" xfId="1782"/>
    <cellStyle name=" 2 2 2 2 3 3" xfId="4398"/>
    <cellStyle name=" 2 2 2 2 3 3 2" xfId="4405"/>
    <cellStyle name=" 2 2 2 2 3 4" xfId="4412"/>
    <cellStyle name=" 2 2 2 2 4" xfId="1898"/>
    <cellStyle name=" 2 2 2 2 4 2" xfId="4427"/>
    <cellStyle name=" 2 2 2 2 5" xfId="2634"/>
    <cellStyle name=" 2 2 2 3" xfId="1900"/>
    <cellStyle name=" 2 2 2 3 2" xfId="1904"/>
    <cellStyle name=" 2 2 2 3 2 2" xfId="4922"/>
    <cellStyle name=" 2 2 2 3 3" xfId="908"/>
    <cellStyle name=" 2 2 2 3 3 2" xfId="919"/>
    <cellStyle name=" 2 2 2 3 4" xfId="4924"/>
    <cellStyle name=" 2 2 2 3 4 2" xfId="3266"/>
    <cellStyle name=" 2 2 2 3 5" xfId="2645"/>
    <cellStyle name=" 2 2 2 4" xfId="1906"/>
    <cellStyle name=" 2 2 2 4 2" xfId="4925"/>
    <cellStyle name=" 2 2 2 4 2 2" xfId="4927"/>
    <cellStyle name=" 2 2 2 4 3" xfId="4929"/>
    <cellStyle name=" 2 2 2 4 3 2" xfId="3314"/>
    <cellStyle name=" 2 2 2 4 4" xfId="4930"/>
    <cellStyle name=" 2 2 2 4 4 2" xfId="3333"/>
    <cellStyle name=" 2 2 2 4 5" xfId="4932"/>
    <cellStyle name=" 2 2 2 5" xfId="4933"/>
    <cellStyle name=" 2 2 2 5 2" xfId="4934"/>
    <cellStyle name=" 2 2 2 5 2 2" xfId="4937"/>
    <cellStyle name=" 2 2 2 5 3" xfId="4938"/>
    <cellStyle name=" 2 2 2 5 3 2" xfId="3366"/>
    <cellStyle name=" 2 2 2 5 4" xfId="4939"/>
    <cellStyle name=" 2 2 2 6" xfId="4941"/>
    <cellStyle name=" 2 2 2 6 2" xfId="1214"/>
    <cellStyle name=" 2 2 2 7" xfId="4942"/>
    <cellStyle name=" 2 2 3" xfId="4944"/>
    <cellStyle name=" 2 2 3 2" xfId="1964"/>
    <cellStyle name=" 2 2 3 2 2" xfId="1967"/>
    <cellStyle name=" 2 2 3 2 2 2" xfId="1970"/>
    <cellStyle name=" 2 2 3 2 2 2 2" xfId="1039"/>
    <cellStyle name=" 2 2 3 2 2 3" xfId="2708"/>
    <cellStyle name=" 2 2 3 2 2 3 2" xfId="347"/>
    <cellStyle name=" 2 2 3 2 2 4" xfId="2712"/>
    <cellStyle name=" 2 2 3 2 2 4 2" xfId="509"/>
    <cellStyle name=" 2 2 3 2 2 5" xfId="2717"/>
    <cellStyle name=" 2 2 3 2 3" xfId="1975"/>
    <cellStyle name=" 2 2 3 2 3 2" xfId="1977"/>
    <cellStyle name=" 2 2 3 2 3 2 2" xfId="4947"/>
    <cellStyle name=" 2 2 3 2 3 3" xfId="2727"/>
    <cellStyle name=" 2 2 3 2 3 3 2" xfId="2730"/>
    <cellStyle name=" 2 2 3 2 3 4" xfId="2734"/>
    <cellStyle name=" 2 2 3 2 4" xfId="1979"/>
    <cellStyle name=" 2 2 3 2 4 2" xfId="193"/>
    <cellStyle name=" 2 2 3 2 5" xfId="4948"/>
    <cellStyle name=" 2 2 3 3" xfId="1981"/>
    <cellStyle name=" 2 2 3 3 2" xfId="1987"/>
    <cellStyle name=" 2 2 3 3 2 2" xfId="4949"/>
    <cellStyle name=" 2 2 3 3 3" xfId="4951"/>
    <cellStyle name=" 2 2 3 3 3 2" xfId="3506"/>
    <cellStyle name=" 2 2 3 3 4" xfId="4952"/>
    <cellStyle name=" 2 2 3 3 4 2" xfId="3516"/>
    <cellStyle name=" 2 2 3 3 5" xfId="4954"/>
    <cellStyle name=" 2 2 3 4" xfId="1990"/>
    <cellStyle name=" 2 2 3 4 2" xfId="4955"/>
    <cellStyle name=" 2 2 3 4 2 2" xfId="4956"/>
    <cellStyle name=" 2 2 3 4 3" xfId="4958"/>
    <cellStyle name=" 2 2 3 4 3 2" xfId="4959"/>
    <cellStyle name=" 2 2 3 4 4" xfId="4961"/>
    <cellStyle name=" 2 2 3 5" xfId="4962"/>
    <cellStyle name=" 2 2 3 5 2" xfId="4963"/>
    <cellStyle name=" 2 2 3 6" xfId="4964"/>
    <cellStyle name=" 2 2 4" xfId="4965"/>
    <cellStyle name=" 2 2 4 2" xfId="2028"/>
    <cellStyle name=" 2 2 4 2 2" xfId="2031"/>
    <cellStyle name=" 2 2 4 2 2 2" xfId="1295"/>
    <cellStyle name=" 2 2 4 2 2 2 2" xfId="4017"/>
    <cellStyle name=" 2 2 4 2 2 3" xfId="2848"/>
    <cellStyle name=" 2 2 4 2 2 3 2" xfId="2852"/>
    <cellStyle name=" 2 2 4 2 2 4" xfId="2864"/>
    <cellStyle name=" 2 2 4 2 2 4 2" xfId="2871"/>
    <cellStyle name=" 2 2 4 2 2 5" xfId="427"/>
    <cellStyle name=" 2 2 4 2 3" xfId="4968"/>
    <cellStyle name=" 2 2 4 2 3 2" xfId="1304"/>
    <cellStyle name=" 2 2 4 2 3 2 2" xfId="4023"/>
    <cellStyle name=" 2 2 4 2 3 3" xfId="2882"/>
    <cellStyle name=" 2 2 4 2 3 3 2" xfId="2886"/>
    <cellStyle name=" 2 2 4 2 3 4" xfId="932"/>
    <cellStyle name=" 2 2 4 2 4" xfId="40"/>
    <cellStyle name=" 2 2 4 2 4 2" xfId="442"/>
    <cellStyle name=" 2 2 4 2 5" xfId="4969"/>
    <cellStyle name=" 2 2 4 3" xfId="2036"/>
    <cellStyle name=" 2 2 4 3 2" xfId="4971"/>
    <cellStyle name=" 2 2 4 3 2 2" xfId="4237"/>
    <cellStyle name=" 2 2 4 3 3" xfId="4974"/>
    <cellStyle name=" 2 2 4 3 3 2" xfId="3608"/>
    <cellStyle name=" 2 2 4 3 4" xfId="4975"/>
    <cellStyle name=" 2 2 4 3 4 2" xfId="3636"/>
    <cellStyle name=" 2 2 4 3 5" xfId="4977"/>
    <cellStyle name=" 2 2 4 4" xfId="4979"/>
    <cellStyle name=" 2 2 4 4 2" xfId="4981"/>
    <cellStyle name=" 2 2 4 4 2 2" xfId="4982"/>
    <cellStyle name=" 2 2 4 4 3" xfId="4984"/>
    <cellStyle name=" 2 2 4 4 3 2" xfId="4567"/>
    <cellStyle name=" 2 2 4 4 4" xfId="4985"/>
    <cellStyle name=" 2 2 4 5" xfId="4987"/>
    <cellStyle name=" 2 2 4 5 2" xfId="4988"/>
    <cellStyle name=" 2 2 4 6" xfId="4989"/>
    <cellStyle name=" 2 2 5" xfId="4991"/>
    <cellStyle name=" 2 2 5 2" xfId="2061"/>
    <cellStyle name=" 2 2 5 2 2" xfId="2063"/>
    <cellStyle name=" 2 2 5 2 2 2" xfId="4931"/>
    <cellStyle name=" 2 2 5 2 3" xfId="2177"/>
    <cellStyle name=" 2 2 5 2 3 2" xfId="4992"/>
    <cellStyle name=" 2 2 5 2 4" xfId="4994"/>
    <cellStyle name=" 2 2 5 2 4 2" xfId="247"/>
    <cellStyle name=" 2 2 5 2 5" xfId="4996"/>
    <cellStyle name=" 2 2 5 3" xfId="2066"/>
    <cellStyle name=" 2 2 5 3 2" xfId="4997"/>
    <cellStyle name=" 2 2 5 3 2 2" xfId="4999"/>
    <cellStyle name=" 2 2 5 3 3" xfId="5001"/>
    <cellStyle name=" 2 2 5 3 3 2" xfId="5002"/>
    <cellStyle name=" 2 2 5 3 4" xfId="5006"/>
    <cellStyle name=" 2 2 5 4" xfId="5007"/>
    <cellStyle name=" 2 2 5 4 2" xfId="5009"/>
    <cellStyle name=" 2 2 5 5" xfId="5010"/>
    <cellStyle name=" 2 2 6" xfId="5012"/>
    <cellStyle name=" 2 2 6 2" xfId="995"/>
    <cellStyle name=" 2 2 6 2 2" xfId="882"/>
    <cellStyle name=" 2 2 6 2 2 2" xfId="5015"/>
    <cellStyle name=" 2 2 6 2 3" xfId="5018"/>
    <cellStyle name=" 2 2 6 2 3 2" xfId="5019"/>
    <cellStyle name=" 2 2 6 2 4" xfId="5022"/>
    <cellStyle name=" 2 2 6 2 4 2" xfId="5023"/>
    <cellStyle name=" 2 2 6 2 5" xfId="5026"/>
    <cellStyle name=" 2 2 6 3" xfId="998"/>
    <cellStyle name=" 2 2 6 3 2" xfId="1343"/>
    <cellStyle name=" 2 2 6 3 2 2" xfId="5030"/>
    <cellStyle name=" 2 2 6 3 3" xfId="5033"/>
    <cellStyle name=" 2 2 6 3 3 2" xfId="5034"/>
    <cellStyle name=" 2 2 6 3 4" xfId="5038"/>
    <cellStyle name=" 2 2 6 4" xfId="1345"/>
    <cellStyle name=" 2 2 6 4 2" xfId="5045"/>
    <cellStyle name=" 2 2 6 5" xfId="5046"/>
    <cellStyle name=" 2 2 7" xfId="5048"/>
    <cellStyle name=" 2 2 7 2" xfId="77"/>
    <cellStyle name=" 2 2 7 2 2" xfId="243"/>
    <cellStyle name=" 2 2 7 3" xfId="18"/>
    <cellStyle name=" 2 2 7 3 2" xfId="5052"/>
    <cellStyle name=" 2 2 7 4" xfId="5053"/>
    <cellStyle name=" 2 2 7 4 2" xfId="5055"/>
    <cellStyle name=" 2 2 7 5" xfId="5056"/>
    <cellStyle name=" 2 2 8" xfId="2582"/>
    <cellStyle name=" 2 2 8 2" xfId="2089"/>
    <cellStyle name=" 2 2 8 2 2" xfId="2096"/>
    <cellStyle name=" 2 2 8 3" xfId="2103"/>
    <cellStyle name=" 2 2 8 3 2" xfId="3970"/>
    <cellStyle name=" 2 2 8 4" xfId="3975"/>
    <cellStyle name=" 2 2 8 4 2" xfId="5059"/>
    <cellStyle name=" 2 2 8 5" xfId="5060"/>
    <cellStyle name=" 2 2 9" xfId="2585"/>
    <cellStyle name=" 2 2 9 2" xfId="2588"/>
    <cellStyle name=" 2 2 9 2 2" xfId="3984"/>
    <cellStyle name=" 2 2 9 3" xfId="3989"/>
    <cellStyle name=" 2 2 9 3 2" xfId="1817"/>
    <cellStyle name=" 2 2 9 4" xfId="1048"/>
    <cellStyle name=" 2 2 9 4 2" xfId="471"/>
    <cellStyle name=" 2 2 9 5" xfId="5061"/>
    <cellStyle name=" 2 3" xfId="5067"/>
    <cellStyle name=" 2 3 2" xfId="5070"/>
    <cellStyle name=" 2 3 2 2" xfId="2134"/>
    <cellStyle name=" 2 3 2 2 2" xfId="2137"/>
    <cellStyle name=" 2 3 2 2 2 2" xfId="1747"/>
    <cellStyle name=" 2 3 2 2 3" xfId="2142"/>
    <cellStyle name=" 2 3 2 2 3 2" xfId="1774"/>
    <cellStyle name=" 2 3 2 2 4" xfId="2149"/>
    <cellStyle name=" 2 3 2 2 4 2" xfId="5072"/>
    <cellStyle name=" 2 3 2 2 5" xfId="5074"/>
    <cellStyle name=" 2 3 2 3" xfId="2153"/>
    <cellStyle name=" 2 3 2 3 2" xfId="2159"/>
    <cellStyle name=" 2 3 2 3 2 2" xfId="4714"/>
    <cellStyle name=" 2 3 2 3 3" xfId="4718"/>
    <cellStyle name=" 2 3 2 3 3 2" xfId="2833"/>
    <cellStyle name=" 2 3 2 3 4" xfId="5076"/>
    <cellStyle name=" 2 3 2 4" xfId="2163"/>
    <cellStyle name=" 2 3 2 4 2" xfId="4730"/>
    <cellStyle name=" 2 3 2 5" xfId="5077"/>
    <cellStyle name=" 2 3 3" xfId="5078"/>
    <cellStyle name=" 2 3 3 2" xfId="2188"/>
    <cellStyle name=" 2 3 3 2 2" xfId="2193"/>
    <cellStyle name=" 2 3 3 2 2 2" xfId="4758"/>
    <cellStyle name=" 2 3 3 2 3" xfId="4763"/>
    <cellStyle name=" 2 3 3 2 3 2" xfId="5079"/>
    <cellStyle name=" 2 3 3 2 4" xfId="5082"/>
    <cellStyle name=" 2 3 3 2 4 2" xfId="5085"/>
    <cellStyle name=" 2 3 3 2 5" xfId="5088"/>
    <cellStyle name=" 2 3 3 3" xfId="2197"/>
    <cellStyle name=" 2 3 3 3 2" xfId="4778"/>
    <cellStyle name=" 2 3 3 3 2 2" xfId="4782"/>
    <cellStyle name=" 2 3 3 3 3" xfId="4785"/>
    <cellStyle name=" 2 3 3 3 3 2" xfId="5090"/>
    <cellStyle name=" 2 3 3 3 4" xfId="5092"/>
    <cellStyle name=" 2 3 3 4" xfId="5093"/>
    <cellStyle name=" 2 3 3 4 2" xfId="4796"/>
    <cellStyle name=" 2 3 3 5" xfId="5094"/>
    <cellStyle name=" 2 3 4" xfId="2680"/>
    <cellStyle name=" 2 3 4 2" xfId="2227"/>
    <cellStyle name=" 2 3 4 2 2" xfId="2229"/>
    <cellStyle name=" 2 3 4 3" xfId="521"/>
    <cellStyle name=" 2 3 4 3 2" xfId="211"/>
    <cellStyle name=" 2 3 4 4" xfId="529"/>
    <cellStyle name=" 2 3 4 4 2" xfId="238"/>
    <cellStyle name=" 2 3 4 5" xfId="1132"/>
    <cellStyle name=" 2 3 5" xfId="5096"/>
    <cellStyle name=" 2 3 5 2" xfId="2235"/>
    <cellStyle name=" 2 3 5 2 2" xfId="681"/>
    <cellStyle name=" 2 3 5 3" xfId="542"/>
    <cellStyle name=" 2 3 5 3 2" xfId="1422"/>
    <cellStyle name=" 2 3 5 4" xfId="552"/>
    <cellStyle name=" 2 3 6" xfId="5098"/>
    <cellStyle name=" 2 3 6 2" xfId="1337"/>
    <cellStyle name=" 2 3 7" xfId="5100"/>
    <cellStyle name=" 2 3 8" xfId="2594"/>
    <cellStyle name=" 2 4" xfId="5103"/>
    <cellStyle name=" 2 4 2" xfId="5107"/>
    <cellStyle name=" 2 4 2 2" xfId="2289"/>
    <cellStyle name=" 2 4 2 2 2" xfId="2294"/>
    <cellStyle name=" 2 4 2 2 2 2" xfId="5109"/>
    <cellStyle name=" 2 4 2 2 3" xfId="5111"/>
    <cellStyle name=" 2 4 2 2 3 2" xfId="5114"/>
    <cellStyle name=" 2 4 2 2 4" xfId="5118"/>
    <cellStyle name=" 2 4 2 2 4 2" xfId="5121"/>
    <cellStyle name=" 2 4 2 2 5" xfId="5123"/>
    <cellStyle name=" 2 4 2 3" xfId="2301"/>
    <cellStyle name=" 2 4 2 3 2" xfId="5128"/>
    <cellStyle name=" 2 4 2 3 2 2" xfId="5132"/>
    <cellStyle name=" 2 4 2 3 3" xfId="5136"/>
    <cellStyle name=" 2 4 2 3 3 2" xfId="5140"/>
    <cellStyle name=" 2 4 2 3 4" xfId="5144"/>
    <cellStyle name=" 2 4 2 4" xfId="5146"/>
    <cellStyle name=" 2 4 2 4 2" xfId="5150"/>
    <cellStyle name=" 2 4 2 5" xfId="5151"/>
    <cellStyle name=" 2 4 3" xfId="5152"/>
    <cellStyle name=" 2 4 3 2" xfId="2332"/>
    <cellStyle name=" 2 4 3 2 2" xfId="2335"/>
    <cellStyle name=" 2 4 3 3" xfId="2338"/>
    <cellStyle name=" 2 4 3 3 2" xfId="5155"/>
    <cellStyle name=" 2 4 3 4" xfId="5157"/>
    <cellStyle name=" 2 4 3 4 2" xfId="5160"/>
    <cellStyle name=" 2 4 3 5" xfId="5161"/>
    <cellStyle name=" 2 4 4" xfId="2687"/>
    <cellStyle name=" 2 4 4 2" xfId="2361"/>
    <cellStyle name=" 2 4 4 2 2" xfId="5162"/>
    <cellStyle name=" 2 4 4 3" xfId="1438"/>
    <cellStyle name=" 2 4 4 3 2" xfId="5168"/>
    <cellStyle name=" 2 4 4 4" xfId="5170"/>
    <cellStyle name=" 2 4 5" xfId="5172"/>
    <cellStyle name=" 2 4 5 2" xfId="5173"/>
    <cellStyle name=" 2 4 6" xfId="5175"/>
    <cellStyle name=" 2 5" xfId="5179"/>
    <cellStyle name=" 2 5 2" xfId="5182"/>
    <cellStyle name=" 2 5 2 2" xfId="2412"/>
    <cellStyle name=" 2 5 2 2 2" xfId="2415"/>
    <cellStyle name=" 2 5 2 2 2 2" xfId="5184"/>
    <cellStyle name=" 2 5 2 2 3" xfId="5188"/>
    <cellStyle name=" 2 5 2 2 3 2" xfId="5190"/>
    <cellStyle name=" 2 5 2 2 4" xfId="5195"/>
    <cellStyle name=" 2 5 2 2 4 2" xfId="5197"/>
    <cellStyle name=" 2 5 2 2 5" xfId="3882"/>
    <cellStyle name=" 2 5 2 3" xfId="2420"/>
    <cellStyle name=" 2 5 2 3 2" xfId="5200"/>
    <cellStyle name=" 2 5 2 3 2 2" xfId="5203"/>
    <cellStyle name=" 2 5 2 3 3" xfId="5210"/>
    <cellStyle name=" 2 5 2 3 3 2" xfId="5212"/>
    <cellStyle name=" 2 5 2 3 4" xfId="5214"/>
    <cellStyle name=" 2 5 2 4" xfId="5126"/>
    <cellStyle name=" 2 5 2 4 2" xfId="5131"/>
    <cellStyle name=" 2 5 2 5" xfId="5134"/>
    <cellStyle name=" 2 5 3" xfId="5216"/>
    <cellStyle name=" 2 5 3 2" xfId="2433"/>
    <cellStyle name=" 2 5 3 2 2" xfId="2436"/>
    <cellStyle name=" 2 5 3 3" xfId="2440"/>
    <cellStyle name=" 2 5 3 3 2" xfId="5219"/>
    <cellStyle name=" 2 5 3 4" xfId="5149"/>
    <cellStyle name=" 2 5 3 4 2" xfId="5222"/>
    <cellStyle name=" 2 5 3 5" xfId="5225"/>
    <cellStyle name=" 2 5 4" xfId="2693"/>
    <cellStyle name=" 2 5 4 2" xfId="2455"/>
    <cellStyle name=" 2 5 4 2 2" xfId="5228"/>
    <cellStyle name=" 2 5 4 3" xfId="670"/>
    <cellStyle name=" 2 5 4 3 2" xfId="4065"/>
    <cellStyle name=" 2 5 4 4" xfId="4072"/>
    <cellStyle name=" 2 5 5" xfId="5229"/>
    <cellStyle name=" 2 5 5 2" xfId="5230"/>
    <cellStyle name=" 2 5 6" xfId="5234"/>
    <cellStyle name=" 2 6" xfId="5237"/>
    <cellStyle name=" 2 6 2" xfId="5240"/>
    <cellStyle name=" 2 6 2 2" xfId="2508"/>
    <cellStyle name=" 2 6 2 2 2" xfId="2512"/>
    <cellStyle name=" 2 6 2 3" xfId="2519"/>
    <cellStyle name=" 2 6 2 3 2" xfId="3424"/>
    <cellStyle name=" 2 6 2 4" xfId="5154"/>
    <cellStyle name=" 2 6 2 4 2" xfId="3457"/>
    <cellStyle name=" 2 6 2 5" xfId="5242"/>
    <cellStyle name=" 2 6 3" xfId="5246"/>
    <cellStyle name=" 2 6 3 2" xfId="2541"/>
    <cellStyle name=" 2 6 3 2 2" xfId="3568"/>
    <cellStyle name=" 2 6 3 3" xfId="5250"/>
    <cellStyle name=" 2 6 3 3 2" xfId="5256"/>
    <cellStyle name=" 2 6 3 4" xfId="5159"/>
    <cellStyle name=" 2 6 4" xfId="5259"/>
    <cellStyle name=" 2 6 4 2" xfId="5264"/>
    <cellStyle name=" 2 6 5" xfId="5267"/>
    <cellStyle name=" 2 7" xfId="280"/>
    <cellStyle name=" 2 7 2" xfId="1105"/>
    <cellStyle name=" 2 7 2 2" xfId="1109"/>
    <cellStyle name=" 2 7 2 2 2" xfId="2568"/>
    <cellStyle name=" 2 7 2 3" xfId="2573"/>
    <cellStyle name=" 2 7 2 3 2" xfId="5270"/>
    <cellStyle name=" 2 7 2 4" xfId="5166"/>
    <cellStyle name=" 2 7 2 4 2" xfId="5275"/>
    <cellStyle name=" 2 7 2 5" xfId="5284"/>
    <cellStyle name=" 2 7 3" xfId="1113"/>
    <cellStyle name=" 2 7 3 2" xfId="1116"/>
    <cellStyle name=" 2 7 3 2 2" xfId="5285"/>
    <cellStyle name=" 2 7 3 3" xfId="5287"/>
    <cellStyle name=" 2 7 3 3 2" xfId="5291"/>
    <cellStyle name=" 2 7 3 4" xfId="5295"/>
    <cellStyle name=" 2 7 4" xfId="1122"/>
    <cellStyle name=" 2 7 4 2" xfId="1125"/>
    <cellStyle name=" 2 7 5" xfId="1128"/>
    <cellStyle name=" 2 8" xfId="826"/>
    <cellStyle name=" 2 8 2" xfId="1130"/>
    <cellStyle name=" 2 8 2 2" xfId="1135"/>
    <cellStyle name=" 2 8 3" xfId="1137"/>
    <cellStyle name=" 2 8 3 2" xfId="1140"/>
    <cellStyle name=" 2 8 4" xfId="1143"/>
    <cellStyle name=" 2 8 4 2" xfId="5296"/>
    <cellStyle name=" 2 8 5" xfId="5297"/>
    <cellStyle name=" 2 9" xfId="1145"/>
    <cellStyle name=" 2 9 2" xfId="1147"/>
    <cellStyle name=" 2 9 2 2" xfId="5298"/>
    <cellStyle name=" 2 9 3" xfId="5299"/>
    <cellStyle name=" 2 9 3 2" xfId="5303"/>
    <cellStyle name=" 2 9 4" xfId="5305"/>
    <cellStyle name=" 2 9 4 2" xfId="5309"/>
    <cellStyle name=" 2 9 5" xfId="1822"/>
    <cellStyle name=" 20" xfId="4738"/>
    <cellStyle name=" 20 2" xfId="4740"/>
    <cellStyle name=" 20 2 2" xfId="4744"/>
    <cellStyle name=" 20 3" xfId="4765"/>
    <cellStyle name=" 20 3 2" xfId="4767"/>
    <cellStyle name=" 20 4" xfId="4787"/>
    <cellStyle name=" 20 4 2" xfId="4789"/>
    <cellStyle name=" 20 5" xfId="4799"/>
    <cellStyle name=" 21" xfId="4810"/>
    <cellStyle name=" 21 2" xfId="4812"/>
    <cellStyle name=" 21 2 2" xfId="4815"/>
    <cellStyle name=" 21 3" xfId="4827"/>
    <cellStyle name=" 21 3 2" xfId="4829"/>
    <cellStyle name=" 21 4" xfId="4832"/>
    <cellStyle name=" 21 4 2" xfId="4836"/>
    <cellStyle name=" 21 5" xfId="4838"/>
    <cellStyle name=" 22" xfId="1483"/>
    <cellStyle name=" 22 2" xfId="3171"/>
    <cellStyle name=" 22 2 2" xfId="4848"/>
    <cellStyle name=" 22 3" xfId="4860"/>
    <cellStyle name=" 22 3 2" xfId="4863"/>
    <cellStyle name=" 22 4" xfId="4865"/>
    <cellStyle name=" 22 4 2" xfId="4867"/>
    <cellStyle name=" 22 5" xfId="4871"/>
    <cellStyle name=" 23" xfId="3176"/>
    <cellStyle name=" 23 2" xfId="3181"/>
    <cellStyle name=" 23 2 2" xfId="1908"/>
    <cellStyle name=" 23 3" xfId="4879"/>
    <cellStyle name=" 23 3 2" xfId="2168"/>
    <cellStyle name=" 23 4" xfId="4882"/>
    <cellStyle name=" 23 4 2" xfId="2307"/>
    <cellStyle name=" 23 5" xfId="4886"/>
    <cellStyle name=" 24" xfId="3187"/>
    <cellStyle name=" 24 2" xfId="3193"/>
    <cellStyle name=" 24 2 2" xfId="4888"/>
    <cellStyle name=" 24 3" xfId="4891"/>
    <cellStyle name=" 24 3 2" xfId="189"/>
    <cellStyle name=" 24 4" xfId="4894"/>
    <cellStyle name=" 24 4 2" xfId="4899"/>
    <cellStyle name=" 24 5" xfId="4902"/>
    <cellStyle name=" 25" xfId="3199"/>
    <cellStyle name=" 25 2" xfId="5312"/>
    <cellStyle name=" 25 2 2" xfId="4123"/>
    <cellStyle name=" 25 3" xfId="5317"/>
    <cellStyle name=" 25 3 2" xfId="4152"/>
    <cellStyle name=" 25 4" xfId="5321"/>
    <cellStyle name=" 25 4 2" xfId="5328"/>
    <cellStyle name=" 25 5" xfId="3564"/>
    <cellStyle name=" 26" xfId="5332"/>
    <cellStyle name=" 26 2" xfId="5334"/>
    <cellStyle name=" 26 2 2" xfId="4184"/>
    <cellStyle name=" 26 3" xfId="5337"/>
    <cellStyle name=" 26 3 2" xfId="5339"/>
    <cellStyle name=" 26 4" xfId="5341"/>
    <cellStyle name=" 26 4 2" xfId="5345"/>
    <cellStyle name=" 26 5" xfId="3573"/>
    <cellStyle name=" 27" xfId="4835"/>
    <cellStyle name=" 27 2" xfId="5348"/>
    <cellStyle name=" 27 2 2" xfId="4218"/>
    <cellStyle name=" 27 3" xfId="5350"/>
    <cellStyle name=" 27 3 2" xfId="5352"/>
    <cellStyle name=" 27 4" xfId="5354"/>
    <cellStyle name=" 27 4 2" xfId="5361"/>
    <cellStyle name=" 27 5" xfId="5363"/>
    <cellStyle name=" 28" xfId="232"/>
    <cellStyle name=" 28 2" xfId="737"/>
    <cellStyle name=" 28 2 2" xfId="740"/>
    <cellStyle name=" 28 3" xfId="751"/>
    <cellStyle name=" 28 3 2" xfId="754"/>
    <cellStyle name=" 28 4" xfId="762"/>
    <cellStyle name=" 28 4 2" xfId="769"/>
    <cellStyle name=" 28 5" xfId="775"/>
    <cellStyle name=" 29" xfId="240"/>
    <cellStyle name=" 29 2" xfId="5365"/>
    <cellStyle name=" 29 2 2" xfId="5367"/>
    <cellStyle name=" 29 3" xfId="5370"/>
    <cellStyle name=" 29 3 2" xfId="5373"/>
    <cellStyle name=" 29 4" xfId="5376"/>
    <cellStyle name=" 29 4 2" xfId="5378"/>
    <cellStyle name=" 29 5" xfId="5380"/>
    <cellStyle name=" 3" xfId="5384"/>
    <cellStyle name=" 3 10" xfId="5051"/>
    <cellStyle name=" 3 10 2" xfId="5387"/>
    <cellStyle name=" 3 10 2 2" xfId="5389"/>
    <cellStyle name=" 3 10 3" xfId="5391"/>
    <cellStyle name=" 3 10 3 2" xfId="5393"/>
    <cellStyle name=" 3 10 4" xfId="5395"/>
    <cellStyle name=" 3 10 4 2" xfId="5397"/>
    <cellStyle name=" 3 10 5" xfId="136"/>
    <cellStyle name=" 3 11" xfId="5400"/>
    <cellStyle name=" 3 2" xfId="5402"/>
    <cellStyle name=" 3 2 10" xfId="5411"/>
    <cellStyle name=" 3 2 10 2" xfId="1851"/>
    <cellStyle name=" 3 2 10 2 2" xfId="1853"/>
    <cellStyle name=" 3 2 10 3" xfId="1858"/>
    <cellStyle name=" 3 2 10 3 2" xfId="5415"/>
    <cellStyle name=" 3 2 10 4" xfId="5420"/>
    <cellStyle name=" 3 2 10 4 2" xfId="5424"/>
    <cellStyle name=" 3 2 10 5" xfId="3451"/>
    <cellStyle name=" 3 2 11" xfId="5429"/>
    <cellStyle name=" 3 2 2" xfId="5431"/>
    <cellStyle name=" 3 2 2 2" xfId="5432"/>
    <cellStyle name=" 3 2 2 2 2" xfId="5434"/>
    <cellStyle name=" 3 2 2 2 2 2" xfId="5435"/>
    <cellStyle name=" 3 2 2 2 2 2 2" xfId="5436"/>
    <cellStyle name=" 3 2 2 2 2 3" xfId="5438"/>
    <cellStyle name=" 3 2 2 2 2 3 2" xfId="5440"/>
    <cellStyle name=" 3 2 2 2 2 4" xfId="5443"/>
    <cellStyle name=" 3 2 2 2 2 4 2" xfId="5447"/>
    <cellStyle name=" 3 2 2 2 2 5" xfId="4061"/>
    <cellStyle name=" 3 2 2 2 3" xfId="5449"/>
    <cellStyle name=" 3 2 2 2 3 2" xfId="5450"/>
    <cellStyle name=" 3 2 2 2 3 2 2" xfId="602"/>
    <cellStyle name=" 3 2 2 2 3 3" xfId="5454"/>
    <cellStyle name=" 3 2 2 2 3 3 2" xfId="5456"/>
    <cellStyle name=" 3 2 2 2 3 4" xfId="5461"/>
    <cellStyle name=" 3 2 2 2 4" xfId="5463"/>
    <cellStyle name=" 3 2 2 2 4 2" xfId="5464"/>
    <cellStyle name=" 3 2 2 2 5" xfId="4850"/>
    <cellStyle name=" 3 2 2 3" xfId="3764"/>
    <cellStyle name=" 3 2 2 3 2" xfId="5472"/>
    <cellStyle name=" 3 2 2 3 2 2" xfId="5474"/>
    <cellStyle name=" 3 2 2 3 3" xfId="5478"/>
    <cellStyle name=" 3 2 2 3 3 2" xfId="2749"/>
    <cellStyle name=" 3 2 2 3 4" xfId="5482"/>
    <cellStyle name=" 3 2 2 3 4 2" xfId="2780"/>
    <cellStyle name=" 3 2 2 3 5" xfId="4853"/>
    <cellStyle name=" 3 2 2 4" xfId="5483"/>
    <cellStyle name=" 3 2 2 4 2" xfId="5486"/>
    <cellStyle name=" 3 2 2 4 2 2" xfId="5490"/>
    <cellStyle name=" 3 2 2 4 3" xfId="5493"/>
    <cellStyle name=" 3 2 2 4 3 2" xfId="2898"/>
    <cellStyle name=" 3 2 2 4 4" xfId="5496"/>
    <cellStyle name=" 3 2 2 4 4 2" xfId="2935"/>
    <cellStyle name=" 3 2 2 4 5" xfId="4856"/>
    <cellStyle name=" 3 2 2 5" xfId="5497"/>
    <cellStyle name=" 3 2 2 5 2" xfId="5500"/>
    <cellStyle name=" 3 2 2 5 2 2" xfId="5502"/>
    <cellStyle name=" 3 2 2 5 3" xfId="5505"/>
    <cellStyle name=" 3 2 2 5 3 2" xfId="2973"/>
    <cellStyle name=" 3 2 2 5 4" xfId="5509"/>
    <cellStyle name=" 3 2 2 6" xfId="3208"/>
    <cellStyle name=" 3 2 2 6 2" xfId="5513"/>
    <cellStyle name=" 3 2 2 7" xfId="5514"/>
    <cellStyle name=" 3 2 3" xfId="5515"/>
    <cellStyle name=" 3 2 3 2" xfId="5517"/>
    <cellStyle name=" 3 2 3 2 2" xfId="5521"/>
    <cellStyle name=" 3 2 3 2 2 2" xfId="4374"/>
    <cellStyle name=" 3 2 3 2 2 2 2" xfId="4917"/>
    <cellStyle name=" 3 2 3 2 2 3" xfId="3834"/>
    <cellStyle name=" 3 2 3 2 2 3 2" xfId="5525"/>
    <cellStyle name=" 3 2 3 2 2 4" xfId="3725"/>
    <cellStyle name=" 3 2 3 2 2 4 2" xfId="4695"/>
    <cellStyle name=" 3 2 3 2 2 5" xfId="5533"/>
    <cellStyle name=" 3 2 3 2 3" xfId="5536"/>
    <cellStyle name=" 3 2 3 2 3 2" xfId="4410"/>
    <cellStyle name=" 3 2 3 2 3 2 2" xfId="5539"/>
    <cellStyle name=" 3 2 3 2 3 3" xfId="3844"/>
    <cellStyle name=" 3 2 3 2 3 3 2" xfId="5542"/>
    <cellStyle name=" 3 2 3 2 3 4" xfId="5547"/>
    <cellStyle name=" 3 2 3 2 4" xfId="5550"/>
    <cellStyle name=" 3 2 3 2 4 2" xfId="4434"/>
    <cellStyle name=" 3 2 3 2 5" xfId="5553"/>
    <cellStyle name=" 3 2 3 3" xfId="3770"/>
    <cellStyle name=" 3 2 3 3 2" xfId="1546"/>
    <cellStyle name=" 3 2 3 3 2 2" xfId="1550"/>
    <cellStyle name=" 3 2 3 3 3" xfId="1553"/>
    <cellStyle name=" 3 2 3 3 3 2" xfId="3259"/>
    <cellStyle name=" 3 2 3 3 4" xfId="5555"/>
    <cellStyle name=" 3 2 3 3 4 2" xfId="3281"/>
    <cellStyle name=" 3 2 3 3 5" xfId="5556"/>
    <cellStyle name=" 3 2 3 4" xfId="2254"/>
    <cellStyle name=" 3 2 3 4 2" xfId="1565"/>
    <cellStyle name=" 3 2 3 4 2 2" xfId="5558"/>
    <cellStyle name=" 3 2 3 4 3" xfId="5560"/>
    <cellStyle name=" 3 2 3 4 3 2" xfId="3326"/>
    <cellStyle name=" 3 2 3 4 4" xfId="47"/>
    <cellStyle name=" 3 2 3 5" xfId="5563"/>
    <cellStyle name=" 3 2 3 5 2" xfId="3214"/>
    <cellStyle name=" 3 2 3 6" xfId="5566"/>
    <cellStyle name=" 3 2 4" xfId="5567"/>
    <cellStyle name=" 3 2 4 2" xfId="5570"/>
    <cellStyle name=" 3 2 4 2 2" xfId="5572"/>
    <cellStyle name=" 3 2 4 2 2 2" xfId="2711"/>
    <cellStyle name=" 3 2 4 2 2 2 2" xfId="507"/>
    <cellStyle name=" 3 2 4 2 2 3" xfId="2716"/>
    <cellStyle name=" 3 2 4 2 2 3 2" xfId="594"/>
    <cellStyle name=" 3 2 4 2 2 4" xfId="2722"/>
    <cellStyle name=" 3 2 4 2 2 4 2" xfId="708"/>
    <cellStyle name=" 3 2 4 2 2 5" xfId="5576"/>
    <cellStyle name=" 3 2 4 2 3" xfId="5578"/>
    <cellStyle name=" 3 2 4 2 3 2" xfId="2733"/>
    <cellStyle name=" 3 2 4 2 3 2 2" xfId="2737"/>
    <cellStyle name=" 3 2 4 2 3 3" xfId="2742"/>
    <cellStyle name=" 3 2 4 2 3 3 2" xfId="5581"/>
    <cellStyle name=" 3 2 4 2 3 4" xfId="5586"/>
    <cellStyle name=" 3 2 4 2 4" xfId="5588"/>
    <cellStyle name=" 3 2 4 2 4 2" xfId="5590"/>
    <cellStyle name=" 3 2 4 2 5" xfId="5592"/>
    <cellStyle name=" 3 2 4 3" xfId="5595"/>
    <cellStyle name=" 3 2 4 3 2" xfId="5597"/>
    <cellStyle name=" 3 2 4 3 2 2" xfId="5599"/>
    <cellStyle name=" 3 2 4 3 3" xfId="5601"/>
    <cellStyle name=" 3 2 4 3 3 2" xfId="3511"/>
    <cellStyle name=" 3 2 4 3 4" xfId="5603"/>
    <cellStyle name=" 3 2 4 3 4 2" xfId="5604"/>
    <cellStyle name=" 3 2 4 3 5" xfId="5606"/>
    <cellStyle name=" 3 2 4 4" xfId="2260"/>
    <cellStyle name=" 3 2 4 4 2" xfId="5608"/>
    <cellStyle name=" 3 2 4 4 2 2" xfId="5611"/>
    <cellStyle name=" 3 2 4 4 3" xfId="5614"/>
    <cellStyle name=" 3 2 4 4 3 2" xfId="5617"/>
    <cellStyle name=" 3 2 4 4 4" xfId="5619"/>
    <cellStyle name=" 3 2 4 5" xfId="5620"/>
    <cellStyle name=" 3 2 4 5 2" xfId="5622"/>
    <cellStyle name=" 3 2 4 6" xfId="5623"/>
    <cellStyle name=" 3 2 5" xfId="5625"/>
    <cellStyle name=" 3 2 5 2" xfId="5626"/>
    <cellStyle name=" 3 2 5 2 2" xfId="5629"/>
    <cellStyle name=" 3 2 5 2 2 2" xfId="2861"/>
    <cellStyle name=" 3 2 5 2 3" xfId="5633"/>
    <cellStyle name=" 3 2 5 2 3 2" xfId="928"/>
    <cellStyle name=" 3 2 5 2 4" xfId="5637"/>
    <cellStyle name=" 3 2 5 2 4 2" xfId="4033"/>
    <cellStyle name=" 3 2 5 2 5" xfId="5638"/>
    <cellStyle name=" 3 2 5 3" xfId="5644"/>
    <cellStyle name=" 3 2 5 3 2" xfId="5649"/>
    <cellStyle name=" 3 2 5 3 2 2" xfId="5653"/>
    <cellStyle name=" 3 2 5 3 3" xfId="953"/>
    <cellStyle name=" 3 2 5 3 3 2" xfId="3621"/>
    <cellStyle name=" 3 2 5 3 4" xfId="964"/>
    <cellStyle name=" 3 2 5 4" xfId="2263"/>
    <cellStyle name=" 3 2 5 4 2" xfId="5659"/>
    <cellStyle name=" 3 2 5 5" xfId="5660"/>
    <cellStyle name=" 3 2 6" xfId="5666"/>
    <cellStyle name=" 3 2 6 2" xfId="633"/>
    <cellStyle name=" 3 2 6 2 2" xfId="1467"/>
    <cellStyle name=" 3 2 6 2 2 2" xfId="5670"/>
    <cellStyle name=" 3 2 6 2 3" xfId="1024"/>
    <cellStyle name=" 3 2 6 2 3 2" xfId="149"/>
    <cellStyle name=" 3 2 6 2 4" xfId="5673"/>
    <cellStyle name=" 3 2 6 2 4 2" xfId="1408"/>
    <cellStyle name=" 3 2 6 2 5" xfId="5675"/>
    <cellStyle name=" 3 2 6 3" xfId="1469"/>
    <cellStyle name=" 3 2 6 3 2" xfId="89"/>
    <cellStyle name=" 3 2 6 3 2 2" xfId="5676"/>
    <cellStyle name=" 3 2 6 3 3" xfId="5680"/>
    <cellStyle name=" 3 2 6 3 3 2" xfId="5683"/>
    <cellStyle name=" 3 2 6 3 4" xfId="3818"/>
    <cellStyle name=" 3 2 6 4" xfId="1471"/>
    <cellStyle name=" 3 2 6 4 2" xfId="5685"/>
    <cellStyle name=" 3 2 6 5" xfId="5687"/>
    <cellStyle name=" 3 2 7" xfId="5691"/>
    <cellStyle name=" 3 2 7 2" xfId="662"/>
    <cellStyle name=" 3 2 7 2 2" xfId="1481"/>
    <cellStyle name=" 3 2 7 3" xfId="1491"/>
    <cellStyle name=" 3 2 7 3 2" xfId="3201"/>
    <cellStyle name=" 3 2 7 4" xfId="5693"/>
    <cellStyle name=" 3 2 7 4 2" xfId="5695"/>
    <cellStyle name=" 3 2 7 5" xfId="5697"/>
    <cellStyle name=" 3 2 8" xfId="2620"/>
    <cellStyle name=" 3 2 8 2" xfId="3484"/>
    <cellStyle name=" 3 2 8 2 2" xfId="4194"/>
    <cellStyle name=" 3 2 8 3" xfId="3492"/>
    <cellStyle name=" 3 2 8 3 2" xfId="4198"/>
    <cellStyle name=" 3 2 8 4" xfId="4202"/>
    <cellStyle name=" 3 2 8 4 2" xfId="4550"/>
    <cellStyle name=" 3 2 8 5" xfId="5699"/>
    <cellStyle name=" 3 2 9" xfId="5700"/>
    <cellStyle name=" 3 2 9 2" xfId="4210"/>
    <cellStyle name=" 3 2 9 2 2" xfId="4214"/>
    <cellStyle name=" 3 2 9 3" xfId="4220"/>
    <cellStyle name=" 3 2 9 3 2" xfId="5701"/>
    <cellStyle name=" 3 2 9 4" xfId="5702"/>
    <cellStyle name=" 3 2 9 4 2" xfId="5703"/>
    <cellStyle name=" 3 2 9 5" xfId="5704"/>
    <cellStyle name=" 3 3" xfId="5708"/>
    <cellStyle name=" 3 3 2" xfId="5713"/>
    <cellStyle name=" 3 3 2 2" xfId="5716"/>
    <cellStyle name=" 3 3 2 2 2" xfId="5717"/>
    <cellStyle name=" 3 3 2 2 2 2" xfId="5719"/>
    <cellStyle name=" 3 3 2 2 3" xfId="5721"/>
    <cellStyle name=" 3 3 2 2 3 2" xfId="5726"/>
    <cellStyle name=" 3 3 2 2 4" xfId="5731"/>
    <cellStyle name=" 3 3 2 2 4 2" xfId="5738"/>
    <cellStyle name=" 3 3 2 2 5" xfId="1914"/>
    <cellStyle name=" 3 3 2 3" xfId="3779"/>
    <cellStyle name=" 3 3 2 3 2" xfId="5740"/>
    <cellStyle name=" 3 3 2 3 2 2" xfId="5743"/>
    <cellStyle name=" 3 3 2 3 3" xfId="5746"/>
    <cellStyle name=" 3 3 2 3 3 2" xfId="3854"/>
    <cellStyle name=" 3 3 2 3 4" xfId="5750"/>
    <cellStyle name=" 3 3 2 4" xfId="5752"/>
    <cellStyle name=" 3 3 2 4 2" xfId="5755"/>
    <cellStyle name=" 3 3 2 5" xfId="5758"/>
    <cellStyle name=" 3 3 3" xfId="5759"/>
    <cellStyle name=" 3 3 3 2" xfId="5761"/>
    <cellStyle name=" 3 3 3 2 2" xfId="5762"/>
    <cellStyle name=" 3 3 3 2 2 2" xfId="1767"/>
    <cellStyle name=" 3 3 3 2 3" xfId="5764"/>
    <cellStyle name=" 3 3 3 2 3 2" xfId="4396"/>
    <cellStyle name=" 3 3 3 2 4" xfId="5765"/>
    <cellStyle name=" 3 3 3 2 4 2" xfId="5767"/>
    <cellStyle name=" 3 3 3 2 5" xfId="2171"/>
    <cellStyle name=" 3 3 3 3" xfId="5769"/>
    <cellStyle name=" 3 3 3 3 2" xfId="1642"/>
    <cellStyle name=" 3 3 3 3 2 2" xfId="1647"/>
    <cellStyle name=" 3 3 3 3 3" xfId="1651"/>
    <cellStyle name=" 3 3 3 3 3 2" xfId="3946"/>
    <cellStyle name=" 3 3 3 3 4" xfId="5770"/>
    <cellStyle name=" 3 3 3 4" xfId="2281"/>
    <cellStyle name=" 3 3 3 4 2" xfId="1659"/>
    <cellStyle name=" 3 3 3 5" xfId="5772"/>
    <cellStyle name=" 3 3 4" xfId="5773"/>
    <cellStyle name=" 3 3 4 2" xfId="5774"/>
    <cellStyle name=" 3 3 4 2 2" xfId="5776"/>
    <cellStyle name=" 3 3 4 3" xfId="1451"/>
    <cellStyle name=" 3 3 4 3 2" xfId="5778"/>
    <cellStyle name=" 3 3 4 4" xfId="789"/>
    <cellStyle name=" 3 3 4 4 2" xfId="5779"/>
    <cellStyle name=" 3 3 4 5" xfId="1037"/>
    <cellStyle name=" 3 3 5" xfId="5781"/>
    <cellStyle name=" 3 3 5 2" xfId="5782"/>
    <cellStyle name=" 3 3 5 2 2" xfId="5785"/>
    <cellStyle name=" 3 3 5 3" xfId="218"/>
    <cellStyle name=" 3 3 5 3 2" xfId="264"/>
    <cellStyle name=" 3 3 5 4" xfId="234"/>
    <cellStyle name=" 3 3 6" xfId="5788"/>
    <cellStyle name=" 3 3 6 2" xfId="5792"/>
    <cellStyle name=" 3 3 7" xfId="5794"/>
    <cellStyle name=" 3 3 8" xfId="2624"/>
    <cellStyle name=" 3 4" xfId="5797"/>
    <cellStyle name=" 3 4 2" xfId="5801"/>
    <cellStyle name=" 3 4 2 2" xfId="5802"/>
    <cellStyle name=" 3 4 2 2 2" xfId="5803"/>
    <cellStyle name=" 3 4 2 2 2 2" xfId="5804"/>
    <cellStyle name=" 3 4 2 2 3" xfId="5806"/>
    <cellStyle name=" 3 4 2 2 3 2" xfId="5808"/>
    <cellStyle name=" 3 4 2 2 4" xfId="5810"/>
    <cellStyle name=" 3 4 2 2 4 2" xfId="5811"/>
    <cellStyle name=" 3 4 2 2 5" xfId="5813"/>
    <cellStyle name=" 3 4 2 3" xfId="5814"/>
    <cellStyle name=" 3 4 2 3 2" xfId="5815"/>
    <cellStyle name=" 3 4 2 3 2 2" xfId="5817"/>
    <cellStyle name=" 3 4 2 3 3" xfId="5819"/>
    <cellStyle name=" 3 4 2 3 3 2" xfId="4088"/>
    <cellStyle name=" 3 4 2 3 4" xfId="5822"/>
    <cellStyle name=" 3 4 2 4" xfId="5823"/>
    <cellStyle name=" 3 4 2 4 2" xfId="5824"/>
    <cellStyle name=" 3 4 2 5" xfId="5825"/>
    <cellStyle name=" 3 4 3" xfId="4602"/>
    <cellStyle name=" 3 4 3 2" xfId="4605"/>
    <cellStyle name=" 3 4 3 2 2" xfId="5826"/>
    <cellStyle name=" 3 4 3 3" xfId="5827"/>
    <cellStyle name=" 3 4 3 3 2" xfId="5828"/>
    <cellStyle name=" 3 4 3 4" xfId="5108"/>
    <cellStyle name=" 3 4 3 4 2" xfId="5829"/>
    <cellStyle name=" 3 4 3 5" xfId="5831"/>
    <cellStyle name=" 3 4 4" xfId="4608"/>
    <cellStyle name=" 3 4 4 2" xfId="4612"/>
    <cellStyle name=" 3 4 4 2 2" xfId="5832"/>
    <cellStyle name=" 3 4 4 3" xfId="1455"/>
    <cellStyle name=" 3 4 4 3 2" xfId="5834"/>
    <cellStyle name=" 3 4 4 4" xfId="5112"/>
    <cellStyle name=" 3 4 5" xfId="4615"/>
    <cellStyle name=" 3 4 5 2" xfId="4618"/>
    <cellStyle name=" 3 4 6" xfId="875"/>
    <cellStyle name=" 3 5" xfId="5838"/>
    <cellStyle name=" 3 5 2" xfId="5844"/>
    <cellStyle name=" 3 5 2 2" xfId="5846"/>
    <cellStyle name=" 3 5 2 2 2" xfId="5849"/>
    <cellStyle name=" 3 5 2 2 2 2" xfId="3760"/>
    <cellStyle name=" 3 5 2 2 3" xfId="367"/>
    <cellStyle name=" 3 5 2 2 3 2" xfId="3775"/>
    <cellStyle name=" 3 5 2 2 4" xfId="5850"/>
    <cellStyle name=" 3 5 2 2 4 2" xfId="5851"/>
    <cellStyle name=" 3 5 2 2 5" xfId="4130"/>
    <cellStyle name=" 3 5 2 3" xfId="5854"/>
    <cellStyle name=" 3 5 2 3 2" xfId="5857"/>
    <cellStyle name=" 3 5 2 3 2 2" xfId="5858"/>
    <cellStyle name=" 3 5 2 3 3" xfId="389"/>
    <cellStyle name=" 3 5 2 3 3 2" xfId="5860"/>
    <cellStyle name=" 3 5 2 3 4" xfId="5861"/>
    <cellStyle name=" 3 5 2 4" xfId="5199"/>
    <cellStyle name=" 3 5 2 4 2" xfId="5202"/>
    <cellStyle name=" 3 5 2 5" xfId="5207"/>
    <cellStyle name=" 3 5 3" xfId="4621"/>
    <cellStyle name=" 3 5 3 2" xfId="4626"/>
    <cellStyle name=" 3 5 3 2 2" xfId="5862"/>
    <cellStyle name=" 3 5 3 3" xfId="5864"/>
    <cellStyle name=" 3 5 3 3 2" xfId="5867"/>
    <cellStyle name=" 3 5 3 4" xfId="5130"/>
    <cellStyle name=" 3 5 3 4 2" xfId="5869"/>
    <cellStyle name=" 3 5 3 5" xfId="5872"/>
    <cellStyle name=" 3 5 4" xfId="4629"/>
    <cellStyle name=" 3 5 4 2" xfId="4633"/>
    <cellStyle name=" 3 5 4 2 2" xfId="5873"/>
    <cellStyle name=" 3 5 4 3" xfId="4167"/>
    <cellStyle name=" 3 5 4 3 2" xfId="5875"/>
    <cellStyle name=" 3 5 4 4" xfId="5138"/>
    <cellStyle name=" 3 5 5" xfId="4635"/>
    <cellStyle name=" 3 5 5 2" xfId="5877"/>
    <cellStyle name=" 3 5 6" xfId="5878"/>
    <cellStyle name=" 3 6" xfId="5882"/>
    <cellStyle name=" 3 6 2" xfId="5883"/>
    <cellStyle name=" 3 6 2 2" xfId="5884"/>
    <cellStyle name=" 3 6 2 2 2" xfId="5885"/>
    <cellStyle name=" 3 6 2 3" xfId="5887"/>
    <cellStyle name=" 3 6 2 3 2" xfId="5888"/>
    <cellStyle name=" 3 6 2 4" xfId="5217"/>
    <cellStyle name=" 3 6 2 4 2" xfId="5889"/>
    <cellStyle name=" 3 6 2 5" xfId="1019"/>
    <cellStyle name=" 3 6 3" xfId="4639"/>
    <cellStyle name=" 3 6 3 2" xfId="5890"/>
    <cellStyle name=" 3 6 3 2 2" xfId="5891"/>
    <cellStyle name=" 3 6 3 3" xfId="5892"/>
    <cellStyle name=" 3 6 3 3 2" xfId="5893"/>
    <cellStyle name=" 3 6 3 4" xfId="5221"/>
    <cellStyle name=" 3 6 4" xfId="5894"/>
    <cellStyle name=" 3 6 4 2" xfId="5896"/>
    <cellStyle name=" 3 6 5" xfId="5718"/>
    <cellStyle name=" 3 7" xfId="1154"/>
    <cellStyle name=" 3 7 2" xfId="2"/>
    <cellStyle name=" 3 7 2 2" xfId="5437"/>
    <cellStyle name=" 3 7 2 2 2" xfId="5439"/>
    <cellStyle name=" 3 7 2 3" xfId="5442"/>
    <cellStyle name=" 3 7 2 3 2" xfId="5446"/>
    <cellStyle name=" 3 7 2 4" xfId="4059"/>
    <cellStyle name=" 3 7 2 4 2" xfId="5899"/>
    <cellStyle name=" 3 7 2 5" xfId="818"/>
    <cellStyle name=" 3 7 3" xfId="5901"/>
    <cellStyle name=" 3 7 3 2" xfId="5453"/>
    <cellStyle name=" 3 7 3 2 2" xfId="5455"/>
    <cellStyle name=" 3 7 3 3" xfId="5460"/>
    <cellStyle name=" 3 7 3 3 2" xfId="5904"/>
    <cellStyle name=" 3 7 3 4" xfId="4078"/>
    <cellStyle name=" 3 7 4" xfId="5907"/>
    <cellStyle name=" 3 7 4 2" xfId="5911"/>
    <cellStyle name=" 3 7 5" xfId="5724"/>
    <cellStyle name=" 3 8" xfId="1156"/>
    <cellStyle name=" 3 8 2" xfId="1066"/>
    <cellStyle name=" 3 8 2 2" xfId="5915"/>
    <cellStyle name=" 3 8 3" xfId="5918"/>
    <cellStyle name=" 3 8 3 2" xfId="5925"/>
    <cellStyle name=" 3 8 4" xfId="5932"/>
    <cellStyle name=" 3 8 4 2" xfId="5937"/>
    <cellStyle name=" 3 8 5" xfId="5734"/>
    <cellStyle name=" 3 9" xfId="1158"/>
    <cellStyle name=" 3 9 2" xfId="1160"/>
    <cellStyle name=" 3 9 2 2" xfId="5938"/>
    <cellStyle name=" 3 9 3" xfId="5939"/>
    <cellStyle name=" 3 9 3 2" xfId="5940"/>
    <cellStyle name=" 3 9 4" xfId="5942"/>
    <cellStyle name=" 3 9 4 2" xfId="5943"/>
    <cellStyle name=" 3 9 5" xfId="1917"/>
    <cellStyle name=" 30" xfId="3198"/>
    <cellStyle name=" 30 2" xfId="5311"/>
    <cellStyle name=" 30 2 2" xfId="4122"/>
    <cellStyle name=" 30 3" xfId="5316"/>
    <cellStyle name=" 30 3 2" xfId="4151"/>
    <cellStyle name=" 30 4" xfId="5320"/>
    <cellStyle name=" 30 4 2" xfId="5327"/>
    <cellStyle name=" 30 5" xfId="3563"/>
    <cellStyle name=" 31" xfId="5331"/>
    <cellStyle name=" 31 2" xfId="5333"/>
    <cellStyle name=" 31 2 2" xfId="4183"/>
    <cellStyle name=" 31 3" xfId="5336"/>
    <cellStyle name=" 31 3 2" xfId="5338"/>
    <cellStyle name=" 31 4" xfId="5340"/>
    <cellStyle name=" 31 4 2" xfId="5344"/>
    <cellStyle name=" 31 5" xfId="3572"/>
    <cellStyle name=" 32" xfId="4834"/>
    <cellStyle name=" 32 2" xfId="5347"/>
    <cellStyle name=" 32 2 2" xfId="4217"/>
    <cellStyle name=" 32 3" xfId="5349"/>
    <cellStyle name=" 32 3 2" xfId="5351"/>
    <cellStyle name=" 32 4" xfId="5353"/>
    <cellStyle name=" 32 4 2" xfId="5360"/>
    <cellStyle name=" 32 5" xfId="5362"/>
    <cellStyle name=" 33" xfId="231"/>
    <cellStyle name=" 33 2" xfId="736"/>
    <cellStyle name=" 33 2 2" xfId="739"/>
    <cellStyle name=" 33 3" xfId="750"/>
    <cellStyle name=" 33 3 2" xfId="753"/>
    <cellStyle name=" 33 4" xfId="761"/>
    <cellStyle name=" 33 4 2" xfId="768"/>
    <cellStyle name=" 33 5" xfId="774"/>
    <cellStyle name=" 34" xfId="239"/>
    <cellStyle name=" 34 2" xfId="5364"/>
    <cellStyle name=" 34 2 2" xfId="5366"/>
    <cellStyle name=" 34 3" xfId="5369"/>
    <cellStyle name=" 34 3 2" xfId="5372"/>
    <cellStyle name=" 34 4" xfId="5375"/>
    <cellStyle name=" 34 4 2" xfId="5377"/>
    <cellStyle name=" 34 5" xfId="5379"/>
    <cellStyle name=" 35" xfId="5948"/>
    <cellStyle name=" 35 2" xfId="5951"/>
    <cellStyle name=" 35 2 2" xfId="5953"/>
    <cellStyle name=" 35 3" xfId="5955"/>
    <cellStyle name=" 35 3 2" xfId="5957"/>
    <cellStyle name=" 35 4" xfId="5960"/>
    <cellStyle name=" 35 4 2" xfId="5962"/>
    <cellStyle name=" 35 5" xfId="5964"/>
    <cellStyle name=" 36" xfId="5968"/>
    <cellStyle name=" 36 2" xfId="75"/>
    <cellStyle name=" 36 2 2" xfId="85"/>
    <cellStyle name=" 36 3" xfId="5969"/>
    <cellStyle name=" 36 3 2" xfId="5970"/>
    <cellStyle name=" 36 4" xfId="5971"/>
    <cellStyle name=" 36 4 2" xfId="5972"/>
    <cellStyle name=" 36 5" xfId="5973"/>
    <cellStyle name=" 37" xfId="5979"/>
    <cellStyle name=" 37 2" xfId="5983"/>
    <cellStyle name=" 37 2 2" xfId="4569"/>
    <cellStyle name=" 37 3" xfId="5984"/>
    <cellStyle name=" 37 3 2" xfId="4647"/>
    <cellStyle name=" 37 4" xfId="5986"/>
    <cellStyle name=" 37 4 2" xfId="4699"/>
    <cellStyle name=" 37 5" xfId="5987"/>
    <cellStyle name=" 38" xfId="5992"/>
    <cellStyle name=" 38 2" xfId="5066"/>
    <cellStyle name=" 38 2 2" xfId="5069"/>
    <cellStyle name=" 38 3" xfId="5102"/>
    <cellStyle name=" 38 3 2" xfId="5105"/>
    <cellStyle name=" 38 4" xfId="5178"/>
    <cellStyle name=" 38 4 2" xfId="5181"/>
    <cellStyle name=" 38 5" xfId="5236"/>
    <cellStyle name=" 39" xfId="5996"/>
    <cellStyle name=" 39 2" xfId="5706"/>
    <cellStyle name=" 39 2 2" xfId="5711"/>
    <cellStyle name=" 39 3" xfId="5795"/>
    <cellStyle name=" 39 3 2" xfId="5799"/>
    <cellStyle name=" 39 4" xfId="5836"/>
    <cellStyle name=" 39 4 2" xfId="5840"/>
    <cellStyle name=" 39 5" xfId="5880"/>
    <cellStyle name=" 4" xfId="5468"/>
    <cellStyle name=" 4 10" xfId="5998"/>
    <cellStyle name=" 4 10 2" xfId="3672"/>
    <cellStyle name=" 4 10 2 2" xfId="3677"/>
    <cellStyle name=" 4 10 3" xfId="3684"/>
    <cellStyle name=" 4 10 3 2" xfId="3689"/>
    <cellStyle name=" 4 10 4" xfId="3697"/>
    <cellStyle name=" 4 10 4 2" xfId="6003"/>
    <cellStyle name=" 4 10 5" xfId="6007"/>
    <cellStyle name=" 4 11" xfId="5261"/>
    <cellStyle name=" 4 2" xfId="5473"/>
    <cellStyle name=" 4 2 10" xfId="6010"/>
    <cellStyle name=" 4 2 10 2" xfId="6012"/>
    <cellStyle name=" 4 2 10 2 2" xfId="273"/>
    <cellStyle name=" 4 2 10 3" xfId="3466"/>
    <cellStyle name=" 4 2 10 3 2" xfId="313"/>
    <cellStyle name=" 4 2 10 4" xfId="1511"/>
    <cellStyle name=" 4 2 10 4 2" xfId="327"/>
    <cellStyle name=" 4 2 10 5" xfId="1514"/>
    <cellStyle name=" 4 2 11" xfId="4326"/>
    <cellStyle name=" 4 2 2" xfId="6013"/>
    <cellStyle name=" 4 2 2 2" xfId="6014"/>
    <cellStyle name=" 4 2 2 2 2" xfId="6015"/>
    <cellStyle name=" 4 2 2 2 2 2" xfId="2572"/>
    <cellStyle name=" 4 2 2 2 2 2 2" xfId="5268"/>
    <cellStyle name=" 4 2 2 2 2 3" xfId="5165"/>
    <cellStyle name=" 4 2 2 2 2 3 2" xfId="5273"/>
    <cellStyle name=" 4 2 2 2 2 4" xfId="5283"/>
    <cellStyle name=" 4 2 2 2 2 4 2" xfId="54"/>
    <cellStyle name=" 4 2 2 2 2 5" xfId="6020"/>
    <cellStyle name=" 4 2 2 2 3" xfId="6022"/>
    <cellStyle name=" 4 2 2 2 3 2" xfId="5286"/>
    <cellStyle name=" 4 2 2 2 3 2 2" xfId="5289"/>
    <cellStyle name=" 4 2 2 2 3 3" xfId="5294"/>
    <cellStyle name=" 4 2 2 2 3 3 2" xfId="6025"/>
    <cellStyle name=" 4 2 2 2 3 4" xfId="6030"/>
    <cellStyle name=" 4 2 2 2 4" xfId="4134"/>
    <cellStyle name=" 4 2 2 2 4 2" xfId="4136"/>
    <cellStyle name=" 4 2 2 2 5" xfId="4139"/>
    <cellStyle name=" 4 2 2 3" xfId="6031"/>
    <cellStyle name=" 4 2 2 3 2" xfId="6032"/>
    <cellStyle name=" 4 2 2 3 2 2" xfId="6033"/>
    <cellStyle name=" 4 2 2 3 3" xfId="6036"/>
    <cellStyle name=" 4 2 2 3 3 2" xfId="6038"/>
    <cellStyle name=" 4 2 2 3 4" xfId="4160"/>
    <cellStyle name=" 4 2 2 3 4 2" xfId="6042"/>
    <cellStyle name=" 4 2 2 3 5" xfId="6045"/>
    <cellStyle name=" 4 2 2 4" xfId="6046"/>
    <cellStyle name=" 4 2 2 4 2" xfId="6047"/>
    <cellStyle name=" 4 2 2 4 2 2" xfId="6049"/>
    <cellStyle name=" 4 2 2 4 3" xfId="6051"/>
    <cellStyle name=" 4 2 2 4 3 2" xfId="6055"/>
    <cellStyle name=" 4 2 2 4 4" xfId="6057"/>
    <cellStyle name=" 4 2 2 4 4 2" xfId="6064"/>
    <cellStyle name=" 4 2 2 4 5" xfId="6067"/>
    <cellStyle name=" 4 2 2 5" xfId="6071"/>
    <cellStyle name=" 4 2 2 5 2" xfId="6072"/>
    <cellStyle name=" 4 2 2 5 2 2" xfId="6073"/>
    <cellStyle name=" 4 2 2 5 3" xfId="6076"/>
    <cellStyle name=" 4 2 2 5 3 2" xfId="6078"/>
    <cellStyle name=" 4 2 2 5 4" xfId="6080"/>
    <cellStyle name=" 4 2 2 6" xfId="6081"/>
    <cellStyle name=" 4 2 2 6 2" xfId="6083"/>
    <cellStyle name=" 4 2 2 7" xfId="6084"/>
    <cellStyle name=" 4 2 3" xfId="6085"/>
    <cellStyle name=" 4 2 3 2" xfId="6086"/>
    <cellStyle name=" 4 2 3 2 2" xfId="6087"/>
    <cellStyle name=" 4 2 3 2 2 2" xfId="5441"/>
    <cellStyle name=" 4 2 3 2 2 2 2" xfId="5445"/>
    <cellStyle name=" 4 2 3 2 2 3" xfId="4058"/>
    <cellStyle name=" 4 2 3 2 2 3 2" xfId="5898"/>
    <cellStyle name=" 4 2 3 2 2 4" xfId="817"/>
    <cellStyle name=" 4 2 3 2 2 4 2" xfId="6092"/>
    <cellStyle name=" 4 2 3 2 2 5" xfId="6096"/>
    <cellStyle name=" 4 2 3 2 3" xfId="6098"/>
    <cellStyle name=" 4 2 3 2 3 2" xfId="5458"/>
    <cellStyle name=" 4 2 3 2 3 2 2" xfId="5903"/>
    <cellStyle name=" 4 2 3 2 3 3" xfId="4076"/>
    <cellStyle name=" 4 2 3 2 3 3 2" xfId="6100"/>
    <cellStyle name=" 4 2 3 2 3 4" xfId="1072"/>
    <cellStyle name=" 4 2 3 2 4" xfId="4187"/>
    <cellStyle name=" 4 2 3 2 4 2" xfId="6101"/>
    <cellStyle name=" 4 2 3 2 5" xfId="6102"/>
    <cellStyle name=" 4 2 3 3" xfId="6103"/>
    <cellStyle name=" 4 2 3 3 2" xfId="6104"/>
    <cellStyle name=" 4 2 3 3 2 2" xfId="6106"/>
    <cellStyle name=" 4 2 3 3 3" xfId="6108"/>
    <cellStyle name=" 4 2 3 3 3 2" xfId="6112"/>
    <cellStyle name=" 4 2 3 3 4" xfId="6114"/>
    <cellStyle name=" 4 2 3 3 4 2" xfId="6118"/>
    <cellStyle name=" 4 2 3 3 5" xfId="6120"/>
    <cellStyle name=" 4 2 3 4" xfId="6121"/>
    <cellStyle name=" 4 2 3 4 2" xfId="6122"/>
    <cellStyle name=" 4 2 3 4 2 2" xfId="6123"/>
    <cellStyle name=" 4 2 3 4 3" xfId="6126"/>
    <cellStyle name=" 4 2 3 4 3 2" xfId="6129"/>
    <cellStyle name=" 4 2 3 4 4" xfId="6132"/>
    <cellStyle name=" 4 2 3 5" xfId="6133"/>
    <cellStyle name=" 4 2 3 5 2" xfId="6136"/>
    <cellStyle name=" 4 2 3 6" xfId="6137"/>
    <cellStyle name=" 4 2 4" xfId="6138"/>
    <cellStyle name=" 4 2 4 2" xfId="6139"/>
    <cellStyle name=" 4 2 4 2 2" xfId="3718"/>
    <cellStyle name=" 4 2 4 2 2 2" xfId="3722"/>
    <cellStyle name=" 4 2 4 2 2 2 2" xfId="4692"/>
    <cellStyle name=" 4 2 4 2 2 3" xfId="5529"/>
    <cellStyle name=" 4 2 4 2 2 3 2" xfId="4708"/>
    <cellStyle name=" 4 2 4 2 2 4" xfId="6144"/>
    <cellStyle name=" 4 2 4 2 2 4 2" xfId="4726"/>
    <cellStyle name=" 4 2 4 2 2 5" xfId="6146"/>
    <cellStyle name=" 4 2 4 2 3" xfId="3728"/>
    <cellStyle name=" 4 2 4 2 3 2" xfId="5545"/>
    <cellStyle name=" 4 2 4 2 3 2 2" xfId="4751"/>
    <cellStyle name=" 4 2 4 2 3 3" xfId="6151"/>
    <cellStyle name=" 4 2 4 2 3 3 2" xfId="4774"/>
    <cellStyle name=" 4 2 4 2 3 4" xfId="6156"/>
    <cellStyle name=" 4 2 4 2 4" xfId="4224"/>
    <cellStyle name=" 4 2 4 2 4 2" xfId="6158"/>
    <cellStyle name=" 4 2 4 2 5" xfId="6159"/>
    <cellStyle name=" 4 2 4 3" xfId="6160"/>
    <cellStyle name=" 4 2 4 3 2" xfId="3753"/>
    <cellStyle name=" 4 2 4 3 2 2" xfId="6161"/>
    <cellStyle name=" 4 2 4 3 3" xfId="6165"/>
    <cellStyle name=" 4 2 4 3 3 2" xfId="6169"/>
    <cellStyle name=" 4 2 4 3 4" xfId="6174"/>
    <cellStyle name=" 4 2 4 3 4 2" xfId="6179"/>
    <cellStyle name=" 4 2 4 3 5" xfId="6187"/>
    <cellStyle name=" 4 2 4 4" xfId="6188"/>
    <cellStyle name=" 4 2 4 4 2" xfId="3785"/>
    <cellStyle name=" 4 2 4 4 2 2" xfId="6190"/>
    <cellStyle name=" 4 2 4 4 3" xfId="6193"/>
    <cellStyle name=" 4 2 4 4 3 2" xfId="6198"/>
    <cellStyle name=" 4 2 4 4 4" xfId="6202"/>
    <cellStyle name=" 4 2 4 5" xfId="6203"/>
    <cellStyle name=" 4 2 4 5 2" xfId="3792"/>
    <cellStyle name=" 4 2 4 6" xfId="6206"/>
    <cellStyle name=" 4 2 5" xfId="6207"/>
    <cellStyle name=" 4 2 5 2" xfId="6209"/>
    <cellStyle name=" 4 2 5 2 2" xfId="4014"/>
    <cellStyle name=" 4 2 5 2 2 2" xfId="2720"/>
    <cellStyle name=" 4 2 5 2 3" xfId="396"/>
    <cellStyle name=" 4 2 5 2 3 2" xfId="5584"/>
    <cellStyle name=" 4 2 5 2 4" xfId="399"/>
    <cellStyle name=" 4 2 5 2 4 2" xfId="6210"/>
    <cellStyle name=" 4 2 5 2 5" xfId="6212"/>
    <cellStyle name=" 4 2 5 3" xfId="5627"/>
    <cellStyle name=" 4 2 5 3 2" xfId="2859"/>
    <cellStyle name=" 4 2 5 3 2 2" xfId="2867"/>
    <cellStyle name=" 4 2 5 3 3" xfId="424"/>
    <cellStyle name=" 4 2 5 3 3 2" xfId="2876"/>
    <cellStyle name=" 4 2 5 3 4" xfId="437"/>
    <cellStyle name=" 4 2 5 4" xfId="5630"/>
    <cellStyle name=" 4 2 5 4 2" xfId="926"/>
    <cellStyle name=" 4 2 5 5" xfId="5634"/>
    <cellStyle name=" 4 2 6" xfId="6215"/>
    <cellStyle name=" 4 2 6 2" xfId="6217"/>
    <cellStyle name=" 4 2 6 2 2" xfId="4231"/>
    <cellStyle name=" 4 2 6 2 2 2" xfId="434"/>
    <cellStyle name=" 4 2 6 2 3" xfId="6218"/>
    <cellStyle name=" 4 2 6 2 3 2" xfId="479"/>
    <cellStyle name=" 4 2 6 2 4" xfId="6219"/>
    <cellStyle name=" 4 2 6 2 4 2" xfId="15"/>
    <cellStyle name=" 4 2 6 2 5" xfId="6220"/>
    <cellStyle name=" 4 2 6 3" xfId="5646"/>
    <cellStyle name=" 4 2 6 3 2" xfId="5650"/>
    <cellStyle name=" 4 2 6 3 2 2" xfId="6223"/>
    <cellStyle name=" 4 2 6 3 3" xfId="6225"/>
    <cellStyle name=" 4 2 6 3 3 2" xfId="6228"/>
    <cellStyle name=" 4 2 6 3 4" xfId="6221"/>
    <cellStyle name=" 4 2 6 4" xfId="951"/>
    <cellStyle name=" 4 2 6 4 2" xfId="3617"/>
    <cellStyle name=" 4 2 6 5" xfId="960"/>
    <cellStyle name=" 4 2 7" xfId="6232"/>
    <cellStyle name=" 4 2 7 2" xfId="6235"/>
    <cellStyle name=" 4 2 7 2 2" xfId="6238"/>
    <cellStyle name=" 4 2 7 3" xfId="5656"/>
    <cellStyle name=" 4 2 7 3 2" xfId="6241"/>
    <cellStyle name=" 4 2 7 4" xfId="6243"/>
    <cellStyle name=" 4 2 7 4 2" xfId="6245"/>
    <cellStyle name=" 4 2 7 5" xfId="6248"/>
    <cellStyle name=" 4 2 8" xfId="6252"/>
    <cellStyle name=" 4 2 8 2" xfId="6255"/>
    <cellStyle name=" 4 2 8 2 2" xfId="6261"/>
    <cellStyle name=" 4 2 8 3" xfId="6267"/>
    <cellStyle name=" 4 2 8 3 2" xfId="6274"/>
    <cellStyle name=" 4 2 8 4" xfId="6279"/>
    <cellStyle name=" 4 2 8 4 2" xfId="6283"/>
    <cellStyle name=" 4 2 8 5" xfId="6284"/>
    <cellStyle name=" 4 2 9" xfId="6287"/>
    <cellStyle name=" 4 2 9 2" xfId="6290"/>
    <cellStyle name=" 4 2 9 2 2" xfId="2122"/>
    <cellStyle name=" 4 2 9 3" xfId="6292"/>
    <cellStyle name=" 4 2 9 3 2" xfId="2130"/>
    <cellStyle name=" 4 2 9 4" xfId="6293"/>
    <cellStyle name=" 4 2 9 4 2" xfId="2145"/>
    <cellStyle name=" 4 2 9 5" xfId="6294"/>
    <cellStyle name=" 4 3" xfId="5913"/>
    <cellStyle name=" 4 3 2" xfId="6298"/>
    <cellStyle name=" 4 3 2 2" xfId="6300"/>
    <cellStyle name=" 4 3 2 2 2" xfId="6302"/>
    <cellStyle name=" 4 3 2 2 2 2" xfId="6305"/>
    <cellStyle name=" 4 3 2 2 3" xfId="6307"/>
    <cellStyle name=" 4 3 2 2 3 2" xfId="6308"/>
    <cellStyle name=" 4 3 2 2 4" xfId="4260"/>
    <cellStyle name=" 4 3 2 2 4 2" xfId="6310"/>
    <cellStyle name=" 4 3 2 2 5" xfId="4051"/>
    <cellStyle name=" 4 3 2 3" xfId="6312"/>
    <cellStyle name=" 4 3 2 3 2" xfId="6314"/>
    <cellStyle name=" 4 3 2 3 2 2" xfId="447"/>
    <cellStyle name=" 4 3 2 3 3" xfId="6317"/>
    <cellStyle name=" 4 3 2 3 3 2" xfId="6319"/>
    <cellStyle name=" 4 3 2 3 4" xfId="6321"/>
    <cellStyle name=" 4 3 2 4" xfId="6324"/>
    <cellStyle name=" 4 3 2 4 2" xfId="6325"/>
    <cellStyle name=" 4 3 2 5" xfId="6329"/>
    <cellStyle name=" 4 3 3" xfId="6330"/>
    <cellStyle name=" 4 3 3 2" xfId="6332"/>
    <cellStyle name=" 4 3 3 2 2" xfId="6334"/>
    <cellStyle name=" 4 3 3 2 2 2" xfId="6335"/>
    <cellStyle name=" 4 3 3 2 3" xfId="6338"/>
    <cellStyle name=" 4 3 3 2 3 2" xfId="4440"/>
    <cellStyle name=" 4 3 3 2 4" xfId="4272"/>
    <cellStyle name=" 4 3 3 2 4 2" xfId="6339"/>
    <cellStyle name=" 4 3 3 2 5" xfId="6340"/>
    <cellStyle name=" 4 3 3 3" xfId="6341"/>
    <cellStyle name=" 4 3 3 3 2" xfId="6346"/>
    <cellStyle name=" 4 3 3 3 2 2" xfId="6348"/>
    <cellStyle name=" 4 3 3 3 3" xfId="6351"/>
    <cellStyle name=" 4 3 3 3 3 2" xfId="6352"/>
    <cellStyle name=" 4 3 3 3 4" xfId="6353"/>
    <cellStyle name=" 4 3 3 4" xfId="6354"/>
    <cellStyle name=" 4 3 3 4 2" xfId="6359"/>
    <cellStyle name=" 4 3 3 5" xfId="6361"/>
    <cellStyle name=" 4 3 4" xfId="6365"/>
    <cellStyle name=" 4 3 4 2" xfId="6367"/>
    <cellStyle name=" 4 3 4 2 2" xfId="6368"/>
    <cellStyle name=" 4 3 4 3" xfId="1462"/>
    <cellStyle name=" 4 3 4 3 2" xfId="6375"/>
    <cellStyle name=" 4 3 4 4" xfId="6377"/>
    <cellStyle name=" 4 3 4 4 2" xfId="6378"/>
    <cellStyle name=" 4 3 4 5" xfId="6380"/>
    <cellStyle name=" 4 3 5" xfId="6382"/>
    <cellStyle name=" 4 3 5 2" xfId="6384"/>
    <cellStyle name=" 4 3 5 2 2" xfId="2662"/>
    <cellStyle name=" 4 3 5 3" xfId="1464"/>
    <cellStyle name=" 4 3 5 3 2" xfId="5667"/>
    <cellStyle name=" 4 3 5 4" xfId="1021"/>
    <cellStyle name=" 4 3 6" xfId="6385"/>
    <cellStyle name=" 4 3 6 2" xfId="6387"/>
    <cellStyle name=" 4 3 7" xfId="6390"/>
    <cellStyle name=" 4 3 8" xfId="6393"/>
    <cellStyle name=" 4 4" xfId="6105"/>
    <cellStyle name=" 4 4 2" xfId="6397"/>
    <cellStyle name=" 4 4 2 2" xfId="6399"/>
    <cellStyle name=" 4 4 2 2 2" xfId="6402"/>
    <cellStyle name=" 4 4 2 2 2 2" xfId="6407"/>
    <cellStyle name=" 4 4 2 2 3" xfId="6411"/>
    <cellStyle name=" 4 4 2 2 3 2" xfId="6413"/>
    <cellStyle name=" 4 4 2 2 4" xfId="4316"/>
    <cellStyle name=" 4 4 2 2 4 2" xfId="6415"/>
    <cellStyle name=" 4 4 2 2 5" xfId="6418"/>
    <cellStyle name=" 4 4 2 3" xfId="3005"/>
    <cellStyle name=" 4 4 2 3 2" xfId="3011"/>
    <cellStyle name=" 4 4 2 3 2 2" xfId="3018"/>
    <cellStyle name=" 4 4 2 3 3" xfId="3024"/>
    <cellStyle name=" 4 4 2 3 3 2" xfId="3028"/>
    <cellStyle name=" 4 4 2 3 4" xfId="3035"/>
    <cellStyle name=" 4 4 2 4" xfId="3043"/>
    <cellStyle name=" 4 4 2 4 2" xfId="3051"/>
    <cellStyle name=" 4 4 2 5" xfId="3078"/>
    <cellStyle name=" 4 4 3" xfId="4651"/>
    <cellStyle name=" 4 4 3 2" xfId="6419"/>
    <cellStyle name=" 4 4 3 2 2" xfId="6422"/>
    <cellStyle name=" 4 4 3 3" xfId="3100"/>
    <cellStyle name=" 4 4 3 3 2" xfId="3107"/>
    <cellStyle name=" 4 4 3 4" xfId="3109"/>
    <cellStyle name=" 4 4 3 4 2" xfId="3118"/>
    <cellStyle name=" 4 4 3 5" xfId="3123"/>
    <cellStyle name=" 4 4 4" xfId="6424"/>
    <cellStyle name=" 4 4 4 2" xfId="6426"/>
    <cellStyle name=" 4 4 4 2 2" xfId="6428"/>
    <cellStyle name=" 4 4 4 3" xfId="1473"/>
    <cellStyle name=" 4 4 4 3 2" xfId="3143"/>
    <cellStyle name=" 4 4 4 4" xfId="3146"/>
    <cellStyle name=" 4 4 5" xfId="6431"/>
    <cellStyle name=" 4 4 5 2" xfId="4807"/>
    <cellStyle name=" 4 4 6" xfId="6433"/>
    <cellStyle name=" 4 5" xfId="4092"/>
    <cellStyle name=" 4 5 2" xfId="6436"/>
    <cellStyle name=" 4 5 2 2" xfId="1841"/>
    <cellStyle name=" 4 5 2 2 2" xfId="6437"/>
    <cellStyle name=" 4 5 2 2 2 2" xfId="1679"/>
    <cellStyle name=" 4 5 2 2 3" xfId="1218"/>
    <cellStyle name=" 4 5 2 2 3 2" xfId="1203"/>
    <cellStyle name=" 4 5 2 2 4" xfId="1263"/>
    <cellStyle name=" 4 5 2 2 4 2" xfId="1276"/>
    <cellStyle name=" 4 5 2 2 5" xfId="1311"/>
    <cellStyle name=" 4 5 2 3" xfId="3417"/>
    <cellStyle name=" 4 5 2 3 2" xfId="3420"/>
    <cellStyle name=" 4 5 2 3 2 2" xfId="2051"/>
    <cellStyle name=" 4 5 2 3 3" xfId="974"/>
    <cellStyle name=" 4 5 2 3 3 2" xfId="986"/>
    <cellStyle name=" 4 5 2 3 4" xfId="67"/>
    <cellStyle name=" 4 5 2 4" xfId="3422"/>
    <cellStyle name=" 4 5 2 4 2" xfId="3428"/>
    <cellStyle name=" 4 5 2 5" xfId="3431"/>
    <cellStyle name=" 4 5 3" xfId="4656"/>
    <cellStyle name=" 4 5 3 2" xfId="5417"/>
    <cellStyle name=" 4 5 3 2 2" xfId="5422"/>
    <cellStyle name=" 4 5 3 3" xfId="3446"/>
    <cellStyle name=" 4 5 3 3 2" xfId="3453"/>
    <cellStyle name=" 4 5 3 4" xfId="3455"/>
    <cellStyle name=" 4 5 3 4 2" xfId="3463"/>
    <cellStyle name=" 4 5 3 5" xfId="3472"/>
    <cellStyle name=" 4 5 4" xfId="6439"/>
    <cellStyle name=" 4 5 4 2" xfId="6440"/>
    <cellStyle name=" 4 5 4 2 2" xfId="6442"/>
    <cellStyle name=" 4 5 4 3" xfId="3477"/>
    <cellStyle name=" 4 5 4 3 2" xfId="6444"/>
    <cellStyle name=" 4 5 4 4" xfId="6445"/>
    <cellStyle name=" 4 5 5" xfId="6447"/>
    <cellStyle name=" 4 5 5 2" xfId="6448"/>
    <cellStyle name=" 4 5 6" xfId="6449"/>
    <cellStyle name=" 4 6" xfId="6454"/>
    <cellStyle name=" 4 6 2" xfId="6458"/>
    <cellStyle name=" 4 6 2 2" xfId="6465"/>
    <cellStyle name=" 4 6 2 2 2" xfId="6470"/>
    <cellStyle name=" 4 6 2 3" xfId="3584"/>
    <cellStyle name=" 4 6 2 3 2" xfId="6474"/>
    <cellStyle name=" 4 6 2 4" xfId="5254"/>
    <cellStyle name=" 4 6 2 4 2" xfId="6478"/>
    <cellStyle name=" 4 6 2 5" xfId="6481"/>
    <cellStyle name=" 4 6 3" xfId="4663"/>
    <cellStyle name=" 4 6 3 2" xfId="6482"/>
    <cellStyle name=" 4 6 3 2 2" xfId="6485"/>
    <cellStyle name=" 4 6 3 3" xfId="6486"/>
    <cellStyle name=" 4 6 3 3 2" xfId="6487"/>
    <cellStyle name=" 4 6 3 4" xfId="6489"/>
    <cellStyle name=" 4 6 4" xfId="6490"/>
    <cellStyle name=" 4 6 4 2" xfId="6493"/>
    <cellStyle name=" 4 6 5" xfId="5742"/>
    <cellStyle name=" 4 7" xfId="1172"/>
    <cellStyle name=" 4 7 2" xfId="1175"/>
    <cellStyle name=" 4 7 2 2" xfId="3829"/>
    <cellStyle name=" 4 7 2 2 2" xfId="5522"/>
    <cellStyle name=" 4 7 2 3" xfId="3721"/>
    <cellStyle name=" 4 7 2 3 2" xfId="4691"/>
    <cellStyle name=" 4 7 2 4" xfId="5527"/>
    <cellStyle name=" 4 7 2 4 2" xfId="4706"/>
    <cellStyle name=" 4 7 2 5" xfId="6141"/>
    <cellStyle name=" 4 7 3" xfId="3837"/>
    <cellStyle name=" 4 7 3 2" xfId="3840"/>
    <cellStyle name=" 4 7 3 2 2" xfId="5540"/>
    <cellStyle name=" 4 7 3 3" xfId="5543"/>
    <cellStyle name=" 4 7 3 3 2" xfId="4749"/>
    <cellStyle name=" 4 7 3 4" xfId="6148"/>
    <cellStyle name=" 4 7 4" xfId="3846"/>
    <cellStyle name=" 4 7 4 2" xfId="3849"/>
    <cellStyle name=" 4 7 5" xfId="3852"/>
    <cellStyle name=" 4 8" xfId="1183"/>
    <cellStyle name=" 4 8 2" xfId="1189"/>
    <cellStyle name=" 4 8 2 2" xfId="3856"/>
    <cellStyle name=" 4 8 3" xfId="3858"/>
    <cellStyle name=" 4 8 3 2" xfId="3860"/>
    <cellStyle name=" 4 8 4" xfId="3862"/>
    <cellStyle name=" 4 8 4 2" xfId="6494"/>
    <cellStyle name=" 4 8 5" xfId="6495"/>
    <cellStyle name=" 4 9" xfId="1193"/>
    <cellStyle name=" 4 9 2" xfId="3864"/>
    <cellStyle name=" 4 9 2 2" xfId="6496"/>
    <cellStyle name=" 4 9 3" xfId="6497"/>
    <cellStyle name=" 4 9 3 2" xfId="6498"/>
    <cellStyle name=" 4 9 4" xfId="6499"/>
    <cellStyle name=" 4 9 4 2" xfId="6500"/>
    <cellStyle name=" 4 9 5" xfId="1995"/>
    <cellStyle name=" 40" xfId="5947"/>
    <cellStyle name=" 40 2" xfId="5950"/>
    <cellStyle name=" 40 2 2" xfId="5952"/>
    <cellStyle name=" 40 3" xfId="5954"/>
    <cellStyle name=" 40 3 2" xfId="5956"/>
    <cellStyle name=" 40 4" xfId="5959"/>
    <cellStyle name=" 40 4 2" xfId="5961"/>
    <cellStyle name=" 40 5" xfId="5963"/>
    <cellStyle name=" 41" xfId="5967"/>
    <cellStyle name=" 41 2" xfId="74"/>
    <cellStyle name=" 42" xfId="5978"/>
    <cellStyle name=" 42 2" xfId="5982"/>
    <cellStyle name=" 43" xfId="5991"/>
    <cellStyle name=" 43 2" xfId="5065"/>
    <cellStyle name=" 44" xfId="5995"/>
    <cellStyle name=" 44 2" xfId="5705"/>
    <cellStyle name=" 45" xfId="1064"/>
    <cellStyle name=" 45 2" xfId="5912"/>
    <cellStyle name=" 46" xfId="5917"/>
    <cellStyle name=" 46 2" xfId="5923"/>
    <cellStyle name=" 47" xfId="5930"/>
    <cellStyle name=" 47 2" xfId="5936"/>
    <cellStyle name=" 48" xfId="5733"/>
    <cellStyle name=" 49" xfId="4389"/>
    <cellStyle name=" 5" xfId="5475"/>
    <cellStyle name=" 5 10" xfId="4027"/>
    <cellStyle name=" 5 10 2" xfId="6503"/>
    <cellStyle name=" 5 10 2 2" xfId="735"/>
    <cellStyle name=" 5 10 3" xfId="6504"/>
    <cellStyle name=" 5 10 3 2" xfId="6508"/>
    <cellStyle name=" 5 10 4" xfId="1522"/>
    <cellStyle name=" 5 10 4 2" xfId="6512"/>
    <cellStyle name=" 5 10 5" xfId="6515"/>
    <cellStyle name=" 5 11" xfId="6517"/>
    <cellStyle name=" 5 2" xfId="2748"/>
    <cellStyle name=" 5 2 10" xfId="6457"/>
    <cellStyle name=" 5 2 10 2" xfId="6464"/>
    <cellStyle name=" 5 2 10 2 2" xfId="6469"/>
    <cellStyle name=" 5 2 10 3" xfId="3583"/>
    <cellStyle name=" 5 2 10 3 2" xfId="6473"/>
    <cellStyle name=" 5 2 10 4" xfId="5251"/>
    <cellStyle name=" 5 2 10 4 2" xfId="6476"/>
    <cellStyle name=" 5 2 10 5" xfId="6480"/>
    <cellStyle name=" 5 2 11" xfId="4662"/>
    <cellStyle name=" 5 2 2" xfId="1060"/>
    <cellStyle name=" 5 2 2 2" xfId="6518"/>
    <cellStyle name=" 5 2 2 2 2" xfId="6520"/>
    <cellStyle name=" 5 2 2 2 2 2" xfId="216"/>
    <cellStyle name=" 5 2 2 2 2 2 2" xfId="6521"/>
    <cellStyle name=" 5 2 2 2 2 3" xfId="6522"/>
    <cellStyle name=" 5 2 2 2 2 3 2" xfId="6524"/>
    <cellStyle name=" 5 2 2 2 2 4" xfId="6529"/>
    <cellStyle name=" 5 2 2 2 2 4 2" xfId="6532"/>
    <cellStyle name=" 5 2 2 2 2 5" xfId="6538"/>
    <cellStyle name=" 5 2 2 2 3" xfId="6540"/>
    <cellStyle name=" 5 2 2 2 3 2" xfId="5945"/>
    <cellStyle name=" 5 2 2 2 3 2 2" xfId="5949"/>
    <cellStyle name=" 5 2 2 2 3 3" xfId="5966"/>
    <cellStyle name=" 5 2 2 2 3 3 2" xfId="73"/>
    <cellStyle name=" 5 2 2 2 3 4" xfId="5977"/>
    <cellStyle name=" 5 2 2 2 4" xfId="6542"/>
    <cellStyle name=" 5 2 2 2 4 2" xfId="6544"/>
    <cellStyle name=" 5 2 2 2 5" xfId="5710"/>
    <cellStyle name=" 5 2 2 3" xfId="6545"/>
    <cellStyle name=" 5 2 2 3 2" xfId="2217"/>
    <cellStyle name=" 5 2 2 3 2 2" xfId="6546"/>
    <cellStyle name=" 5 2 2 3 3" xfId="6547"/>
    <cellStyle name=" 5 2 2 3 3 2" xfId="6550"/>
    <cellStyle name=" 5 2 2 3 4" xfId="6551"/>
    <cellStyle name=" 5 2 2 3 4 2" xfId="6554"/>
    <cellStyle name=" 5 2 2 3 5" xfId="5798"/>
    <cellStyle name=" 5 2 2 4" xfId="6555"/>
    <cellStyle name=" 5 2 2 4 2" xfId="6556"/>
    <cellStyle name=" 5 2 2 4 2 2" xfId="690"/>
    <cellStyle name=" 5 2 2 4 3" xfId="6557"/>
    <cellStyle name=" 5 2 2 4 3 2" xfId="2375"/>
    <cellStyle name=" 5 2 2 4 4" xfId="6558"/>
    <cellStyle name=" 5 2 2 4 4 2" xfId="2471"/>
    <cellStyle name=" 5 2 2 4 5" xfId="5839"/>
    <cellStyle name=" 5 2 2 5" xfId="6560"/>
    <cellStyle name=" 5 2 2 5 2" xfId="6562"/>
    <cellStyle name=" 5 2 2 5 2 2" xfId="318"/>
    <cellStyle name=" 5 2 2 5 3" xfId="6564"/>
    <cellStyle name=" 5 2 2 5 3 2" xfId="6566"/>
    <cellStyle name=" 5 2 2 5 4" xfId="6568"/>
    <cellStyle name=" 5 2 2 6" xfId="6572"/>
    <cellStyle name=" 5 2 2 6 2" xfId="6530"/>
    <cellStyle name=" 5 2 2 7" xfId="5042"/>
    <cellStyle name=" 5 2 3" xfId="6573"/>
    <cellStyle name=" 5 2 3 2" xfId="6574"/>
    <cellStyle name=" 5 2 3 2 2" xfId="6575"/>
    <cellStyle name=" 5 2 3 2 2 2" xfId="5279"/>
    <cellStyle name=" 5 2 3 2 2 2 2" xfId="58"/>
    <cellStyle name=" 5 2 3 2 2 3" xfId="6018"/>
    <cellStyle name=" 5 2 3 2 2 3 2" xfId="5664"/>
    <cellStyle name=" 5 2 3 2 2 4" xfId="6581"/>
    <cellStyle name=" 5 2 3 2 2 4 2" xfId="5791"/>
    <cellStyle name=" 5 2 3 2 2 5" xfId="868"/>
    <cellStyle name=" 5 2 3 2 3" xfId="6582"/>
    <cellStyle name=" 5 2 3 2 3 2" xfId="6027"/>
    <cellStyle name=" 5 2 3 2 3 2 2" xfId="6585"/>
    <cellStyle name=" 5 2 3 2 3 3" xfId="6586"/>
    <cellStyle name=" 5 2 3 2 3 3 2" xfId="6213"/>
    <cellStyle name=" 5 2 3 2 3 4" xfId="6590"/>
    <cellStyle name=" 5 2 3 2 4" xfId="6591"/>
    <cellStyle name=" 5 2 3 2 4 2" xfId="6592"/>
    <cellStyle name=" 5 2 3 2 5" xfId="6297"/>
    <cellStyle name=" 5 2 3 3" xfId="6593"/>
    <cellStyle name=" 5 2 3 3 2" xfId="6594"/>
    <cellStyle name=" 5 2 3 3 2 2" xfId="6596"/>
    <cellStyle name=" 5 2 3 3 3" xfId="6597"/>
    <cellStyle name=" 5 2 3 3 3 2" xfId="6603"/>
    <cellStyle name=" 5 2 3 3 4" xfId="6604"/>
    <cellStyle name=" 5 2 3 3 4 2" xfId="6610"/>
    <cellStyle name=" 5 2 3 3 5" xfId="6395"/>
    <cellStyle name=" 5 2 3 4" xfId="6611"/>
    <cellStyle name=" 5 2 3 4 2" xfId="6612"/>
    <cellStyle name=" 5 2 3 4 2 2" xfId="6613"/>
    <cellStyle name=" 5 2 3 4 3" xfId="6614"/>
    <cellStyle name=" 5 2 3 4 3 2" xfId="6615"/>
    <cellStyle name=" 5 2 3 4 4" xfId="6616"/>
    <cellStyle name=" 5 2 3 5" xfId="6618"/>
    <cellStyle name=" 5 2 3 5 2" xfId="6620"/>
    <cellStyle name=" 5 2 3 6" xfId="6623"/>
    <cellStyle name=" 5 2 4" xfId="6624"/>
    <cellStyle name=" 5 2 4 2" xfId="1067"/>
    <cellStyle name=" 5 2 4 2 2" xfId="1035"/>
    <cellStyle name=" 5 2 4 2 2 2" xfId="815"/>
    <cellStyle name=" 5 2 4 2 2 2 2" xfId="6090"/>
    <cellStyle name=" 5 2 4 2 2 3" xfId="6093"/>
    <cellStyle name=" 5 2 4 2 2 3 2" xfId="6625"/>
    <cellStyle name=" 5 2 4 2 2 4" xfId="6629"/>
    <cellStyle name=" 5 2 4 2 2 4 2" xfId="6630"/>
    <cellStyle name=" 5 2 4 2 2 5" xfId="6631"/>
    <cellStyle name=" 5 2 4 2 3" xfId="42"/>
    <cellStyle name=" 5 2 4 2 3 2" xfId="1070"/>
    <cellStyle name=" 5 2 4 2 3 2 2" xfId="6632"/>
    <cellStyle name=" 5 2 4 2 3 3" xfId="6633"/>
    <cellStyle name=" 5 2 4 2 3 3 2" xfId="2265"/>
    <cellStyle name=" 5 2 4 2 3 4" xfId="6637"/>
    <cellStyle name=" 5 2 4 2 4" xfId="1076"/>
    <cellStyle name=" 5 2 4 2 4 2" xfId="1078"/>
    <cellStyle name=" 5 2 4 2 5" xfId="1081"/>
    <cellStyle name=" 5 2 4 3" xfId="1083"/>
    <cellStyle name=" 5 2 4 3 2" xfId="6638"/>
    <cellStyle name=" 5 2 4 3 2 2" xfId="6452"/>
    <cellStyle name=" 5 2 4 3 3" xfId="6640"/>
    <cellStyle name=" 5 2 4 3 3 2" xfId="6645"/>
    <cellStyle name=" 5 2 4 3 4" xfId="6646"/>
    <cellStyle name=" 5 2 4 3 4 2" xfId="6652"/>
    <cellStyle name=" 5 2 4 3 5" xfId="6655"/>
    <cellStyle name=" 5 2 4 4" xfId="6657"/>
    <cellStyle name=" 5 2 4 4 2" xfId="1785"/>
    <cellStyle name=" 5 2 4 4 2 2" xfId="1792"/>
    <cellStyle name=" 5 2 4 4 3" xfId="59"/>
    <cellStyle name=" 5 2 4 4 3 2" xfId="1798"/>
    <cellStyle name=" 5 2 4 4 4" xfId="121"/>
    <cellStyle name=" 5 2 4 5" xfId="6659"/>
    <cellStyle name=" 5 2 4 5 2" xfId="2081"/>
    <cellStyle name=" 5 2 4 6" xfId="2383"/>
    <cellStyle name=" 5 2 5" xfId="6660"/>
    <cellStyle name=" 5 2 5 2" xfId="6661"/>
    <cellStyle name=" 5 2 5 2 2" xfId="6662"/>
    <cellStyle name=" 5 2 5 2 2 2" xfId="6140"/>
    <cellStyle name=" 5 2 5 2 3" xfId="6663"/>
    <cellStyle name=" 5 2 5 2 3 2" xfId="6152"/>
    <cellStyle name=" 5 2 5 2 4" xfId="6665"/>
    <cellStyle name=" 5 2 5 2 4 2" xfId="180"/>
    <cellStyle name=" 5 2 5 2 5" xfId="6668"/>
    <cellStyle name=" 5 2 5 3" xfId="5783"/>
    <cellStyle name=" 5 2 5 3 2" xfId="6669"/>
    <cellStyle name=" 5 2 5 3 2 2" xfId="6670"/>
    <cellStyle name=" 5 2 5 3 3" xfId="6671"/>
    <cellStyle name=" 5 2 5 3 3 2" xfId="6672"/>
    <cellStyle name=" 5 2 5 3 4" xfId="6673"/>
    <cellStyle name=" 5 2 5 4" xfId="6674"/>
    <cellStyle name=" 5 2 5 4 2" xfId="6675"/>
    <cellStyle name=" 5 2 5 5" xfId="6677"/>
    <cellStyle name=" 5 2 6" xfId="6679"/>
    <cellStyle name=" 5 2 6 2" xfId="6680"/>
    <cellStyle name=" 5 2 6 2 2" xfId="6681"/>
    <cellStyle name=" 5 2 6 2 2 2" xfId="6684"/>
    <cellStyle name=" 5 2 6 2 3" xfId="6685"/>
    <cellStyle name=" 5 2 6 2 3 2" xfId="6686"/>
    <cellStyle name=" 5 2 6 2 4" xfId="6687"/>
    <cellStyle name=" 5 2 6 2 4 2" xfId="6688"/>
    <cellStyle name=" 5 2 6 2 5" xfId="6689"/>
    <cellStyle name=" 5 2 6 3" xfId="262"/>
    <cellStyle name=" 5 2 6 3 2" xfId="6691"/>
    <cellStyle name=" 5 2 6 3 2 2" xfId="6693"/>
    <cellStyle name=" 5 2 6 3 3" xfId="6695"/>
    <cellStyle name=" 5 2 6 3 3 2" xfId="6697"/>
    <cellStyle name=" 5 2 6 3 4" xfId="6699"/>
    <cellStyle name=" 5 2 6 4" xfId="287"/>
    <cellStyle name=" 5 2 6 4 2" xfId="6700"/>
    <cellStyle name=" 5 2 6 5" xfId="6701"/>
    <cellStyle name=" 5 2 7" xfId="6702"/>
    <cellStyle name=" 5 2 7 2" xfId="6703"/>
    <cellStyle name=" 5 2 7 2 2" xfId="760"/>
    <cellStyle name=" 5 2 7 3" xfId="6705"/>
    <cellStyle name=" 5 2 7 3 2" xfId="5374"/>
    <cellStyle name=" 5 2 7 4" xfId="6707"/>
    <cellStyle name=" 5 2 7 4 2" xfId="5958"/>
    <cellStyle name=" 5 2 7 5" xfId="6708"/>
    <cellStyle name=" 5 2 8" xfId="6709"/>
    <cellStyle name=" 5 2 8 2" xfId="6710"/>
    <cellStyle name=" 5 2 8 2 2" xfId="6711"/>
    <cellStyle name=" 5 2 8 3" xfId="6713"/>
    <cellStyle name=" 5 2 8 3 2" xfId="6714"/>
    <cellStyle name=" 5 2 8 4" xfId="6715"/>
    <cellStyle name=" 5 2 8 4 2" xfId="6717"/>
    <cellStyle name=" 5 2 8 5" xfId="6718"/>
    <cellStyle name=" 5 2 9" xfId="6719"/>
    <cellStyle name=" 5 2 9 2" xfId="6721"/>
    <cellStyle name=" 5 2 9 2 2" xfId="6722"/>
    <cellStyle name=" 5 2 9 3" xfId="6723"/>
    <cellStyle name=" 5 2 9 3 2" xfId="6724"/>
    <cellStyle name=" 5 2 9 4" xfId="6725"/>
    <cellStyle name=" 5 2 9 4 2" xfId="5728"/>
    <cellStyle name=" 5 2 9 5" xfId="6726"/>
    <cellStyle name=" 5 3" xfId="5920"/>
    <cellStyle name=" 5 3 2" xfId="1080"/>
    <cellStyle name=" 5 3 2 2" xfId="6728"/>
    <cellStyle name=" 5 3 2 2 2" xfId="6730"/>
    <cellStyle name=" 5 3 2 2 2 2" xfId="6732"/>
    <cellStyle name=" 5 3 2 2 3" xfId="6733"/>
    <cellStyle name=" 5 3 2 2 3 2" xfId="6734"/>
    <cellStyle name=" 5 3 2 2 4" xfId="6735"/>
    <cellStyle name=" 5 3 2 2 4 2" xfId="6736"/>
    <cellStyle name=" 5 3 2 2 5" xfId="6737"/>
    <cellStyle name=" 5 3 2 3" xfId="6739"/>
    <cellStyle name=" 5 3 2 3 2" xfId="6742"/>
    <cellStyle name=" 5 3 2 3 2 2" xfId="285"/>
    <cellStyle name=" 5 3 2 3 3" xfId="6743"/>
    <cellStyle name=" 5 3 2 3 3 2" xfId="6706"/>
    <cellStyle name=" 5 3 2 3 4" xfId="6745"/>
    <cellStyle name=" 5 3 2 4" xfId="6747"/>
    <cellStyle name=" 5 3 2 4 2" xfId="6748"/>
    <cellStyle name=" 5 3 2 5" xfId="6750"/>
    <cellStyle name=" 5 3 3" xfId="6751"/>
    <cellStyle name=" 5 3 3 2" xfId="6753"/>
    <cellStyle name=" 5 3 3 2 2" xfId="6756"/>
    <cellStyle name=" 5 3 3 2 2 2" xfId="6757"/>
    <cellStyle name=" 5 3 3 2 3" xfId="6759"/>
    <cellStyle name=" 5 3 3 2 3 2" xfId="6760"/>
    <cellStyle name=" 5 3 3 2 4" xfId="6762"/>
    <cellStyle name=" 5 3 3 2 4 2" xfId="6765"/>
    <cellStyle name=" 5 3 3 2 5" xfId="6767"/>
    <cellStyle name=" 5 3 3 3" xfId="6769"/>
    <cellStyle name=" 5 3 3 3 2" xfId="2601"/>
    <cellStyle name=" 5 3 3 3 2 2" xfId="2607"/>
    <cellStyle name=" 5 3 3 3 3" xfId="6771"/>
    <cellStyle name=" 5 3 3 3 3 2" xfId="6773"/>
    <cellStyle name=" 5 3 3 3 4" xfId="6775"/>
    <cellStyle name=" 5 3 3 4" xfId="6778"/>
    <cellStyle name=" 5 3 3 4 2" xfId="6783"/>
    <cellStyle name=" 5 3 3 5" xfId="6786"/>
    <cellStyle name=" 5 3 4" xfId="6787"/>
    <cellStyle name=" 5 3 4 2" xfId="4464"/>
    <cellStyle name=" 5 3 4 2 2" xfId="4470"/>
    <cellStyle name=" 5 3 4 3" xfId="4473"/>
    <cellStyle name=" 5 3 4 3 2" xfId="6792"/>
    <cellStyle name=" 5 3 4 4" xfId="4478"/>
    <cellStyle name=" 5 3 4 4 2" xfId="110"/>
    <cellStyle name=" 5 3 4 5" xfId="6796"/>
    <cellStyle name=" 5 3 5" xfId="6797"/>
    <cellStyle name=" 5 3 5 2" xfId="4523"/>
    <cellStyle name=" 5 3 5 2 2" xfId="4526"/>
    <cellStyle name=" 5 3 5 3" xfId="4529"/>
    <cellStyle name=" 5 3 5 3 2" xfId="6799"/>
    <cellStyle name=" 5 3 5 4" xfId="4534"/>
    <cellStyle name=" 5 3 6" xfId="6800"/>
    <cellStyle name=" 5 3 6 2" xfId="4592"/>
    <cellStyle name=" 5 3 7" xfId="6801"/>
    <cellStyle name=" 5 3 8" xfId="6802"/>
    <cellStyle name=" 5 4" xfId="6111"/>
    <cellStyle name=" 5 4 2" xfId="6654"/>
    <cellStyle name=" 5 4 2 2" xfId="6804"/>
    <cellStyle name=" 5 4 2 2 2" xfId="6806"/>
    <cellStyle name=" 5 4 2 2 2 2" xfId="6808"/>
    <cellStyle name=" 5 4 2 2 3" xfId="6809"/>
    <cellStyle name=" 5 4 2 2 3 2" xfId="6810"/>
    <cellStyle name=" 5 4 2 2 4" xfId="6811"/>
    <cellStyle name=" 5 4 2 2 4 2" xfId="6812"/>
    <cellStyle name=" 5 4 2 2 5" xfId="6813"/>
    <cellStyle name=" 5 4 2 3" xfId="3903"/>
    <cellStyle name=" 5 4 2 3 2" xfId="3907"/>
    <cellStyle name=" 5 4 2 3 2 2" xfId="6814"/>
    <cellStyle name=" 5 4 2 3 3" xfId="6815"/>
    <cellStyle name=" 5 4 2 3 3 2" xfId="165"/>
    <cellStyle name=" 5 4 2 3 4" xfId="6816"/>
    <cellStyle name=" 5 4 2 4" xfId="3913"/>
    <cellStyle name=" 5 4 2 4 2" xfId="3918"/>
    <cellStyle name=" 5 4 2 5" xfId="3925"/>
    <cellStyle name=" 5 4 3" xfId="4674"/>
    <cellStyle name=" 5 4 3 2" xfId="6817"/>
    <cellStyle name=" 5 4 3 2 2" xfId="6818"/>
    <cellStyle name=" 5 4 3 3" xfId="3928"/>
    <cellStyle name=" 5 4 3 3 2" xfId="6819"/>
    <cellStyle name=" 5 4 3 4" xfId="6821"/>
    <cellStyle name=" 5 4 3 4 2" xfId="824"/>
    <cellStyle name=" 5 4 3 5" xfId="6824"/>
    <cellStyle name=" 5 4 4" xfId="6825"/>
    <cellStyle name=" 5 4 4 2" xfId="6826"/>
    <cellStyle name=" 5 4 4 2 2" xfId="1604"/>
    <cellStyle name=" 5 4 4 3" xfId="6829"/>
    <cellStyle name=" 5 4 4 3 2" xfId="1702"/>
    <cellStyle name=" 5 4 4 4" xfId="6832"/>
    <cellStyle name=" 5 4 5" xfId="6836"/>
    <cellStyle name=" 5 4 5 2" xfId="4966"/>
    <cellStyle name=" 5 4 6" xfId="2676"/>
    <cellStyle name=" 5 5" xfId="4098"/>
    <cellStyle name=" 5 5 2" xfId="131"/>
    <cellStyle name=" 5 5 2 2" xfId="1929"/>
    <cellStyle name=" 5 5 2 2 2" xfId="6837"/>
    <cellStyle name=" 5 5 2 2 2 2" xfId="6838"/>
    <cellStyle name=" 5 5 2 2 3" xfId="6840"/>
    <cellStyle name=" 5 5 2 2 3 2" xfId="6841"/>
    <cellStyle name=" 5 5 2 2 4" xfId="6842"/>
    <cellStyle name=" 5 5 2 2 4 2" xfId="6844"/>
    <cellStyle name=" 5 5 2 2 5" xfId="6845"/>
    <cellStyle name=" 5 5 2 3" xfId="3966"/>
    <cellStyle name=" 5 5 2 3 2" xfId="6846"/>
    <cellStyle name=" 5 5 2 3 2 2" xfId="6847"/>
    <cellStyle name=" 5 5 2 3 3" xfId="6849"/>
    <cellStyle name=" 5 5 2 3 3 2" xfId="6850"/>
    <cellStyle name=" 5 5 2 3 4" xfId="6851"/>
    <cellStyle name=" 5 5 2 4" xfId="5269"/>
    <cellStyle name=" 5 5 2 4 2" xfId="6004"/>
    <cellStyle name=" 5 5 2 5" xfId="6854"/>
    <cellStyle name=" 5 5 3" xfId="140"/>
    <cellStyle name=" 5 5 3 2" xfId="6856"/>
    <cellStyle name=" 5 5 3 2 2" xfId="6858"/>
    <cellStyle name=" 5 5 3 3" xfId="6860"/>
    <cellStyle name=" 5 5 3 3 2" xfId="6861"/>
    <cellStyle name=" 5 5 3 4" xfId="5274"/>
    <cellStyle name=" 5 5 3 4 2" xfId="487"/>
    <cellStyle name=" 5 5 3 5" xfId="6867"/>
    <cellStyle name=" 5 5 4" xfId="6868"/>
    <cellStyle name=" 5 5 4 2" xfId="6872"/>
    <cellStyle name=" 5 5 4 2 2" xfId="6874"/>
    <cellStyle name=" 5 5 4 3" xfId="6876"/>
    <cellStyle name=" 5 5 4 3 2" xfId="6877"/>
    <cellStyle name=" 5 5 4 4" xfId="55"/>
    <cellStyle name=" 5 5 5" xfId="6879"/>
    <cellStyle name=" 5 5 5 2" xfId="5568"/>
    <cellStyle name=" 5 5 6" xfId="6880"/>
    <cellStyle name=" 5 6" xfId="6643"/>
    <cellStyle name=" 5 6 2" xfId="6885"/>
    <cellStyle name=" 5 6 2 2" xfId="6888"/>
    <cellStyle name=" 5 6 2 2 2" xfId="6890"/>
    <cellStyle name=" 5 6 2 3" xfId="6893"/>
    <cellStyle name=" 5 6 2 3 2" xfId="6895"/>
    <cellStyle name=" 5 6 2 4" xfId="5290"/>
    <cellStyle name=" 5 6 2 4 2" xfId="5382"/>
    <cellStyle name=" 5 6 2 5" xfId="6898"/>
    <cellStyle name=" 5 6 3" xfId="6899"/>
    <cellStyle name=" 5 6 3 2" xfId="6900"/>
    <cellStyle name=" 5 6 3 2 2" xfId="6901"/>
    <cellStyle name=" 5 6 3 3" xfId="6903"/>
    <cellStyle name=" 5 6 3 3 2" xfId="6904"/>
    <cellStyle name=" 5 6 3 4" xfId="6026"/>
    <cellStyle name=" 5 6 4" xfId="6905"/>
    <cellStyle name=" 5 6 4 2" xfId="6906"/>
    <cellStyle name=" 5 6 5" xfId="6907"/>
    <cellStyle name=" 5 7" xfId="841"/>
    <cellStyle name=" 5 7 2" xfId="2393"/>
    <cellStyle name=" 5 7 2 2" xfId="2714"/>
    <cellStyle name=" 5 7 2 2 2" xfId="591"/>
    <cellStyle name=" 5 7 2 3" xfId="2719"/>
    <cellStyle name=" 5 7 2 3 2" xfId="707"/>
    <cellStyle name=" 5 7 2 4" xfId="5573"/>
    <cellStyle name=" 5 7 2 4 2" xfId="747"/>
    <cellStyle name=" 5 7 2 5" xfId="6683"/>
    <cellStyle name=" 5 7 3" xfId="6908"/>
    <cellStyle name=" 5 7 3 2" xfId="2739"/>
    <cellStyle name=" 5 7 3 2 2" xfId="5579"/>
    <cellStyle name=" 5 7 3 3" xfId="5582"/>
    <cellStyle name=" 5 7 3 3 2" xfId="6909"/>
    <cellStyle name=" 5 7 3 4" xfId="6911"/>
    <cellStyle name=" 5 7 4" xfId="6913"/>
    <cellStyle name=" 5 7 4 2" xfId="6914"/>
    <cellStyle name=" 5 7 5" xfId="6915"/>
    <cellStyle name=" 5 8" xfId="3871"/>
    <cellStyle name=" 5 8 2" xfId="3874"/>
    <cellStyle name=" 5 8 2 2" xfId="6917"/>
    <cellStyle name=" 5 8 3" xfId="6918"/>
    <cellStyle name=" 5 8 3 2" xfId="6921"/>
    <cellStyle name=" 5 8 4" xfId="6923"/>
    <cellStyle name=" 5 8 4 2" xfId="6924"/>
    <cellStyle name=" 5 8 5" xfId="6925"/>
    <cellStyle name=" 5 9" xfId="3877"/>
    <cellStyle name=" 5 9 2" xfId="3879"/>
    <cellStyle name=" 5 9 2 2" xfId="6927"/>
    <cellStyle name=" 5 9 3" xfId="6928"/>
    <cellStyle name=" 5 9 3 2" xfId="6930"/>
    <cellStyle name=" 5 9 4" xfId="6932"/>
    <cellStyle name=" 5 9 4 2" xfId="6933"/>
    <cellStyle name=" 5 9 5" xfId="2039"/>
    <cellStyle name=" 6" xfId="5479"/>
    <cellStyle name=" 6 10" xfId="6934"/>
    <cellStyle name=" 6 10 2" xfId="6935"/>
    <cellStyle name=" 6 10 2 2" xfId="4643"/>
    <cellStyle name=" 6 10 3" xfId="6936"/>
    <cellStyle name=" 6 10 3 2" xfId="4669"/>
    <cellStyle name=" 6 10 4" xfId="291"/>
    <cellStyle name=" 6 10 4 2" xfId="6938"/>
    <cellStyle name=" 6 10 5" xfId="302"/>
    <cellStyle name=" 6 11" xfId="6372"/>
    <cellStyle name=" 6 2" xfId="2779"/>
    <cellStyle name=" 6 2 10" xfId="1603"/>
    <cellStyle name=" 6 2 10 2" xfId="1611"/>
    <cellStyle name=" 6 2 10 2 2" xfId="1616"/>
    <cellStyle name=" 6 2 10 3" xfId="1618"/>
    <cellStyle name=" 6 2 10 3 2" xfId="1622"/>
    <cellStyle name=" 6 2 10 4" xfId="1624"/>
    <cellStyle name=" 6 2 10 4 2" xfId="4281"/>
    <cellStyle name=" 6 2 10 5" xfId="4284"/>
    <cellStyle name=" 6 2 11" xfId="1629"/>
    <cellStyle name=" 6 2 2" xfId="6939"/>
    <cellStyle name=" 6 2 2 2" xfId="6940"/>
    <cellStyle name=" 6 2 2 2 2" xfId="6941"/>
    <cellStyle name=" 6 2 2 2 2 2" xfId="4976"/>
    <cellStyle name=" 6 2 2 2 2 2 2" xfId="4521"/>
    <cellStyle name=" 6 2 2 2 2 3" xfId="6942"/>
    <cellStyle name=" 6 2 2 2 2 3 2" xfId="6943"/>
    <cellStyle name=" 6 2 2 2 2 4" xfId="6944"/>
    <cellStyle name=" 6 2 2 2 2 4 2" xfId="6945"/>
    <cellStyle name=" 6 2 2 2 2 5" xfId="6946"/>
    <cellStyle name=" 6 2 2 2 3" xfId="5008"/>
    <cellStyle name=" 6 2 2 2 3 2" xfId="6947"/>
    <cellStyle name=" 6 2 2 2 3 2 2" xfId="4590"/>
    <cellStyle name=" 6 2 2 2 3 3" xfId="6948"/>
    <cellStyle name=" 6 2 2 2 3 3 2" xfId="6950"/>
    <cellStyle name=" 6 2 2 2 3 4" xfId="6951"/>
    <cellStyle name=" 6 2 2 2 4" xfId="6953"/>
    <cellStyle name=" 6 2 2 2 4 2" xfId="6955"/>
    <cellStyle name=" 6 2 2 2 5" xfId="6956"/>
    <cellStyle name=" 6 2 2 3" xfId="6957"/>
    <cellStyle name=" 6 2 2 3 2" xfId="6958"/>
    <cellStyle name=" 6 2 2 3 2 2" xfId="6959"/>
    <cellStyle name=" 6 2 2 3 3" xfId="6960"/>
    <cellStyle name=" 6 2 2 3 3 2" xfId="6961"/>
    <cellStyle name=" 6 2 2 3 4" xfId="6962"/>
    <cellStyle name=" 6 2 2 3 4 2" xfId="6965"/>
    <cellStyle name=" 6 2 2 3 5" xfId="6967"/>
    <cellStyle name=" 6 2 2 4" xfId="2241"/>
    <cellStyle name=" 6 2 2 4 2" xfId="2244"/>
    <cellStyle name=" 6 2 2 4 2 2" xfId="2249"/>
    <cellStyle name=" 6 2 2 4 3" xfId="2267"/>
    <cellStyle name=" 6 2 2 4 3 2" xfId="2273"/>
    <cellStyle name=" 6 2 2 4 4" xfId="2288"/>
    <cellStyle name=" 6 2 2 4 4 2" xfId="2293"/>
    <cellStyle name=" 6 2 2 4 5" xfId="2299"/>
    <cellStyle name=" 6 2 2 5" xfId="2305"/>
    <cellStyle name=" 6 2 2 5 2" xfId="2312"/>
    <cellStyle name=" 6 2 2 5 2 2" xfId="2317"/>
    <cellStyle name=" 6 2 2 5 3" xfId="2320"/>
    <cellStyle name=" 6 2 2 5 3 2" xfId="2327"/>
    <cellStyle name=" 6 2 2 5 4" xfId="2330"/>
    <cellStyle name=" 6 2 2 6" xfId="2346"/>
    <cellStyle name=" 6 2 2 6 2" xfId="2352"/>
    <cellStyle name=" 6 2 2 7" xfId="2367"/>
    <cellStyle name=" 6 2 3" xfId="6970"/>
    <cellStyle name=" 6 2 3 2" xfId="6972"/>
    <cellStyle name=" 6 2 3 2 2" xfId="6570"/>
    <cellStyle name=" 6 2 3 2 2 2" xfId="6527"/>
    <cellStyle name=" 6 2 3 2 2 2 2" xfId="6531"/>
    <cellStyle name=" 6 2 3 2 2 3" xfId="6536"/>
    <cellStyle name=" 6 2 3 2 2 3 2" xfId="6974"/>
    <cellStyle name=" 6 2 3 2 2 4" xfId="6976"/>
    <cellStyle name=" 6 2 3 2 2 4 2" xfId="6977"/>
    <cellStyle name=" 6 2 3 2 2 5" xfId="3"/>
    <cellStyle name=" 6 2 3 2 3" xfId="5040"/>
    <cellStyle name=" 6 2 3 2 3 2" xfId="5975"/>
    <cellStyle name=" 6 2 3 2 3 2 2" xfId="5981"/>
    <cellStyle name=" 6 2 3 2 3 3" xfId="5988"/>
    <cellStyle name=" 6 2 3 2 3 3 2" xfId="5062"/>
    <cellStyle name=" 6 2 3 2 3 4" xfId="5994"/>
    <cellStyle name=" 6 2 3 2 4" xfId="6980"/>
    <cellStyle name=" 6 2 3 2 4 2" xfId="6982"/>
    <cellStyle name=" 6 2 3 2 5" xfId="6984"/>
    <cellStyle name=" 6 2 3 3" xfId="6985"/>
    <cellStyle name=" 6 2 3 3 2" xfId="6621"/>
    <cellStyle name=" 6 2 3 3 2 2" xfId="6986"/>
    <cellStyle name=" 6 2 3 3 3" xfId="6987"/>
    <cellStyle name=" 6 2 3 3 3 2" xfId="6988"/>
    <cellStyle name=" 6 2 3 3 4" xfId="6989"/>
    <cellStyle name=" 6 2 3 3 4 2" xfId="6990"/>
    <cellStyle name=" 6 2 3 3 5" xfId="6991"/>
    <cellStyle name=" 6 2 3 4" xfId="2379"/>
    <cellStyle name=" 6 2 3 4 2" xfId="2381"/>
    <cellStyle name=" 6 2 3 4 2 2" xfId="703"/>
    <cellStyle name=" 6 2 3 4 3" xfId="2398"/>
    <cellStyle name=" 6 2 3 4 3 2" xfId="2403"/>
    <cellStyle name=" 6 2 3 4 4" xfId="2409"/>
    <cellStyle name=" 6 2 3 5" xfId="2423"/>
    <cellStyle name=" 6 2 3 5 2" xfId="2426"/>
    <cellStyle name=" 6 2 3 6" xfId="2445"/>
    <cellStyle name=" 6 2 4" xfId="6992"/>
    <cellStyle name=" 6 2 4 2" xfId="6993"/>
    <cellStyle name=" 6 2 4 2 2" xfId="6995"/>
    <cellStyle name=" 6 2 4 2 2 2" xfId="6576"/>
    <cellStyle name=" 6 2 4 2 2 2 2" xfId="5786"/>
    <cellStyle name=" 6 2 4 2 2 3" xfId="864"/>
    <cellStyle name=" 6 2 4 2 2 3 2" xfId="876"/>
    <cellStyle name=" 6 2 4 2 2 4" xfId="4546"/>
    <cellStyle name=" 6 2 4 2 2 4 2" xfId="5879"/>
    <cellStyle name=" 6 2 4 2 2 5" xfId="1288"/>
    <cellStyle name=" 6 2 4 2 3" xfId="5054"/>
    <cellStyle name=" 6 2 4 2 3 2" xfId="6587"/>
    <cellStyle name=" 6 2 4 2 3 2 2" xfId="6386"/>
    <cellStyle name=" 6 2 4 2 3 3" xfId="6997"/>
    <cellStyle name=" 6 2 4 2 3 3 2" xfId="6434"/>
    <cellStyle name=" 6 2 4 2 3 4" xfId="4552"/>
    <cellStyle name=" 6 2 4 2 4" xfId="6999"/>
    <cellStyle name=" 6 2 4 2 4 2" xfId="7000"/>
    <cellStyle name=" 6 2 4 2 5" xfId="7002"/>
    <cellStyle name=" 6 2 4 3" xfId="7003"/>
    <cellStyle name=" 6 2 4 3 2" xfId="7005"/>
    <cellStyle name=" 6 2 4 3 2 2" xfId="2751"/>
    <cellStyle name=" 6 2 4 3 3" xfId="7006"/>
    <cellStyle name=" 6 2 4 3 3 2" xfId="2900"/>
    <cellStyle name=" 6 2 4 3 4" xfId="7007"/>
    <cellStyle name=" 6 2 4 3 4 2" xfId="2975"/>
    <cellStyle name=" 6 2 4 3 5" xfId="7008"/>
    <cellStyle name=" 6 2 4 4" xfId="2475"/>
    <cellStyle name=" 6 2 4 4 2" xfId="2480"/>
    <cellStyle name=" 6 2 4 4 2 2" xfId="2485"/>
    <cellStyle name=" 6 2 4 4 3" xfId="2493"/>
    <cellStyle name=" 6 2 4 4 3 2" xfId="2498"/>
    <cellStyle name=" 6 2 4 4 4" xfId="2505"/>
    <cellStyle name=" 6 2 4 5" xfId="2522"/>
    <cellStyle name=" 6 2 4 5 2" xfId="2527"/>
    <cellStyle name=" 6 2 4 6" xfId="2547"/>
    <cellStyle name=" 6 2 5" xfId="7014"/>
    <cellStyle name=" 6 2 5 2" xfId="7016"/>
    <cellStyle name=" 6 2 5 2 2" xfId="7019"/>
    <cellStyle name=" 6 2 5 2 2 2" xfId="6626"/>
    <cellStyle name=" 6 2 5 2 3" xfId="5058"/>
    <cellStyle name=" 6 2 5 2 3 2" xfId="6634"/>
    <cellStyle name=" 6 2 5 2 4" xfId="7022"/>
    <cellStyle name=" 6 2 5 2 4 2" xfId="7023"/>
    <cellStyle name=" 6 2 5 2 5" xfId="7026"/>
    <cellStyle name=" 6 2 5 3" xfId="7029"/>
    <cellStyle name=" 6 2 5 3 2" xfId="7033"/>
    <cellStyle name=" 6 2 5 3 2 2" xfId="1181"/>
    <cellStyle name=" 6 2 5 3 3" xfId="7035"/>
    <cellStyle name=" 6 2 5 3 3 2" xfId="3870"/>
    <cellStyle name=" 6 2 5 3 4" xfId="7038"/>
    <cellStyle name=" 6 2 5 4" xfId="2559"/>
    <cellStyle name=" 6 2 5 4 2" xfId="2564"/>
    <cellStyle name=" 6 2 5 5" xfId="2579"/>
    <cellStyle name=" 6 2 6" xfId="6315"/>
    <cellStyle name=" 6 2 6 2" xfId="449"/>
    <cellStyle name=" 6 2 6 2 2" xfId="460"/>
    <cellStyle name=" 6 2 6 2 2 2" xfId="7040"/>
    <cellStyle name=" 6 2 6 2 3" xfId="470"/>
    <cellStyle name=" 6 2 6 2 3 2" xfId="7044"/>
    <cellStyle name=" 6 2 6 2 4" xfId="1053"/>
    <cellStyle name=" 6 2 6 2 4 2" xfId="27"/>
    <cellStyle name=" 6 2 6 2 5" xfId="778"/>
    <cellStyle name=" 6 2 6 3" xfId="7048"/>
    <cellStyle name=" 6 2 6 3 2" xfId="7053"/>
    <cellStyle name=" 6 2 6 3 2 2" xfId="535"/>
    <cellStyle name=" 6 2 6 3 3" xfId="7057"/>
    <cellStyle name=" 6 2 6 3 3 2" xfId="4113"/>
    <cellStyle name=" 6 2 6 3 4" xfId="7059"/>
    <cellStyle name=" 6 2 6 4" xfId="2606"/>
    <cellStyle name=" 6 2 6 4 2" xfId="2613"/>
    <cellStyle name=" 6 2 6 5" xfId="2617"/>
    <cellStyle name=" 6 2 7" xfId="6318"/>
    <cellStyle name=" 6 2 7 2" xfId="6320"/>
    <cellStyle name=" 6 2 7 2 2" xfId="7060"/>
    <cellStyle name=" 6 2 7 3" xfId="2629"/>
    <cellStyle name=" 6 2 7 3 2" xfId="2671"/>
    <cellStyle name=" 6 2 7 4" xfId="6772"/>
    <cellStyle name=" 6 2 7 4 2" xfId="7061"/>
    <cellStyle name=" 6 2 7 5" xfId="7062"/>
    <cellStyle name=" 6 2 8" xfId="6322"/>
    <cellStyle name=" 6 2 8 2" xfId="7063"/>
    <cellStyle name=" 6 2 8 2 2" xfId="7064"/>
    <cellStyle name=" 6 2 8 3" xfId="7065"/>
    <cellStyle name=" 6 2 8 3 2" xfId="7069"/>
    <cellStyle name=" 6 2 8 4" xfId="7070"/>
    <cellStyle name=" 6 2 8 4 2" xfId="7071"/>
    <cellStyle name=" 6 2 8 5" xfId="7072"/>
    <cellStyle name=" 6 2 9" xfId="4242"/>
    <cellStyle name=" 6 2 9 2" xfId="1568"/>
    <cellStyle name=" 6 2 9 2 2" xfId="1572"/>
    <cellStyle name=" 6 2 9 3" xfId="1575"/>
    <cellStyle name=" 6 2 9 3 2" xfId="4248"/>
    <cellStyle name=" 6 2 9 4" xfId="4253"/>
    <cellStyle name=" 6 2 9 4 2" xfId="4258"/>
    <cellStyle name=" 6 2 9 5" xfId="4262"/>
    <cellStyle name=" 6 3" xfId="5933"/>
    <cellStyle name=" 6 3 2" xfId="6667"/>
    <cellStyle name=" 6 3 2 2" xfId="726"/>
    <cellStyle name=" 6 3 2 2 2" xfId="7073"/>
    <cellStyle name=" 6 3 2 2 2 2" xfId="5605"/>
    <cellStyle name=" 6 3 2 2 3" xfId="1425"/>
    <cellStyle name=" 6 3 2 2 3 2" xfId="70"/>
    <cellStyle name=" 6 3 2 2 4" xfId="6549"/>
    <cellStyle name=" 6 3 2 2 4 2" xfId="7075"/>
    <cellStyle name=" 6 3 2 2 5" xfId="7076"/>
    <cellStyle name=" 6 3 2 3" xfId="732"/>
    <cellStyle name=" 6 3 2 3 2" xfId="7078"/>
    <cellStyle name=" 6 3 2 3 2 2" xfId="1012"/>
    <cellStyle name=" 6 3 2 3 3" xfId="7080"/>
    <cellStyle name=" 6 3 2 3 3 2" xfId="7082"/>
    <cellStyle name=" 6 3 2 3 4" xfId="6553"/>
    <cellStyle name=" 6 3 2 4" xfId="7084"/>
    <cellStyle name=" 6 3 2 4 2" xfId="7086"/>
    <cellStyle name=" 6 3 2 5" xfId="4897"/>
    <cellStyle name=" 6 3 3" xfId="7087"/>
    <cellStyle name=" 6 3 3 2" xfId="7089"/>
    <cellStyle name=" 6 3 3 2 2" xfId="2341"/>
    <cellStyle name=" 6 3 3 2 2 2" xfId="2350"/>
    <cellStyle name=" 6 3 3 2 3" xfId="2363"/>
    <cellStyle name=" 6 3 3 2 3 2" xfId="2371"/>
    <cellStyle name=" 6 3 3 2 4" xfId="2374"/>
    <cellStyle name=" 6 3 3 2 4 2" xfId="7091"/>
    <cellStyle name=" 6 3 3 2 5" xfId="7092"/>
    <cellStyle name=" 6 3 3 3" xfId="6506"/>
    <cellStyle name=" 6 3 3 3 2" xfId="2443"/>
    <cellStyle name=" 6 3 3 3 2 2" xfId="2448"/>
    <cellStyle name=" 6 3 3 3 3" xfId="2460"/>
    <cellStyle name=" 6 3 3 3 3 2" xfId="2464"/>
    <cellStyle name=" 6 3 3 3 4" xfId="2468"/>
    <cellStyle name=" 6 3 3 4" xfId="7095"/>
    <cellStyle name=" 6 3 3 4 2" xfId="2545"/>
    <cellStyle name=" 6 3 3 5" xfId="7100"/>
    <cellStyle name=" 6 3 4" xfId="7101"/>
    <cellStyle name=" 6 3 4 2" xfId="7103"/>
    <cellStyle name=" 6 3 4 2 2" xfId="7104"/>
    <cellStyle name=" 6 3 4 3" xfId="6510"/>
    <cellStyle name=" 6 3 4 3 2" xfId="7105"/>
    <cellStyle name=" 6 3 4 4" xfId="7108"/>
    <cellStyle name=" 6 3 4 4 2" xfId="7111"/>
    <cellStyle name=" 6 3 4 5" xfId="7114"/>
    <cellStyle name=" 6 3 5" xfId="7115"/>
    <cellStyle name=" 6 3 5 2" xfId="7117"/>
    <cellStyle name=" 6 3 5 2 2" xfId="7118"/>
    <cellStyle name=" 6 3 5 3" xfId="7122"/>
    <cellStyle name=" 6 3 5 3 2" xfId="5427"/>
    <cellStyle name=" 6 3 5 4" xfId="7125"/>
    <cellStyle name=" 6 3 6" xfId="6326"/>
    <cellStyle name=" 6 3 6 2" xfId="7127"/>
    <cellStyle name=" 6 3 7" xfId="7129"/>
    <cellStyle name=" 6 3 8" xfId="7130"/>
    <cellStyle name=" 6 4" xfId="6117"/>
    <cellStyle name=" 6 4 2" xfId="7132"/>
    <cellStyle name=" 6 4 2 2" xfId="6034"/>
    <cellStyle name=" 6 4 2 2 2" xfId="6037"/>
    <cellStyle name=" 6 4 2 2 2 2" xfId="6186"/>
    <cellStyle name=" 6 4 2 2 3" xfId="7133"/>
    <cellStyle name=" 6 4 2 2 3 2" xfId="7139"/>
    <cellStyle name=" 6 4 2 2 4" xfId="6601"/>
    <cellStyle name=" 6 4 2 2 4 2" xfId="7142"/>
    <cellStyle name=" 6 4 2 2 5" xfId="2840"/>
    <cellStyle name=" 6 4 2 3" xfId="4159"/>
    <cellStyle name=" 6 4 2 3 2" xfId="6041"/>
    <cellStyle name=" 6 4 2 3 2 2" xfId="7153"/>
    <cellStyle name=" 6 4 2 3 3" xfId="7156"/>
    <cellStyle name=" 6 4 2 3 3 2" xfId="7159"/>
    <cellStyle name=" 6 4 2 3 4" xfId="6608"/>
    <cellStyle name=" 6 4 2 4" xfId="6043"/>
    <cellStyle name=" 6 4 2 4 2" xfId="7165"/>
    <cellStyle name=" 6 4 2 5" xfId="5325"/>
    <cellStyle name=" 6 4 3" xfId="7166"/>
    <cellStyle name=" 6 4 3 2" xfId="6050"/>
    <cellStyle name=" 6 4 3 2 2" xfId="6054"/>
    <cellStyle name=" 6 4 3 3" xfId="6056"/>
    <cellStyle name=" 6 4 3 3 2" xfId="6062"/>
    <cellStyle name=" 6 4 3 4" xfId="6066"/>
    <cellStyle name=" 6 4 3 4 2" xfId="1833"/>
    <cellStyle name=" 6 4 3 5" xfId="5406"/>
    <cellStyle name=" 6 4 4" xfId="7167"/>
    <cellStyle name=" 6 4 4 2" xfId="6074"/>
    <cellStyle name=" 6 4 4 2 2" xfId="6077"/>
    <cellStyle name=" 6 4 4 3" xfId="6079"/>
    <cellStyle name=" 6 4 4 3 2" xfId="7169"/>
    <cellStyle name=" 6 4 4 4" xfId="7171"/>
    <cellStyle name=" 6 4 5" xfId="7172"/>
    <cellStyle name=" 6 4 5 2" xfId="7173"/>
    <cellStyle name=" 6 4 6" xfId="7174"/>
    <cellStyle name=" 6 5" xfId="7176"/>
    <cellStyle name=" 6 5 2" xfId="7179"/>
    <cellStyle name=" 6 5 2 2" xfId="6107"/>
    <cellStyle name=" 6 5 2 2 2" xfId="6109"/>
    <cellStyle name=" 6 5 2 2 2 2" xfId="6653"/>
    <cellStyle name=" 6 5 2 2 3" xfId="4097"/>
    <cellStyle name=" 6 5 2 2 3 2" xfId="127"/>
    <cellStyle name=" 6 5 2 2 4" xfId="6642"/>
    <cellStyle name=" 6 5 2 2 4 2" xfId="6881"/>
    <cellStyle name=" 6 5 2 2 5" xfId="839"/>
    <cellStyle name=" 6 5 2 3" xfId="6113"/>
    <cellStyle name=" 6 5 2 3 2" xfId="6115"/>
    <cellStyle name=" 6 5 2 3 2 2" xfId="7131"/>
    <cellStyle name=" 6 5 2 3 3" xfId="7175"/>
    <cellStyle name=" 6 5 2 3 3 2" xfId="7177"/>
    <cellStyle name=" 6 5 2 3 4" xfId="6648"/>
    <cellStyle name=" 6 5 2 4" xfId="6119"/>
    <cellStyle name=" 6 5 2 4 2" xfId="7180"/>
    <cellStyle name=" 6 5 2 5" xfId="5343"/>
    <cellStyle name=" 6 5 3" xfId="7181"/>
    <cellStyle name=" 6 5 3 2" xfId="6124"/>
    <cellStyle name=" 6 5 3 2 2" xfId="6127"/>
    <cellStyle name=" 6 5 3 3" xfId="6131"/>
    <cellStyle name=" 6 5 3 3 2" xfId="7182"/>
    <cellStyle name=" 6 5 3 4" xfId="7185"/>
    <cellStyle name=" 6 5 3 4 2" xfId="1922"/>
    <cellStyle name=" 6 5 3 5" xfId="7188"/>
    <cellStyle name=" 6 5 4" xfId="7189"/>
    <cellStyle name=" 6 5 4 2" xfId="7191"/>
    <cellStyle name=" 6 5 4 2 2" xfId="7192"/>
    <cellStyle name=" 6 5 4 3" xfId="7194"/>
    <cellStyle name=" 6 5 4 3 2" xfId="7195"/>
    <cellStyle name=" 6 5 4 4" xfId="7198"/>
    <cellStyle name=" 6 5 5" xfId="7199"/>
    <cellStyle name=" 6 5 5 2" xfId="7200"/>
    <cellStyle name=" 6 5 6" xfId="7201"/>
    <cellStyle name=" 6 6" xfId="6647"/>
    <cellStyle name=" 6 6 2" xfId="7202"/>
    <cellStyle name=" 6 6 2 2" xfId="6164"/>
    <cellStyle name=" 6 6 2 2 2" xfId="6168"/>
    <cellStyle name=" 6 6 2 3" xfId="6173"/>
    <cellStyle name=" 6 6 2 3 2" xfId="6178"/>
    <cellStyle name=" 6 6 2 4" xfId="6184"/>
    <cellStyle name=" 6 6 2 4 2" xfId="7206"/>
    <cellStyle name=" 6 6 2 5" xfId="5359"/>
    <cellStyle name=" 6 6 3" xfId="7208"/>
    <cellStyle name=" 6 6 3 2" xfId="6192"/>
    <cellStyle name=" 6 6 3 2 2" xfId="6196"/>
    <cellStyle name=" 6 6 3 3" xfId="6201"/>
    <cellStyle name=" 6 6 3 3 2" xfId="7211"/>
    <cellStyle name=" 6 6 3 4" xfId="7138"/>
    <cellStyle name=" 6 6 4" xfId="7212"/>
    <cellStyle name=" 6 6 4 2" xfId="7217"/>
    <cellStyle name=" 6 6 5" xfId="7218"/>
    <cellStyle name=" 6 7" xfId="3884"/>
    <cellStyle name=" 6 7 2" xfId="409"/>
    <cellStyle name=" 6 7 2 2" xfId="421"/>
    <cellStyle name=" 6 7 2 2 2" xfId="2875"/>
    <cellStyle name=" 6 7 2 3" xfId="431"/>
    <cellStyle name=" 6 7 2 3 2" xfId="7221"/>
    <cellStyle name=" 6 7 2 4" xfId="7149"/>
    <cellStyle name=" 6 7 2 4 2" xfId="7013"/>
    <cellStyle name=" 6 7 2 5" xfId="767"/>
    <cellStyle name=" 6 7 3" xfId="452"/>
    <cellStyle name=" 6 7 3 2" xfId="463"/>
    <cellStyle name=" 6 7 3 2 2" xfId="7222"/>
    <cellStyle name=" 6 7 3 3" xfId="475"/>
    <cellStyle name=" 6 7 3 3 2" xfId="7225"/>
    <cellStyle name=" 6 7 3 4" xfId="7158"/>
    <cellStyle name=" 6 7 4" xfId="482"/>
    <cellStyle name=" 6 7 4 2" xfId="492"/>
    <cellStyle name=" 6 7 5" xfId="516"/>
    <cellStyle name=" 6 8" xfId="3886"/>
    <cellStyle name=" 6 8 2" xfId="3888"/>
    <cellStyle name=" 6 8 2 2" xfId="6224"/>
    <cellStyle name=" 6 8 3" xfId="7227"/>
    <cellStyle name=" 6 8 3 2" xfId="7228"/>
    <cellStyle name=" 6 8 4" xfId="7230"/>
    <cellStyle name=" 6 8 4 2" xfId="7232"/>
    <cellStyle name=" 6 8 5" xfId="7233"/>
    <cellStyle name=" 6 9" xfId="3892"/>
    <cellStyle name=" 6 9 2" xfId="3897"/>
    <cellStyle name=" 6 9 2 2" xfId="7236"/>
    <cellStyle name=" 6 9 3" xfId="7238"/>
    <cellStyle name=" 6 9 3 2" xfId="7240"/>
    <cellStyle name=" 6 9 4" xfId="7242"/>
    <cellStyle name=" 6 9 4 2" xfId="7244"/>
    <cellStyle name=" 6 9 5" xfId="2071"/>
    <cellStyle name=" 7" xfId="4852"/>
    <cellStyle name=" 7 10" xfId="7245"/>
    <cellStyle name=" 7 10 2" xfId="5313"/>
    <cellStyle name=" 7 10 2 2" xfId="4149"/>
    <cellStyle name=" 7 10 3" xfId="5318"/>
    <cellStyle name=" 7 10 3 2" xfId="5323"/>
    <cellStyle name=" 7 10 4" xfId="3561"/>
    <cellStyle name=" 7 10 4 2" xfId="5404"/>
    <cellStyle name=" 7 10 5" xfId="7246"/>
    <cellStyle name=" 7 11" xfId="4769"/>
    <cellStyle name=" 7 2" xfId="2803"/>
    <cellStyle name=" 7 2 2" xfId="7247"/>
    <cellStyle name=" 7 2 2 2" xfId="6229"/>
    <cellStyle name=" 7 2 2 2 2" xfId="6233"/>
    <cellStyle name=" 7 2 2 2 2 2" xfId="6237"/>
    <cellStyle name=" 7 2 2 2 3" xfId="5654"/>
    <cellStyle name=" 7 2 2 2 3 2" xfId="6240"/>
    <cellStyle name=" 7 2 2 2 4" xfId="6242"/>
    <cellStyle name=" 7 2 2 2 4 2" xfId="6244"/>
    <cellStyle name=" 7 2 2 2 5" xfId="6247"/>
    <cellStyle name=" 7 2 2 3" xfId="6251"/>
    <cellStyle name=" 7 2 2 3 2" xfId="6254"/>
    <cellStyle name=" 7 2 2 3 2 2" xfId="6259"/>
    <cellStyle name=" 7 2 2 3 3" xfId="6264"/>
    <cellStyle name=" 7 2 2 3 3 2" xfId="6271"/>
    <cellStyle name=" 7 2 2 3 4" xfId="6278"/>
    <cellStyle name=" 7 2 2 4" xfId="6286"/>
    <cellStyle name=" 7 2 2 4 2" xfId="6289"/>
    <cellStyle name=" 7 2 2 5" xfId="5302"/>
    <cellStyle name=" 7 2 3" xfId="7248"/>
    <cellStyle name=" 7 2 3 2" xfId="6389"/>
    <cellStyle name=" 7 2 3 2 2" xfId="7250"/>
    <cellStyle name=" 7 2 3 3" xfId="6392"/>
    <cellStyle name=" 7 2 3 3 2" xfId="7252"/>
    <cellStyle name=" 7 2 3 4" xfId="7254"/>
    <cellStyle name=" 7 2 3 4 2" xfId="7256"/>
    <cellStyle name=" 7 2 3 5" xfId="5308"/>
    <cellStyle name=" 7 2 4" xfId="2041"/>
    <cellStyle name=" 7 2 4 2" xfId="7259"/>
    <cellStyle name=" 7 2 4 2 2" xfId="7263"/>
    <cellStyle name=" 7 2 4 3" xfId="7266"/>
    <cellStyle name=" 7 2 4 3 2" xfId="7267"/>
    <cellStyle name=" 7 2 4 4" xfId="7270"/>
    <cellStyle name=" 7 2 4 4 2" xfId="7271"/>
    <cellStyle name=" 7 2 4 5" xfId="1825"/>
    <cellStyle name=" 7 2 5" xfId="7272"/>
    <cellStyle name=" 7 2 5 2" xfId="7273"/>
    <cellStyle name=" 7 2 5 2 2" xfId="7274"/>
    <cellStyle name=" 7 2 5 3" xfId="7276"/>
    <cellStyle name=" 7 2 5 3 2" xfId="7277"/>
    <cellStyle name=" 7 2 5 4" xfId="7279"/>
    <cellStyle name=" 7 2 6" xfId="6345"/>
    <cellStyle name=" 7 2 6 2" xfId="6347"/>
    <cellStyle name=" 7 2 7" xfId="6350"/>
    <cellStyle name=" 7 3" xfId="7281"/>
    <cellStyle name=" 7 3 2" xfId="7283"/>
    <cellStyle name=" 7 3 2 2" xfId="7285"/>
    <cellStyle name=" 7 3 2 2 2" xfId="7286"/>
    <cellStyle name=" 7 3 2 2 2 2" xfId="7290"/>
    <cellStyle name=" 7 3 2 2 3" xfId="7295"/>
    <cellStyle name=" 7 3 2 2 3 2" xfId="7299"/>
    <cellStyle name=" 7 3 2 2 4" xfId="7305"/>
    <cellStyle name=" 7 3 2 2 4 2" xfId="7310"/>
    <cellStyle name=" 7 3 2 2 5" xfId="7316"/>
    <cellStyle name=" 7 3 2 3" xfId="7320"/>
    <cellStyle name=" 7 3 2 3 2" xfId="7321"/>
    <cellStyle name=" 7 3 2 3 2 2" xfId="7323"/>
    <cellStyle name=" 7 3 2 3 3" xfId="7324"/>
    <cellStyle name=" 7 3 2 3 3 2" xfId="7325"/>
    <cellStyle name=" 7 3 2 3 4" xfId="7327"/>
    <cellStyle name=" 7 3 2 4" xfId="7328"/>
    <cellStyle name=" 7 3 2 4 2" xfId="7329"/>
    <cellStyle name=" 7 3 2 5" xfId="7330"/>
    <cellStyle name=" 7 3 3" xfId="7336"/>
    <cellStyle name=" 7 3 3 2" xfId="7338"/>
    <cellStyle name=" 7 3 3 2 2" xfId="7339"/>
    <cellStyle name=" 7 3 3 3" xfId="7340"/>
    <cellStyle name=" 7 3 3 3 2" xfId="7341"/>
    <cellStyle name=" 7 3 3 4" xfId="7343"/>
    <cellStyle name=" 7 3 3 4 2" xfId="7345"/>
    <cellStyle name=" 7 3 3 5" xfId="7350"/>
    <cellStyle name=" 7 3 4" xfId="7352"/>
    <cellStyle name=" 7 3 4 2" xfId="7354"/>
    <cellStyle name=" 7 3 4 2 2" xfId="7355"/>
    <cellStyle name=" 7 3 4 3" xfId="7356"/>
    <cellStyle name=" 7 3 4 3 2" xfId="7357"/>
    <cellStyle name=" 7 3 4 4" xfId="7359"/>
    <cellStyle name=" 7 3 5" xfId="7361"/>
    <cellStyle name=" 7 3 5 2" xfId="7364"/>
    <cellStyle name=" 7 3 6" xfId="6358"/>
    <cellStyle name=" 7 4" xfId="7366"/>
    <cellStyle name=" 7 4 2" xfId="7367"/>
    <cellStyle name=" 7 4 2 2" xfId="7368"/>
    <cellStyle name=" 7 4 2 2 2" xfId="7370"/>
    <cellStyle name=" 7 4 2 2 2 2" xfId="7373"/>
    <cellStyle name=" 7 4 2 2 3" xfId="7376"/>
    <cellStyle name=" 7 4 2 2 3 2" xfId="7378"/>
    <cellStyle name=" 7 4 2 2 4" xfId="7382"/>
    <cellStyle name=" 7 4 2 2 4 2" xfId="7384"/>
    <cellStyle name=" 7 4 2 2 5" xfId="7386"/>
    <cellStyle name=" 7 4 2 3" xfId="7388"/>
    <cellStyle name=" 7 4 2 3 2" xfId="7391"/>
    <cellStyle name=" 7 4 2 3 2 2" xfId="7393"/>
    <cellStyle name=" 7 4 2 3 3" xfId="7396"/>
    <cellStyle name=" 7 4 2 3 3 2" xfId="7398"/>
    <cellStyle name=" 7 4 2 3 4" xfId="7402"/>
    <cellStyle name=" 7 4 2 4" xfId="7404"/>
    <cellStyle name=" 7 4 2 4 2" xfId="7406"/>
    <cellStyle name=" 7 4 2 5" xfId="7410"/>
    <cellStyle name=" 7 4 3" xfId="7411"/>
    <cellStyle name=" 7 4 3 2" xfId="7412"/>
    <cellStyle name=" 7 4 3 2 2" xfId="7414"/>
    <cellStyle name=" 7 4 3 3" xfId="7416"/>
    <cellStyle name=" 7 4 3 3 2" xfId="7419"/>
    <cellStyle name=" 7 4 3 4" xfId="7422"/>
    <cellStyle name=" 7 4 3 4 2" xfId="7424"/>
    <cellStyle name=" 7 4 3 5" xfId="7428"/>
    <cellStyle name=" 7 4 4" xfId="7429"/>
    <cellStyle name=" 7 4 4 2" xfId="7430"/>
    <cellStyle name=" 7 4 4 2 2" xfId="7433"/>
    <cellStyle name=" 7 4 4 3" xfId="7435"/>
    <cellStyle name=" 7 4 4 3 2" xfId="7438"/>
    <cellStyle name=" 7 4 4 4" xfId="7440"/>
    <cellStyle name=" 7 4 5" xfId="7441"/>
    <cellStyle name=" 7 4 5 2" xfId="7442"/>
    <cellStyle name=" 7 4 6" xfId="7444"/>
    <cellStyle name=" 7 5" xfId="7446"/>
    <cellStyle name=" 7 5 2" xfId="7447"/>
    <cellStyle name=" 7 5 2 2" xfId="7448"/>
    <cellStyle name=" 7 5 2 2 2" xfId="7449"/>
    <cellStyle name=" 7 5 2 3" xfId="7452"/>
    <cellStyle name=" 7 5 2 3 2" xfId="7453"/>
    <cellStyle name=" 7 5 2 4" xfId="7456"/>
    <cellStyle name=" 7 5 2 4 2" xfId="7457"/>
    <cellStyle name=" 7 5 2 5" xfId="7460"/>
    <cellStyle name=" 7 5 3" xfId="7461"/>
    <cellStyle name=" 7 5 3 2" xfId="7462"/>
    <cellStyle name=" 7 5 3 2 2" xfId="7463"/>
    <cellStyle name=" 7 5 3 3" xfId="7465"/>
    <cellStyle name=" 7 5 3 3 2" xfId="7466"/>
    <cellStyle name=" 7 5 3 4" xfId="7470"/>
    <cellStyle name=" 7 5 4" xfId="7471"/>
    <cellStyle name=" 7 5 4 2" xfId="7472"/>
    <cellStyle name=" 7 5 5" xfId="7473"/>
    <cellStyle name=" 7 6" xfId="7474"/>
    <cellStyle name=" 7 6 2" xfId="7475"/>
    <cellStyle name=" 7 6 2 2" xfId="7477"/>
    <cellStyle name=" 7 6 2 2 2" xfId="7479"/>
    <cellStyle name=" 7 6 2 3" xfId="7482"/>
    <cellStyle name=" 7 6 2 3 2" xfId="7484"/>
    <cellStyle name=" 7 6 2 4" xfId="7487"/>
    <cellStyle name=" 7 6 2 4 2" xfId="7489"/>
    <cellStyle name=" 7 6 2 5" xfId="7492"/>
    <cellStyle name=" 7 6 3" xfId="7494"/>
    <cellStyle name=" 7 6 3 2" xfId="7496"/>
    <cellStyle name=" 7 6 3 2 2" xfId="7498"/>
    <cellStyle name=" 7 6 3 3" xfId="7500"/>
    <cellStyle name=" 7 6 3 3 2" xfId="7502"/>
    <cellStyle name=" 7 6 3 4" xfId="7504"/>
    <cellStyle name=" 7 6 4" xfId="7505"/>
    <cellStyle name=" 7 6 4 2" xfId="7507"/>
    <cellStyle name=" 7 6 5" xfId="7508"/>
    <cellStyle name=" 7 7" xfId="7509"/>
    <cellStyle name=" 7 7 2" xfId="7510"/>
    <cellStyle name=" 7 7 2 2" xfId="7513"/>
    <cellStyle name=" 7 7 3" xfId="7515"/>
    <cellStyle name=" 7 7 3 2" xfId="7518"/>
    <cellStyle name=" 7 7 4" xfId="7519"/>
    <cellStyle name=" 7 7 4 2" xfId="7524"/>
    <cellStyle name=" 7 7 5" xfId="7525"/>
    <cellStyle name=" 7 8" xfId="7526"/>
    <cellStyle name=" 7 8 2" xfId="7527"/>
    <cellStyle name=" 7 8 2 2" xfId="7528"/>
    <cellStyle name=" 7 8 3" xfId="7529"/>
    <cellStyle name=" 7 8 3 2" xfId="7530"/>
    <cellStyle name=" 7 8 4" xfId="7531"/>
    <cellStyle name=" 7 8 4 2" xfId="7532"/>
    <cellStyle name=" 7 8 5" xfId="7533"/>
    <cellStyle name=" 7 9" xfId="7534"/>
    <cellStyle name=" 7 9 2" xfId="7535"/>
    <cellStyle name=" 7 9 2 2" xfId="7536"/>
    <cellStyle name=" 7 9 3" xfId="7537"/>
    <cellStyle name=" 7 9 3 2" xfId="7538"/>
    <cellStyle name=" 7 9 4" xfId="7539"/>
    <cellStyle name=" 7 9 4 2" xfId="7540"/>
    <cellStyle name=" 7 9 5" xfId="7541"/>
    <cellStyle name=" 8" xfId="7542"/>
    <cellStyle name=" 8 2" xfId="7543"/>
    <cellStyle name=" 8 2 2" xfId="7544"/>
    <cellStyle name=" 8 2 2 2" xfId="7545"/>
    <cellStyle name=" 8 2 2 2 2" xfId="7549"/>
    <cellStyle name=" 8 2 2 3" xfId="7553"/>
    <cellStyle name=" 8 2 2 3 2" xfId="7556"/>
    <cellStyle name=" 8 2 2 4" xfId="7559"/>
    <cellStyle name=" 8 2 2 4 2" xfId="7562"/>
    <cellStyle name=" 8 2 2 5" xfId="7564"/>
    <cellStyle name=" 8 2 3" xfId="7566"/>
    <cellStyle name=" 8 2 3 2" xfId="7567"/>
    <cellStyle name=" 8 2 3 2 2" xfId="7570"/>
    <cellStyle name=" 8 2 3 3" xfId="7574"/>
    <cellStyle name=" 8 2 3 3 2" xfId="7576"/>
    <cellStyle name=" 8 2 3 4" xfId="7579"/>
    <cellStyle name=" 8 2 4" xfId="7581"/>
    <cellStyle name=" 8 2 4 2" xfId="7582"/>
    <cellStyle name=" 8 2 5" xfId="7585"/>
    <cellStyle name=" 8 3" xfId="7588"/>
    <cellStyle name=" 8 3 2" xfId="7589"/>
    <cellStyle name=" 8 3 2 2" xfId="7590"/>
    <cellStyle name=" 8 3 2 2 2" xfId="7593"/>
    <cellStyle name=" 8 3 2 3" xfId="7595"/>
    <cellStyle name=" 8 3 2 3 2" xfId="7597"/>
    <cellStyle name=" 8 3 2 4" xfId="7598"/>
    <cellStyle name=" 8 3 2 4 2" xfId="7600"/>
    <cellStyle name=" 8 3 2 5" xfId="7603"/>
    <cellStyle name=" 8 3 3" xfId="7605"/>
    <cellStyle name=" 8 3 3 2" xfId="7606"/>
    <cellStyle name=" 8 3 3 2 2" xfId="7608"/>
    <cellStyle name=" 8 3 3 3" xfId="7609"/>
    <cellStyle name=" 8 3 3 3 2" xfId="7612"/>
    <cellStyle name=" 8 3 3 4" xfId="7613"/>
    <cellStyle name=" 8 3 4" xfId="7616"/>
    <cellStyle name=" 8 3 4 2" xfId="7617"/>
    <cellStyle name=" 8 3 5" xfId="7619"/>
    <cellStyle name=" 8 4" xfId="7621"/>
    <cellStyle name=" 8 4 2" xfId="7623"/>
    <cellStyle name=" 8 4 2 2" xfId="7624"/>
    <cellStyle name=" 8 4 3" xfId="7627"/>
    <cellStyle name=" 8 4 3 2" xfId="7628"/>
    <cellStyle name=" 8 4 4" xfId="7630"/>
    <cellStyle name=" 8 4 4 2" xfId="7631"/>
    <cellStyle name=" 8 4 5" xfId="7636"/>
    <cellStyle name=" 8 5" xfId="7638"/>
    <cellStyle name=" 8 5 2" xfId="7640"/>
    <cellStyle name=" 8 5 2 2" xfId="7643"/>
    <cellStyle name=" 8 5 3" xfId="7644"/>
    <cellStyle name=" 8 5 3 2" xfId="7646"/>
    <cellStyle name=" 8 5 4" xfId="7647"/>
    <cellStyle name=" 8 6" xfId="7648"/>
    <cellStyle name=" 8 6 2" xfId="7649"/>
    <cellStyle name=" 8 7" xfId="7650"/>
    <cellStyle name=" 8 8" xfId="7651"/>
    <cellStyle name=" 9" xfId="7652"/>
    <cellStyle name=" 9 2" xfId="7653"/>
    <cellStyle name=" 9 2 2" xfId="7654"/>
    <cellStyle name=" 9 2 2 2" xfId="7655"/>
    <cellStyle name=" 9 2 2 2 2" xfId="7656"/>
    <cellStyle name=" 9 2 2 3" xfId="7657"/>
    <cellStyle name=" 9 2 2 3 2" xfId="7658"/>
    <cellStyle name=" 9 2 2 4" xfId="7659"/>
    <cellStyle name=" 9 2 2 4 2" xfId="294"/>
    <cellStyle name=" 9 2 2 5" xfId="7660"/>
    <cellStyle name=" 9 2 3" xfId="7661"/>
    <cellStyle name=" 9 2 3 2" xfId="7662"/>
    <cellStyle name=" 9 2 3 2 2" xfId="7663"/>
    <cellStyle name=" 9 2 3 3" xfId="7664"/>
    <cellStyle name=" 9 2 3 3 2" xfId="7665"/>
    <cellStyle name=" 9 2 3 4" xfId="7667"/>
    <cellStyle name=" 9 2 4" xfId="7668"/>
    <cellStyle name=" 9 2 4 2" xfId="7669"/>
    <cellStyle name=" 9 2 5" xfId="7670"/>
    <cellStyle name=" 9 3" xfId="7674"/>
    <cellStyle name=" 9 3 2" xfId="7676"/>
    <cellStyle name=" 9 3 2 2" xfId="7678"/>
    <cellStyle name=" 9 3 2 2 2" xfId="7680"/>
    <cellStyle name=" 9 3 2 3" xfId="7681"/>
    <cellStyle name=" 9 3 2 3 2" xfId="7682"/>
    <cellStyle name=" 9 3 2 4" xfId="7683"/>
    <cellStyle name=" 9 3 2 4 2" xfId="7684"/>
    <cellStyle name=" 9 3 2 5" xfId="7687"/>
    <cellStyle name=" 9 3 3" xfId="7689"/>
    <cellStyle name=" 9 3 3 2" xfId="7691"/>
    <cellStyle name=" 9 3 3 2 2" xfId="7692"/>
    <cellStyle name=" 9 3 3 3" xfId="7693"/>
    <cellStyle name=" 9 3 3 3 2" xfId="7696"/>
    <cellStyle name=" 9 3 3 4" xfId="7698"/>
    <cellStyle name=" 9 3 4" xfId="7700"/>
    <cellStyle name=" 9 3 4 2" xfId="7702"/>
    <cellStyle name=" 9 3 5" xfId="7704"/>
    <cellStyle name=" 9 4" xfId="7705"/>
    <cellStyle name=" 9 4 2" xfId="7706"/>
    <cellStyle name=" 9 4 2 2" xfId="7707"/>
    <cellStyle name=" 9 4 3" xfId="7708"/>
    <cellStyle name=" 9 4 3 2" xfId="7709"/>
    <cellStyle name=" 9 4 4" xfId="7712"/>
    <cellStyle name=" 9 4 4 2" xfId="7714"/>
    <cellStyle name=" 9 4 5" xfId="7716"/>
    <cellStyle name=" 9 5" xfId="7718"/>
    <cellStyle name=" 9 5 2" xfId="7719"/>
    <cellStyle name=" 9 5 2 2" xfId="7720"/>
    <cellStyle name=" 9 5 3" xfId="7721"/>
    <cellStyle name=" 9 5 3 2" xfId="7723"/>
    <cellStyle name=" 9 5 4" xfId="7726"/>
    <cellStyle name=" 9 6" xfId="7727"/>
    <cellStyle name=" 9 6 2" xfId="7728"/>
    <cellStyle name=" 9 7" xfId="7729"/>
    <cellStyle name=" 9 8" xfId="7730"/>
    <cellStyle name="0,0_x000d__x000a_NA_x000d__x000a_" xfId="7731"/>
    <cellStyle name="0,0_x000d__x000a_NA_x000d__x000a_ 2" xfId="7735"/>
    <cellStyle name="0,0_x000d__x000a_NA_x000d__x000a_ 2 2" xfId="4477"/>
    <cellStyle name="0,0_x000d__x000a_NA_x000d__x000a_ 2 2 2" xfId="109"/>
    <cellStyle name="0,0_x000d__x000a_NA_x000d__x000a_ 2 3" xfId="6795"/>
    <cellStyle name="0,0_x000d__x000a_NA_x000d__x000a_ 2 3 2" xfId="7746"/>
    <cellStyle name="0,0_x000d__x000a_NA_x000d__x000a_ 2 4" xfId="7748"/>
    <cellStyle name="0,0_x000d__x000a_NA_x000d__x000a_ 2 4 2" xfId="7754"/>
    <cellStyle name="0,0_x000d__x000a_NA_x000d__x000a_ 2 5" xfId="7756"/>
    <cellStyle name="0,0_x000d__x000a_NA_x000d__x000a_ 3" xfId="7760"/>
    <cellStyle name="0,0_x000d__x000a_NA_x000d__x000a_ 3 2" xfId="4533"/>
    <cellStyle name="0,0_x000d__x000a_NA_x000d__x000a_ 4" xfId="7763"/>
    <cellStyle name="0,0_x000d__x000a_NA_x000d__x000a_ 4 2" xfId="7766"/>
    <cellStyle name="0,0_x000d__x000a_NA_x000d__x000a_ 5" xfId="7768"/>
    <cellStyle name="0,0_x000d__x000a_NA_x000d__x000a_ 5 2" xfId="7770"/>
    <cellStyle name="0,0_x000d__x000a_NA_x000d__x000a_ 6" xfId="7772"/>
    <cellStyle name="0,0_x000d__x000a_NA_x000d__x000a_ 6 2" xfId="7774"/>
    <cellStyle name="0,0_x000d__x000a_NA_x000d__x000a_ 7" xfId="7775"/>
    <cellStyle name="0,0_x000d__x000a_NA_x000d__x000a_ 7 2" xfId="7776"/>
    <cellStyle name="0,0_x000d__x000a_NA_x000d__x000a_ 8" xfId="7778"/>
    <cellStyle name="0,0_x005f_x000d__x005f_x000a_NA_x005f_x000d__x005f_x000a_" xfId="7781"/>
    <cellStyle name="20% - Accent1" xfId="7784"/>
    <cellStyle name="20% - Accent1 2" xfId="7787"/>
    <cellStyle name="20% - Accent2" xfId="7789"/>
    <cellStyle name="20% - Accent2 2" xfId="7792"/>
    <cellStyle name="20% - Accent3" xfId="7794"/>
    <cellStyle name="20% - Accent3 2" xfId="7797"/>
    <cellStyle name="20% - Accent4" xfId="950"/>
    <cellStyle name="20% - Accent4 2" xfId="788"/>
    <cellStyle name="20% - Accent5" xfId="7800"/>
    <cellStyle name="20% - Accent5 2" xfId="7804"/>
    <cellStyle name="20% - Accent6" xfId="7808"/>
    <cellStyle name="20% - Accent6 2" xfId="7813"/>
    <cellStyle name="20% - 强调文字颜色 1 2" xfId="7814"/>
    <cellStyle name="20% - 强调文字颜色 1 2 10" xfId="7815"/>
    <cellStyle name="20% - 强调文字颜色 1 2 11" xfId="7817"/>
    <cellStyle name="20% - 强调文字颜色 1 2 2" xfId="7818"/>
    <cellStyle name="20% - 强调文字颜色 1 2 2 2" xfId="7820"/>
    <cellStyle name="20% - 强调文字颜色 1 2 3" xfId="7821"/>
    <cellStyle name="20% - 强调文字颜色 1 2 3 2" xfId="7824"/>
    <cellStyle name="20% - 强调文字颜色 1 2 4" xfId="7825"/>
    <cellStyle name="20% - 强调文字颜色 1 2 4 2" xfId="7827"/>
    <cellStyle name="20% - 强调文字颜色 1 2 5" xfId="7829"/>
    <cellStyle name="20% - 强调文字颜色 1 2 5 2" xfId="7833"/>
    <cellStyle name="20% - 强调文字颜色 1 2 6" xfId="7834"/>
    <cellStyle name="20% - 强调文字颜色 1 2 6 2" xfId="7836"/>
    <cellStyle name="20% - 强调文字颜色 1 2 7" xfId="7839"/>
    <cellStyle name="20% - 强调文字颜色 1 2 7 2" xfId="7841"/>
    <cellStyle name="20% - 强调文字颜色 1 2 8" xfId="1830"/>
    <cellStyle name="20% - 强调文字颜色 1 2 9" xfId="7844"/>
    <cellStyle name="20% - 强调文字颜色 1 3" xfId="7786"/>
    <cellStyle name="20% - 强调文字颜色 1 3 2" xfId="7846"/>
    <cellStyle name="20% - 强调文字颜色 1 3 3" xfId="7847"/>
    <cellStyle name="20% - 强调文字颜色 1 3 3 2" xfId="7848"/>
    <cellStyle name="20% - 强调文字颜色 1 3 4" xfId="7849"/>
    <cellStyle name="20% - 强调文字颜色 1 3 5" xfId="7852"/>
    <cellStyle name="20% - 强调文字颜色 1 4" xfId="5739"/>
    <cellStyle name="20% - 强调文字颜色 1 5" xfId="5745"/>
    <cellStyle name="20% - 强调文字颜色 1 6" xfId="5749"/>
    <cellStyle name="20% - 强调文字颜色 1 7" xfId="7854"/>
    <cellStyle name="20% - 强调文字颜色 1 8" xfId="7856"/>
    <cellStyle name="20% - 强调文字颜色 1 8 2" xfId="7858"/>
    <cellStyle name="20% - 强调文字颜色 2 2" xfId="7859"/>
    <cellStyle name="20% - 强调文字颜色 2 2 10" xfId="718"/>
    <cellStyle name="20% - 强调文字颜色 2 2 11" xfId="7860"/>
    <cellStyle name="20% - 强调文字颜色 2 2 2" xfId="7861"/>
    <cellStyle name="20% - 强调文字颜色 2 2 2 2" xfId="7863"/>
    <cellStyle name="20% - 强调文字颜色 2 2 3" xfId="7865"/>
    <cellStyle name="20% - 强调文字颜色 2 2 3 2" xfId="7867"/>
    <cellStyle name="20% - 强调文字颜色 2 2 4" xfId="7868"/>
    <cellStyle name="20% - 强调文字颜色 2 2 4 2" xfId="7870"/>
    <cellStyle name="20% - 强调文字颜色 2 2 5" xfId="7871"/>
    <cellStyle name="20% - 强调文字颜色 2 2 5 2" xfId="7874"/>
    <cellStyle name="20% - 强调文字颜色 2 2 6" xfId="7875"/>
    <cellStyle name="20% - 强调文字颜色 2 2 6 2" xfId="7877"/>
    <cellStyle name="20% - 强调文字颜色 2 2 7" xfId="7880"/>
    <cellStyle name="20% - 强调文字颜色 2 2 7 2" xfId="7882"/>
    <cellStyle name="20% - 强调文字颜色 2 2 8" xfId="7884"/>
    <cellStyle name="20% - 强调文字颜色 2 2 9" xfId="7887"/>
    <cellStyle name="20% - 强调文字颜色 2 3" xfId="7791"/>
    <cellStyle name="20% - 强调文字颜色 2 3 2" xfId="7888"/>
    <cellStyle name="20% - 强调文字颜色 2 3 3" xfId="7890"/>
    <cellStyle name="20% - 强调文字颜色 2 3 3 2" xfId="7893"/>
    <cellStyle name="20% - 强调文字颜色 2 3 4" xfId="7895"/>
    <cellStyle name="20% - 强调文字颜色 2 3 5" xfId="7898"/>
    <cellStyle name="20% - 强调文字颜色 2 4" xfId="5754"/>
    <cellStyle name="20% - 强调文字颜色 2 5" xfId="7900"/>
    <cellStyle name="20% - 强调文字颜色 2 6" xfId="7902"/>
    <cellStyle name="20% - 强调文字颜色 2 7" xfId="7903"/>
    <cellStyle name="20% - 强调文字颜色 2 8" xfId="7904"/>
    <cellStyle name="20% - 强调文字颜色 2 8 2" xfId="7905"/>
    <cellStyle name="20% - 强调文字颜色 3 2" xfId="7907"/>
    <cellStyle name="20% - 强调文字颜色 3 2 10" xfId="7908"/>
    <cellStyle name="20% - 强调文字颜色 3 2 11" xfId="7909"/>
    <cellStyle name="20% - 强调文字颜色 3 2 2" xfId="7910"/>
    <cellStyle name="20% - 强调文字颜色 3 2 2 2" xfId="7911"/>
    <cellStyle name="20% - 强调文字颜色 3 2 3" xfId="7913"/>
    <cellStyle name="20% - 强调文字颜色 3 2 3 2" xfId="7914"/>
    <cellStyle name="20% - 强调文字颜色 3 2 4" xfId="7915"/>
    <cellStyle name="20% - 强调文字颜色 3 2 4 2" xfId="7917"/>
    <cellStyle name="20% - 强调文字颜色 3 2 5" xfId="7918"/>
    <cellStyle name="20% - 强调文字颜色 3 2 5 2" xfId="7920"/>
    <cellStyle name="20% - 强调文字颜色 3 2 6" xfId="7921"/>
    <cellStyle name="20% - 强调文字颜色 3 2 6 2" xfId="7923"/>
    <cellStyle name="20% - 强调文字颜色 3 2 7" xfId="1880"/>
    <cellStyle name="20% - 强调文字颜色 3 2 7 2" xfId="1228"/>
    <cellStyle name="20% - 强调文字颜色 3 2 8" xfId="4364"/>
    <cellStyle name="20% - 强调文字颜色 3 2 9" xfId="4375"/>
    <cellStyle name="20% - 强调文字颜色 3 3" xfId="7796"/>
    <cellStyle name="20% - 强调文字颜色 3 3 2" xfId="7927"/>
    <cellStyle name="20% - 强调文字颜色 3 3 3" xfId="7929"/>
    <cellStyle name="20% - 强调文字颜色 3 3 3 2" xfId="7931"/>
    <cellStyle name="20% - 强调文字颜色 3 3 4" xfId="7932"/>
    <cellStyle name="20% - 强调文字颜色 3 3 5" xfId="7933"/>
    <cellStyle name="20% - 强调文字颜色 3 4" xfId="7934"/>
    <cellStyle name="20% - 强调文字颜色 3 5" xfId="7935"/>
    <cellStyle name="20% - 强调文字颜色 3 6" xfId="7936"/>
    <cellStyle name="20% - 强调文字颜色 3 7" xfId="7937"/>
    <cellStyle name="20% - 强调文字颜色 3 8" xfId="7938"/>
    <cellStyle name="20% - 强调文字颜色 3 8 2" xfId="7939"/>
    <cellStyle name="20% - 强调文字颜色 4 2" xfId="7941"/>
    <cellStyle name="20% - 强调文字颜色 4 2 10" xfId="7943"/>
    <cellStyle name="20% - 强调文字颜色 4 2 11" xfId="7944"/>
    <cellStyle name="20% - 强调文字颜色 4 2 2" xfId="7945"/>
    <cellStyle name="20% - 强调文字颜色 4 2 2 2" xfId="7946"/>
    <cellStyle name="20% - 强调文字颜色 4 2 3" xfId="7949"/>
    <cellStyle name="20% - 强调文字颜色 4 2 3 2" xfId="7950"/>
    <cellStyle name="20% - 强调文字颜色 4 2 4" xfId="7952"/>
    <cellStyle name="20% - 强调文字颜色 4 2 4 2" xfId="7953"/>
    <cellStyle name="20% - 强调文字颜色 4 2 5" xfId="7955"/>
    <cellStyle name="20% - 强调文字颜色 4 2 5 2" xfId="7957"/>
    <cellStyle name="20% - 强调文字颜色 4 2 6" xfId="7959"/>
    <cellStyle name="20% - 强调文字颜色 4 2 6 2" xfId="7961"/>
    <cellStyle name="20% - 强调文字颜色 4 2 7" xfId="4921"/>
    <cellStyle name="20% - 强调文字颜色 4 2 7 2" xfId="7964"/>
    <cellStyle name="20% - 强调文字颜色 4 2 8" xfId="7966"/>
    <cellStyle name="20% - 强调文字颜色 4 2 9" xfId="7967"/>
    <cellStyle name="20% - 强调文字颜色 4 3" xfId="785"/>
    <cellStyle name="20% - 强调文字颜色 4 3 2" xfId="7968"/>
    <cellStyle name="20% - 强调文字颜色 4 3 3" xfId="7971"/>
    <cellStyle name="20% - 强调文字颜色 4 3 3 2" xfId="7974"/>
    <cellStyle name="20% - 强调文字颜色 4 3 4" xfId="7976"/>
    <cellStyle name="20% - 强调文字颜色 4 3 5" xfId="7979"/>
    <cellStyle name="20% - 强调文字颜色 4 4" xfId="956"/>
    <cellStyle name="20% - 强调文字颜色 4 5" xfId="969"/>
    <cellStyle name="20% - 强调文字颜色 4 6" xfId="7982"/>
    <cellStyle name="20% - 强调文字颜色 4 7" xfId="7983"/>
    <cellStyle name="20% - 强调文字颜色 4 8" xfId="7984"/>
    <cellStyle name="20% - 强调文字颜色 4 8 2" xfId="7985"/>
    <cellStyle name="20% - 强调文字颜色 5 2" xfId="7986"/>
    <cellStyle name="20% - 强调文字颜色 5 2 10" xfId="7987"/>
    <cellStyle name="20% - 强调文字颜色 5 2 11" xfId="7988"/>
    <cellStyle name="20% - 强调文字颜色 5 2 2" xfId="7989"/>
    <cellStyle name="20% - 强调文字颜色 5 2 2 2" xfId="7990"/>
    <cellStyle name="20% - 强调文字颜色 5 2 3" xfId="7993"/>
    <cellStyle name="20% - 强调文字颜色 5 2 3 2" xfId="7995"/>
    <cellStyle name="20% - 强调文字颜色 5 2 4" xfId="7997"/>
    <cellStyle name="20% - 强调文字颜色 5 2 4 2" xfId="7998"/>
    <cellStyle name="20% - 强调文字颜色 5 2 5" xfId="8000"/>
    <cellStyle name="20% - 强调文字颜色 5 2 5 2" xfId="8002"/>
    <cellStyle name="20% - 强调文字颜色 5 2 6" xfId="8004"/>
    <cellStyle name="20% - 强调文字颜色 5 2 6 2" xfId="8005"/>
    <cellStyle name="20% - 强调文字颜色 5 2 7" xfId="4926"/>
    <cellStyle name="20% - 强调文字颜色 5 2 7 2" xfId="8006"/>
    <cellStyle name="20% - 强调文字颜色 5 2 8" xfId="8007"/>
    <cellStyle name="20% - 强调文字颜色 5 2 9" xfId="8009"/>
    <cellStyle name="20% - 强调文字颜色 5 3" xfId="7802"/>
    <cellStyle name="20% - 强调文字颜色 5 3 2" xfId="8012"/>
    <cellStyle name="20% - 强调文字颜色 5 3 3" xfId="8016"/>
    <cellStyle name="20% - 强调文字颜色 5 3 3 2" xfId="8020"/>
    <cellStyle name="20% - 强调文字颜色 5 3 4" xfId="8025"/>
    <cellStyle name="20% - 强调文字颜色 5 3 5" xfId="8029"/>
    <cellStyle name="20% - 强调文字颜色 5 4" xfId="8030"/>
    <cellStyle name="20% - 强调文字颜色 5 5" xfId="8031"/>
    <cellStyle name="20% - 强调文字颜色 5 6" xfId="8032"/>
    <cellStyle name="20% - 强调文字颜色 5 7" xfId="8034"/>
    <cellStyle name="20% - 强调文字颜色 5 8" xfId="8035"/>
    <cellStyle name="20% - 强调文字颜色 5 8 2" xfId="8036"/>
    <cellStyle name="20% - 强调文字颜色 6 2" xfId="8038"/>
    <cellStyle name="20% - 强调文字颜色 6 2 10" xfId="8039"/>
    <cellStyle name="20% - 强调文字颜色 6 2 11" xfId="8040"/>
    <cellStyle name="20% - 强调文字颜色 6 2 2" xfId="8042"/>
    <cellStyle name="20% - 强调文字颜色 6 2 2 2" xfId="8044"/>
    <cellStyle name="20% - 强调文字颜色 6 2 3" xfId="8048"/>
    <cellStyle name="20% - 强调文字颜色 6 2 3 2" xfId="8049"/>
    <cellStyle name="20% - 强调文字颜色 6 2 4" xfId="8050"/>
    <cellStyle name="20% - 强调文字颜色 6 2 4 2" xfId="8051"/>
    <cellStyle name="20% - 强调文字颜色 6 2 5" xfId="8053"/>
    <cellStyle name="20% - 强调文字颜色 6 2 5 2" xfId="8054"/>
    <cellStyle name="20% - 强调文字颜色 6 2 6" xfId="8055"/>
    <cellStyle name="20% - 强调文字颜色 6 2 6 2" xfId="8056"/>
    <cellStyle name="20% - 强调文字颜色 6 2 7" xfId="4936"/>
    <cellStyle name="20% - 强调文字颜色 6 2 7 2" xfId="8057"/>
    <cellStyle name="20% - 强调文字颜色 6 2 8" xfId="8059"/>
    <cellStyle name="20% - 强调文字颜色 6 2 9" xfId="3224"/>
    <cellStyle name="20% - 强调文字颜色 6 3" xfId="7810"/>
    <cellStyle name="20% - 强调文字颜色 6 3 2" xfId="8061"/>
    <cellStyle name="20% - 强调文字颜色 6 3 3" xfId="8062"/>
    <cellStyle name="20% - 强调文字颜色 6 3 3 2" xfId="8063"/>
    <cellStyle name="20% - 强调文字颜色 6 3 4" xfId="8064"/>
    <cellStyle name="20% - 强调文字颜色 6 3 5" xfId="8066"/>
    <cellStyle name="20% - 强调文字颜色 6 4" xfId="8068"/>
    <cellStyle name="20% - 强调文字颜色 6 5" xfId="8070"/>
    <cellStyle name="20% - 强调文字颜色 6 6" xfId="8072"/>
    <cellStyle name="20% - 强调文字颜色 6 7" xfId="8074"/>
    <cellStyle name="20% - 强调文字颜色 6 8" xfId="8075"/>
    <cellStyle name="20% - 强调文字颜色 6 8 2" xfId="8079"/>
    <cellStyle name="20% - 着色 1" xfId="6994"/>
    <cellStyle name="20% - 着色 2" xfId="7004"/>
    <cellStyle name="20% - 着色 3" xfId="2476"/>
    <cellStyle name="20% - 着色 4" xfId="2523"/>
    <cellStyle name="20% - 着色 5" xfId="2548"/>
    <cellStyle name="20% - 着色 6" xfId="8081"/>
    <cellStyle name="40% - Accent1" xfId="4678"/>
    <cellStyle name="40% - Accent1 2" xfId="8083"/>
    <cellStyle name="40% - Accent2" xfId="8085"/>
    <cellStyle name="40% - Accent2 2" xfId="8086"/>
    <cellStyle name="40% - Accent3" xfId="8088"/>
    <cellStyle name="40% - Accent3 2" xfId="8089"/>
    <cellStyle name="40% - Accent4" xfId="8090"/>
    <cellStyle name="40% - Accent4 2" xfId="8092"/>
    <cellStyle name="40% - Accent5" xfId="8093"/>
    <cellStyle name="40% - Accent5 2" xfId="8094"/>
    <cellStyle name="40% - Accent6" xfId="8095"/>
    <cellStyle name="40% - Accent6 2" xfId="2631"/>
    <cellStyle name="40% - 强调文字颜色 1 2" xfId="8096"/>
    <cellStyle name="40% - 强调文字颜色 1 2 10" xfId="8097"/>
    <cellStyle name="40% - 强调文字颜色 1 2 11" xfId="8098"/>
    <cellStyle name="40% - 强调文字颜色 1 2 2" xfId="8099"/>
    <cellStyle name="40% - 强调文字颜色 1 2 2 2" xfId="8101"/>
    <cellStyle name="40% - 强调文字颜色 1 2 3" xfId="8102"/>
    <cellStyle name="40% - 强调文字颜色 1 2 3 2" xfId="8103"/>
    <cellStyle name="40% - 强调文字颜色 1 2 4" xfId="8106"/>
    <cellStyle name="40% - 强调文字颜色 1 2 4 2" xfId="8107"/>
    <cellStyle name="40% - 强调文字颜色 1 2 5" xfId="4604"/>
    <cellStyle name="40% - 强调文字颜色 1 2 5 2" xfId="4607"/>
    <cellStyle name="40% - 强调文字颜色 1 2 6" xfId="4611"/>
    <cellStyle name="40% - 强调文字颜色 1 2 6 2" xfId="4614"/>
    <cellStyle name="40% - 强调文字颜色 1 2 7" xfId="4617"/>
    <cellStyle name="40% - 强调文字颜色 1 2 7 2" xfId="4620"/>
    <cellStyle name="40% - 强调文字颜色 1 2 8" xfId="878"/>
    <cellStyle name="40% - 强调文字颜色 1 2 9" xfId="8108"/>
    <cellStyle name="40% - 强调文字颜色 1 3" xfId="8111"/>
    <cellStyle name="40% - 强调文字颜色 1 3 2" xfId="8113"/>
    <cellStyle name="40% - 强调文字颜色 1 3 3" xfId="8115"/>
    <cellStyle name="40% - 强调文字颜色 1 3 3 2" xfId="8117"/>
    <cellStyle name="40% - 强调文字颜色 1 3 4" xfId="8121"/>
    <cellStyle name="40% - 强调文字颜色 1 3 5" xfId="4624"/>
    <cellStyle name="40% - 强调文字颜色 1 4" xfId="8122"/>
    <cellStyle name="40% - 强调文字颜色 1 5" xfId="8126"/>
    <cellStyle name="40% - 强调文字颜色 1 6" xfId="3089"/>
    <cellStyle name="40% - 强调文字颜色 1 7" xfId="8132"/>
    <cellStyle name="40% - 强调文字颜色 1 8" xfId="8136"/>
    <cellStyle name="40% - 强调文字颜色 1 8 2" xfId="8138"/>
    <cellStyle name="40% - 强调文字颜色 2 2" xfId="8140"/>
    <cellStyle name="40% - 强调文字颜色 2 2 10" xfId="8141"/>
    <cellStyle name="40% - 强调文字颜色 2 2 11" xfId="8144"/>
    <cellStyle name="40% - 强调文字颜色 2 2 2" xfId="8146"/>
    <cellStyle name="40% - 强调文字颜色 2 2 2 2" xfId="8148"/>
    <cellStyle name="40% - 强调文字颜色 2 2 3" xfId="8150"/>
    <cellStyle name="40% - 强调文字颜色 2 2 3 2" xfId="8152"/>
    <cellStyle name="40% - 强调文字颜色 2 2 4" xfId="8155"/>
    <cellStyle name="40% - 强调文字颜色 2 2 4 2" xfId="8157"/>
    <cellStyle name="40% - 强调文字颜色 2 2 5" xfId="4654"/>
    <cellStyle name="40% - 强调文字颜色 2 2 5 2" xfId="8158"/>
    <cellStyle name="40% - 强调文字颜色 2 2 6" xfId="8159"/>
    <cellStyle name="40% - 强调文字颜色 2 2 6 2" xfId="8160"/>
    <cellStyle name="40% - 强调文字颜色 2 2 7" xfId="8161"/>
    <cellStyle name="40% - 强调文字颜色 2 2 7 2" xfId="8162"/>
    <cellStyle name="40% - 强调文字颜色 2 2 8" xfId="8163"/>
    <cellStyle name="40% - 强调文字颜色 2 2 9" xfId="8164"/>
    <cellStyle name="40% - 强调文字颜色 2 3" xfId="8167"/>
    <cellStyle name="40% - 强调文字颜色 2 3 2" xfId="8169"/>
    <cellStyle name="40% - 强调文字颜色 2 3 3" xfId="8171"/>
    <cellStyle name="40% - 强调文字颜色 2 3 3 2" xfId="8173"/>
    <cellStyle name="40% - 强调文字颜色 2 3 4" xfId="8176"/>
    <cellStyle name="40% - 强调文字颜色 2 3 5" xfId="4658"/>
    <cellStyle name="40% - 强调文字颜色 2 4" xfId="8177"/>
    <cellStyle name="40% - 强调文字颜色 2 5" xfId="8182"/>
    <cellStyle name="40% - 强调文字颜色 2 6" xfId="8190"/>
    <cellStyle name="40% - 强调文字颜色 2 7" xfId="8196"/>
    <cellStyle name="40% - 强调文字颜色 2 8" xfId="8199"/>
    <cellStyle name="40% - 强调文字颜色 2 8 2" xfId="8201"/>
    <cellStyle name="40% - 强调文字颜色 3 2" xfId="8203"/>
    <cellStyle name="40% - 强调文字颜色 3 2 10" xfId="8204"/>
    <cellStyle name="40% - 强调文字颜色 3 2 11" xfId="8206"/>
    <cellStyle name="40% - 强调文字颜色 3 2 2" xfId="8208"/>
    <cellStyle name="40% - 强调文字颜色 3 2 2 2" xfId="8210"/>
    <cellStyle name="40% - 强调文字颜色 3 2 3" xfId="8212"/>
    <cellStyle name="40% - 强调文字颜色 3 2 3 2" xfId="8213"/>
    <cellStyle name="40% - 强调文字颜色 3 2 4" xfId="8214"/>
    <cellStyle name="40% - 强调文字颜色 3 2 4 2" xfId="8215"/>
    <cellStyle name="40% - 强调文字颜色 3 2 5" xfId="4676"/>
    <cellStyle name="40% - 强调文字颜色 3 2 5 2" xfId="8216"/>
    <cellStyle name="40% - 强调文字颜色 3 2 6" xfId="8217"/>
    <cellStyle name="40% - 强调文字颜色 3 2 6 2" xfId="8218"/>
    <cellStyle name="40% - 强调文字颜色 3 2 7" xfId="8221"/>
    <cellStyle name="40% - 强调文字颜色 3 2 7 2" xfId="8222"/>
    <cellStyle name="40% - 强调文字颜色 3 2 8" xfId="8224"/>
    <cellStyle name="40% - 强调文字颜色 3 2 9" xfId="8226"/>
    <cellStyle name="40% - 强调文字颜色 3 3" xfId="116"/>
    <cellStyle name="40% - 强调文字颜色 3 3 2" xfId="63"/>
    <cellStyle name="40% - 强调文字颜色 3 3 3" xfId="125"/>
    <cellStyle name="40% - 强调文字颜色 3 3 3 2" xfId="8227"/>
    <cellStyle name="40% - 强调文字颜色 3 3 4" xfId="134"/>
    <cellStyle name="40% - 强调文字颜色 3 3 5" xfId="142"/>
    <cellStyle name="40% - 强调文字颜色 3 4" xfId="8228"/>
    <cellStyle name="40% - 强调文字颜色 3 5" xfId="8234"/>
    <cellStyle name="40% - 强调文字颜色 3 6" xfId="8241"/>
    <cellStyle name="40% - 强调文字颜色 3 7" xfId="8248"/>
    <cellStyle name="40% - 强调文字颜色 3 8" xfId="8251"/>
    <cellStyle name="40% - 强调文字颜色 3 8 2" xfId="5209"/>
    <cellStyle name="40% - 强调文字颜色 4 2" xfId="8254"/>
    <cellStyle name="40% - 强调文字颜色 4 2 10" xfId="8255"/>
    <cellStyle name="40% - 强调文字颜色 4 2 11" xfId="8256"/>
    <cellStyle name="40% - 强调文字颜色 4 2 2" xfId="8258"/>
    <cellStyle name="40% - 强调文字颜色 4 2 2 2" xfId="8262"/>
    <cellStyle name="40% - 强调文字颜色 4 2 3" xfId="8264"/>
    <cellStyle name="40% - 强调文字颜色 4 2 3 2" xfId="6021"/>
    <cellStyle name="40% - 强调文字颜色 4 2 4" xfId="8265"/>
    <cellStyle name="40% - 强调文字颜色 4 2 4 2" xfId="6035"/>
    <cellStyle name="40% - 强调文字颜色 4 2 5" xfId="8266"/>
    <cellStyle name="40% - 强调文字颜色 4 2 5 2" xfId="6053"/>
    <cellStyle name="40% - 强调文字颜色 4 2 6" xfId="8267"/>
    <cellStyle name="40% - 强调文字颜色 4 2 6 2" xfId="6075"/>
    <cellStyle name="40% - 强调文字颜色 4 2 7" xfId="8268"/>
    <cellStyle name="40% - 强调文字颜色 4 2 7 2" xfId="8270"/>
    <cellStyle name="40% - 强调文字颜色 4 2 8" xfId="8272"/>
    <cellStyle name="40% - 强调文字颜色 4 2 9" xfId="8274"/>
    <cellStyle name="40% - 强调文字颜色 4 3" xfId="8277"/>
    <cellStyle name="40% - 强调文字颜色 4 3 2" xfId="8279"/>
    <cellStyle name="40% - 强调文字颜色 4 3 3" xfId="8280"/>
    <cellStyle name="40% - 强调文字颜色 4 3 3 2" xfId="6097"/>
    <cellStyle name="40% - 强调文字颜色 4 3 4" xfId="8281"/>
    <cellStyle name="40% - 强调文字颜色 4 3 5" xfId="8282"/>
    <cellStyle name="40% - 强调文字颜色 4 4" xfId="8284"/>
    <cellStyle name="40% - 强调文字颜色 4 5" xfId="8290"/>
    <cellStyle name="40% - 强调文字颜色 4 6" xfId="8296"/>
    <cellStyle name="40% - 强调文字颜色 4 7" xfId="8303"/>
    <cellStyle name="40% - 强调文字颜色 4 8" xfId="8306"/>
    <cellStyle name="40% - 强调文字颜色 4 8 2" xfId="8309"/>
    <cellStyle name="40% - 强调文字颜色 5 2" xfId="8312"/>
    <cellStyle name="40% - 强调文字颜色 5 2 10" xfId="8313"/>
    <cellStyle name="40% - 强调文字颜色 5 2 11" xfId="5346"/>
    <cellStyle name="40% - 强调文字颜色 5 2 2" xfId="8315"/>
    <cellStyle name="40% - 强调文字颜色 5 2 2 2" xfId="8316"/>
    <cellStyle name="40% - 强调文字颜色 5 2 3" xfId="8317"/>
    <cellStyle name="40% - 强调文字颜色 5 2 3 2" xfId="6306"/>
    <cellStyle name="40% - 强调文字颜色 5 2 4" xfId="8318"/>
    <cellStyle name="40% - 强调文字颜色 5 2 4 2" xfId="6316"/>
    <cellStyle name="40% - 强调文字颜色 5 2 5" xfId="8319"/>
    <cellStyle name="40% - 强调文字颜色 5 2 5 2" xfId="7128"/>
    <cellStyle name="40% - 强调文字颜色 5 2 6" xfId="8320"/>
    <cellStyle name="40% - 强调文字颜色 5 2 6 2" xfId="8321"/>
    <cellStyle name="40% - 强调文字颜色 5 2 7" xfId="8322"/>
    <cellStyle name="40% - 强调文字颜色 5 2 7 2" xfId="8324"/>
    <cellStyle name="40% - 强调文字颜色 5 2 8" xfId="8326"/>
    <cellStyle name="40% - 强调文字颜色 5 2 9" xfId="8327"/>
    <cellStyle name="40% - 强调文字颜色 5 3" xfId="8330"/>
    <cellStyle name="40% - 强调文字颜色 5 3 2" xfId="8332"/>
    <cellStyle name="40% - 强调文字颜色 5 3 3" xfId="8334"/>
    <cellStyle name="40% - 强调文字颜色 5 3 3 2" xfId="6337"/>
    <cellStyle name="40% - 强调文字颜色 5 3 4" xfId="8336"/>
    <cellStyle name="40% - 强调文字颜色 5 3 5" xfId="8338"/>
    <cellStyle name="40% - 强调文字颜色 5 4" xfId="8340"/>
    <cellStyle name="40% - 强调文字颜色 5 5" xfId="8345"/>
    <cellStyle name="40% - 强调文字颜色 5 6" xfId="8351"/>
    <cellStyle name="40% - 强调文字颜色 5 7" xfId="8357"/>
    <cellStyle name="40% - 强调文字颜色 5 8" xfId="8360"/>
    <cellStyle name="40% - 强调文字颜色 5 8 2" xfId="8363"/>
    <cellStyle name="40% - 强调文字颜色 6 2" xfId="8367"/>
    <cellStyle name="40% - 强调文字颜色 6 2 10" xfId="8368"/>
    <cellStyle name="40% - 强调文字颜色 6 2 11" xfId="8369"/>
    <cellStyle name="40% - 强调文字颜色 6 2 2" xfId="8370"/>
    <cellStyle name="40% - 强调文字颜色 6 2 2 2" xfId="8372"/>
    <cellStyle name="40% - 强调文字颜色 6 2 3" xfId="8373"/>
    <cellStyle name="40% - 强调文字颜色 6 2 3 2" xfId="6408"/>
    <cellStyle name="40% - 强调文字颜色 6 2 4" xfId="8374"/>
    <cellStyle name="40% - 强调文字颜色 6 2 4 2" xfId="3023"/>
    <cellStyle name="40% - 强调文字颜色 6 2 5" xfId="8375"/>
    <cellStyle name="40% - 强调文字颜色 6 2 5 2" xfId="8377"/>
    <cellStyle name="40% - 强调文字颜色 6 2 6" xfId="8378"/>
    <cellStyle name="40% - 强调文字颜色 6 2 6 2" xfId="8380"/>
    <cellStyle name="40% - 强调文字颜色 6 2 7" xfId="8381"/>
    <cellStyle name="40% - 强调文字颜色 6 2 7 2" xfId="8385"/>
    <cellStyle name="40% - 强调文字颜色 6 2 8" xfId="8386"/>
    <cellStyle name="40% - 强调文字颜色 6 2 9" xfId="8388"/>
    <cellStyle name="40% - 强调文字颜色 6 3" xfId="8389"/>
    <cellStyle name="40% - 强调文字颜色 6 3 2" xfId="8390"/>
    <cellStyle name="40% - 强调文字颜色 6 3 3" xfId="8391"/>
    <cellStyle name="40% - 强调文字颜色 6 3 3 2" xfId="8393"/>
    <cellStyle name="40% - 强调文字颜色 6 3 4" xfId="8395"/>
    <cellStyle name="40% - 强调文字颜色 6 3 5" xfId="8396"/>
    <cellStyle name="40% - 强调文字颜色 6 4" xfId="8397"/>
    <cellStyle name="40% - 强调文字颜色 6 5" xfId="8400"/>
    <cellStyle name="40% - 强调文字颜色 6 6" xfId="8405"/>
    <cellStyle name="40% - 强调文字颜色 6 7" xfId="8410"/>
    <cellStyle name="40% - 强调文字颜色 6 8" xfId="8412"/>
    <cellStyle name="40% - 强调文字颜色 6 8 2" xfId="8414"/>
    <cellStyle name="40% - 着色 1" xfId="8419"/>
    <cellStyle name="40% - 着色 2" xfId="8420"/>
    <cellStyle name="40% - 着色 3" xfId="8421"/>
    <cellStyle name="40% - 着色 4" xfId="8423"/>
    <cellStyle name="40% - 着色 5" xfId="8424"/>
    <cellStyle name="40% - 着色 6" xfId="8427"/>
    <cellStyle name="60% - Accent1" xfId="8430"/>
    <cellStyle name="60% - Accent1 2" xfId="8432"/>
    <cellStyle name="60% - Accent2" xfId="8434"/>
    <cellStyle name="60% - Accent2 2" xfId="8438"/>
    <cellStyle name="60% - Accent3" xfId="8440"/>
    <cellStyle name="60% - Accent3 2" xfId="8441"/>
    <cellStyle name="60% - Accent4" xfId="8442"/>
    <cellStyle name="60% - Accent4 2" xfId="8443"/>
    <cellStyle name="60% - Accent5" xfId="8445"/>
    <cellStyle name="60% - Accent5 2" xfId="8446"/>
    <cellStyle name="60% - Accent6" xfId="8449"/>
    <cellStyle name="60% - Accent6 2" xfId="8450"/>
    <cellStyle name="60% - 强调文字颜色 1 2" xfId="4411"/>
    <cellStyle name="60% - 强调文字颜色 1 2 10" xfId="8452"/>
    <cellStyle name="60% - 强调文字颜色 1 2 11" xfId="8453"/>
    <cellStyle name="60% - 强调文字颜色 1 2 2" xfId="8455"/>
    <cellStyle name="60% - 强调文字颜色 1 2 2 2" xfId="8458"/>
    <cellStyle name="60% - 强调文字颜色 1 2 3" xfId="8459"/>
    <cellStyle name="60% - 强调文字颜色 1 2 3 2" xfId="8461"/>
    <cellStyle name="60% - 强调文字颜色 1 2 4" xfId="8462"/>
    <cellStyle name="60% - 强调文字颜色 1 2 4 2" xfId="8463"/>
    <cellStyle name="60% - 强调文字颜色 1 2 5" xfId="8464"/>
    <cellStyle name="60% - 强调文字颜色 1 2 5 2" xfId="8467"/>
    <cellStyle name="60% - 强调文字颜色 1 2 6" xfId="8469"/>
    <cellStyle name="60% - 强调文字颜色 1 2 6 2" xfId="8471"/>
    <cellStyle name="60% - 强调文字颜色 1 2 7" xfId="8472"/>
    <cellStyle name="60% - 强调文字颜色 1 2 7 2" xfId="6952"/>
    <cellStyle name="60% - 强调文字颜色 1 2 8" xfId="8473"/>
    <cellStyle name="60% - 强调文字颜色 1 2 9" xfId="8474"/>
    <cellStyle name="60% - 强调文字颜色 1 3" xfId="8476"/>
    <cellStyle name="60% - 强调文字颜色 1 3 2" xfId="8478"/>
    <cellStyle name="60% - 强调文字颜色 1 3 3" xfId="8479"/>
    <cellStyle name="60% - 强调文字颜色 1 3 3 2" xfId="8480"/>
    <cellStyle name="60% - 强调文字颜色 1 3 4" xfId="8481"/>
    <cellStyle name="60% - 强调文字颜色 1 3 5" xfId="8482"/>
    <cellStyle name="60% - 强调文字颜色 1 4" xfId="5544"/>
    <cellStyle name="60% - 强调文字颜色 1 5" xfId="6150"/>
    <cellStyle name="60% - 强调文字颜色 1 6" xfId="6155"/>
    <cellStyle name="60% - 强调文字颜色 1 7" xfId="8484"/>
    <cellStyle name="60% - 强调文字颜色 1 8" xfId="7042"/>
    <cellStyle name="60% - 强调文字颜色 1 8 2" xfId="8485"/>
    <cellStyle name="60% - 强调文字颜色 2 2" xfId="8486"/>
    <cellStyle name="60% - 强调文字颜色 2 2 10" xfId="8487"/>
    <cellStyle name="60% - 强调文字颜色 2 2 11" xfId="8488"/>
    <cellStyle name="60% - 强调文字颜色 2 2 2" xfId="8490"/>
    <cellStyle name="60% - 强调文字颜色 2 2 2 2" xfId="8492"/>
    <cellStyle name="60% - 强调文字颜色 2 2 3" xfId="8493"/>
    <cellStyle name="60% - 强调文字颜色 2 2 3 2" xfId="8495"/>
    <cellStyle name="60% - 强调文字颜色 2 2 4" xfId="8498"/>
    <cellStyle name="60% - 强调文字颜色 2 2 4 2" xfId="8500"/>
    <cellStyle name="60% - 强调文字颜色 2 2 5" xfId="8501"/>
    <cellStyle name="60% - 强调文字颜色 2 2 5 2" xfId="8502"/>
    <cellStyle name="60% - 强调文字颜色 2 2 6" xfId="8503"/>
    <cellStyle name="60% - 强调文字颜色 2 2 6 2" xfId="8505"/>
    <cellStyle name="60% - 强调文字颜色 2 2 7" xfId="8506"/>
    <cellStyle name="60% - 强调文字颜色 2 2 7 2" xfId="6548"/>
    <cellStyle name="60% - 强调文字颜色 2 2 8" xfId="8507"/>
    <cellStyle name="60% - 强调文字颜色 2 2 9" xfId="8508"/>
    <cellStyle name="60% - 强调文字颜色 2 3" xfId="8509"/>
    <cellStyle name="60% - 强调文字颜色 2 3 2" xfId="8510"/>
    <cellStyle name="60% - 强调文字颜色 2 3 3" xfId="8512"/>
    <cellStyle name="60% - 强调文字颜色 2 3 3 2" xfId="8513"/>
    <cellStyle name="60% - 强调文字颜色 2 3 4" xfId="8516"/>
    <cellStyle name="60% - 强调文字颜色 2 3 5" xfId="8517"/>
    <cellStyle name="60% - 强调文字颜色 2 4" xfId="6157"/>
    <cellStyle name="60% - 强调文字颜色 2 5" xfId="8519"/>
    <cellStyle name="60% - 强调文字颜色 2 6" xfId="8521"/>
    <cellStyle name="60% - 强调文字颜色 2 7" xfId="8522"/>
    <cellStyle name="60% - 强调文字颜色 2 8" xfId="25"/>
    <cellStyle name="60% - 强调文字颜色 2 8 2" xfId="8523"/>
    <cellStyle name="60% - 强调文字颜色 3 2" xfId="8524"/>
    <cellStyle name="60% - 强调文字颜色 3 2 10" xfId="8528"/>
    <cellStyle name="60% - 强调文字颜色 3 2 11" xfId="8531"/>
    <cellStyle name="60% - 强调文字颜色 3 2 2" xfId="8534"/>
    <cellStyle name="60% - 强调文字颜色 3 2 2 2" xfId="8536"/>
    <cellStyle name="60% - 强调文字颜色 3 2 3" xfId="8539"/>
    <cellStyle name="60% - 强调文字颜色 3 2 3 2" xfId="8542"/>
    <cellStyle name="60% - 强调文字颜色 3 2 4" xfId="8497"/>
    <cellStyle name="60% - 强调文字颜色 3 2 4 2" xfId="8545"/>
    <cellStyle name="60% - 强调文字颜色 3 2 5" xfId="8548"/>
    <cellStyle name="60% - 强调文字颜色 3 2 5 2" xfId="8549"/>
    <cellStyle name="60% - 强调文字颜色 3 2 6" xfId="8555"/>
    <cellStyle name="60% - 强调文字颜色 3 2 6 2" xfId="8558"/>
    <cellStyle name="60% - 强调文字颜色 3 2 7" xfId="8561"/>
    <cellStyle name="60% - 强调文字颜色 3 2 7 2" xfId="6600"/>
    <cellStyle name="60% - 强调文字颜色 3 2 8" xfId="8564"/>
    <cellStyle name="60% - 强调文字颜色 3 2 9" xfId="8567"/>
    <cellStyle name="60% - 强调文字颜色 3 3" xfId="8568"/>
    <cellStyle name="60% - 强调文字颜色 3 3 2" xfId="8569"/>
    <cellStyle name="60% - 强调文字颜色 3 3 3" xfId="8570"/>
    <cellStyle name="60% - 强调文字颜色 3 3 3 2" xfId="8571"/>
    <cellStyle name="60% - 强调文字颜色 3 3 4" xfId="8499"/>
    <cellStyle name="60% - 强调文字颜色 3 3 5" xfId="8573"/>
    <cellStyle name="60% - 强调文字颜色 3 4" xfId="8574"/>
    <cellStyle name="60% - 强调文字颜色 3 5" xfId="8575"/>
    <cellStyle name="60% - 强调文字颜色 3 6" xfId="725"/>
    <cellStyle name="60% - 强调文字颜色 3 7" xfId="731"/>
    <cellStyle name="60% - 强调文字颜色 3 8" xfId="7083"/>
    <cellStyle name="60% - 强调文字颜色 3 8 2" xfId="7085"/>
    <cellStyle name="60% - 强调文字颜色 4 2" xfId="8576"/>
    <cellStyle name="60% - 强调文字颜色 4 2 10" xfId="8577"/>
    <cellStyle name="60% - 强调文字颜色 4 2 11" xfId="8578"/>
    <cellStyle name="60% - 强调文字颜色 4 2 2" xfId="8580"/>
    <cellStyle name="60% - 强调文字颜色 4 2 2 2" xfId="8581"/>
    <cellStyle name="60% - 强调文字颜色 4 2 3" xfId="8583"/>
    <cellStyle name="60% - 强调文字颜色 4 2 3 2" xfId="8584"/>
    <cellStyle name="60% - 强调文字颜色 4 2 4" xfId="8515"/>
    <cellStyle name="60% - 强调文字颜色 4 2 4 2" xfId="8585"/>
    <cellStyle name="60% - 强调文字颜色 4 2 5" xfId="8587"/>
    <cellStyle name="60% - 强调文字颜色 4 2 5 2" xfId="8588"/>
    <cellStyle name="60% - 强调文字颜色 4 2 6" xfId="8590"/>
    <cellStyle name="60% - 强调文字颜色 4 2 6 2" xfId="8592"/>
    <cellStyle name="60% - 强调文字颜色 4 2 7" xfId="8593"/>
    <cellStyle name="60% - 强调文字颜色 4 2 7 2" xfId="6641"/>
    <cellStyle name="60% - 强调文字颜色 4 2 8" xfId="8594"/>
    <cellStyle name="60% - 强调文字颜色 4 2 9" xfId="8595"/>
    <cellStyle name="60% - 强调文字颜色 4 3" xfId="8596"/>
    <cellStyle name="60% - 强调文字颜色 4 3 2" xfId="8597"/>
    <cellStyle name="60% - 强调文字颜色 4 3 3" xfId="8598"/>
    <cellStyle name="60% - 强调文字颜色 4 3 3 2" xfId="8599"/>
    <cellStyle name="60% - 强调文字颜色 4 3 4" xfId="8600"/>
    <cellStyle name="60% - 强调文字颜色 4 3 5" xfId="8601"/>
    <cellStyle name="60% - 强调文字颜色 4 4" xfId="8602"/>
    <cellStyle name="60% - 强调文字颜色 4 5" xfId="8603"/>
    <cellStyle name="60% - 强调文字颜色 4 6" xfId="7088"/>
    <cellStyle name="60% - 强调文字颜色 4 7" xfId="6505"/>
    <cellStyle name="60% - 强调文字颜色 4 8" xfId="7094"/>
    <cellStyle name="60% - 强调文字颜色 4 8 2" xfId="2544"/>
    <cellStyle name="60% - 强调文字颜色 5 2" xfId="8604"/>
    <cellStyle name="60% - 强调文字颜色 5 2 10" xfId="8607"/>
    <cellStyle name="60% - 强调文字颜色 5 2 11" xfId="8609"/>
    <cellStyle name="60% - 强调文字颜色 5 2 2" xfId="8610"/>
    <cellStyle name="60% - 强调文字颜色 5 2 2 2" xfId="8611"/>
    <cellStyle name="60% - 强调文字颜色 5 2 3" xfId="8612"/>
    <cellStyle name="60% - 强调文字颜色 5 2 3 2" xfId="3740"/>
    <cellStyle name="60% - 强调文字颜色 5 2 4" xfId="8613"/>
    <cellStyle name="60% - 强调文字颜色 5 2 4 2" xfId="3749"/>
    <cellStyle name="60% - 强调文字颜色 5 2 5" xfId="8614"/>
    <cellStyle name="60% - 强调文字颜色 5 2 5 2" xfId="8616"/>
    <cellStyle name="60% - 强调文字颜色 5 2 6" xfId="8618"/>
    <cellStyle name="60% - 强调文字颜色 5 2 6 2" xfId="8622"/>
    <cellStyle name="60% - 强调文字颜色 5 2 7" xfId="8625"/>
    <cellStyle name="60% - 强调文字颜色 5 2 7 2" xfId="8629"/>
    <cellStyle name="60% - 强调文字颜色 5 2 8" xfId="8631"/>
    <cellStyle name="60% - 强调文字颜色 5 2 9" xfId="8634"/>
    <cellStyle name="60% - 强调文字颜色 5 3" xfId="8635"/>
    <cellStyle name="60% - 强调文字颜色 5 3 2" xfId="8636"/>
    <cellStyle name="60% - 强调文字颜色 5 3 3" xfId="8637"/>
    <cellStyle name="60% - 强调文字颜色 5 3 3 2" xfId="3766"/>
    <cellStyle name="60% - 强调文字颜色 5 3 4" xfId="8638"/>
    <cellStyle name="60% - 强调文字颜色 5 3 5" xfId="8639"/>
    <cellStyle name="60% - 强调文字颜色 5 4" xfId="8640"/>
    <cellStyle name="60% - 强调文字颜色 5 5" xfId="8641"/>
    <cellStyle name="60% - 强调文字颜色 5 6" xfId="7102"/>
    <cellStyle name="60% - 强调文字颜色 5 7" xfId="6509"/>
    <cellStyle name="60% - 强调文字颜色 5 8" xfId="7107"/>
    <cellStyle name="60% - 强调文字颜色 5 8 2" xfId="7110"/>
    <cellStyle name="60% - 强调文字颜色 6 2" xfId="8643"/>
    <cellStyle name="60% - 强调文字颜色 6 2 10" xfId="8646"/>
    <cellStyle name="60% - 强调文字颜色 6 2 11" xfId="8647"/>
    <cellStyle name="60% - 强调文字颜色 6 2 2" xfId="8651"/>
    <cellStyle name="60% - 强调文字颜色 6 2 2 2" xfId="8652"/>
    <cellStyle name="60% - 强调文字颜色 6 2 3" xfId="8653"/>
    <cellStyle name="60% - 强调文字颜色 6 2 3 2" xfId="8655"/>
    <cellStyle name="60% - 强调文字颜色 6 2 4" xfId="8656"/>
    <cellStyle name="60% - 强调文字颜色 6 2 4 2" xfId="8657"/>
    <cellStyle name="60% - 强调文字颜色 6 2 5" xfId="8658"/>
    <cellStyle name="60% - 强调文字颜色 6 2 5 2" xfId="8661"/>
    <cellStyle name="60% - 强调文字颜色 6 2 6" xfId="8662"/>
    <cellStyle name="60% - 强调文字颜色 6 2 6 2" xfId="8664"/>
    <cellStyle name="60% - 强调文字颜色 6 2 7" xfId="8665"/>
    <cellStyle name="60% - 强调文字颜色 6 2 7 2" xfId="8668"/>
    <cellStyle name="60% - 强调文字颜色 6 2 8" xfId="8669"/>
    <cellStyle name="60% - 强调文字颜色 6 2 9" xfId="8670"/>
    <cellStyle name="60% - 强调文字颜色 6 3" xfId="8671"/>
    <cellStyle name="60% - 强调文字颜色 6 3 2" xfId="8672"/>
    <cellStyle name="60% - 强调文字颜色 6 3 3" xfId="8673"/>
    <cellStyle name="60% - 强调文字颜色 6 3 3 2" xfId="8676"/>
    <cellStyle name="60% - 强调文字颜色 6 3 4" xfId="8677"/>
    <cellStyle name="60% - 强调文字颜色 6 3 5" xfId="8678"/>
    <cellStyle name="60% - 强调文字颜色 6 4" xfId="8679"/>
    <cellStyle name="60% - 强调文字颜色 6 5" xfId="8681"/>
    <cellStyle name="60% - 强调文字颜色 6 6" xfId="7116"/>
    <cellStyle name="60% - 强调文字颜色 6 7" xfId="7121"/>
    <cellStyle name="60% - 强调文字颜色 6 8" xfId="7124"/>
    <cellStyle name="60% - 强调文字颜色 6 8 2" xfId="8682"/>
    <cellStyle name="60% - 着色 1" xfId="8684"/>
    <cellStyle name="60% - 着色 2" xfId="8686"/>
    <cellStyle name="60% - 着色 3" xfId="8687"/>
    <cellStyle name="60% - 着色 4" xfId="8688"/>
    <cellStyle name="60% - 着色 5" xfId="8689"/>
    <cellStyle name="60% - 着色 6" xfId="8690"/>
    <cellStyle name="Accent1" xfId="2647"/>
    <cellStyle name="Accent1 - 20%" xfId="8691"/>
    <cellStyle name="Accent1 - 20% 2" xfId="8692"/>
    <cellStyle name="Accent1 - 40%" xfId="8693"/>
    <cellStyle name="Accent1 - 40% 2" xfId="8694"/>
    <cellStyle name="Accent1 - 60%" xfId="8696"/>
    <cellStyle name="Accent1 - 60% 2" xfId="8697"/>
    <cellStyle name="Accent1 2" xfId="8699"/>
    <cellStyle name="Accent1 3" xfId="8702"/>
    <cellStyle name="Accent1_聊城样板房工程量计算稿" xfId="8704"/>
    <cellStyle name="Accent2" xfId="8706"/>
    <cellStyle name="Accent2 - 20%" xfId="8707"/>
    <cellStyle name="Accent2 - 20% 2" xfId="8708"/>
    <cellStyle name="Accent2 - 40%" xfId="8709"/>
    <cellStyle name="Accent2 - 40% 2" xfId="8711"/>
    <cellStyle name="Accent2 - 60%" xfId="8713"/>
    <cellStyle name="Accent2 - 60% 2" xfId="8715"/>
    <cellStyle name="Accent2 2" xfId="8716"/>
    <cellStyle name="Accent2 3" xfId="8717"/>
    <cellStyle name="Accent2_聊城样板房工程量计算稿" xfId="8718"/>
    <cellStyle name="Accent3" xfId="8719"/>
    <cellStyle name="Accent3 - 20%" xfId="8721"/>
    <cellStyle name="Accent3 - 20% 2" xfId="8723"/>
    <cellStyle name="Accent3 - 40%" xfId="8725"/>
    <cellStyle name="Accent3 - 40% 2" xfId="8727"/>
    <cellStyle name="Accent3 - 60%" xfId="8728"/>
    <cellStyle name="Accent3 - 60% 2" xfId="8730"/>
    <cellStyle name="Accent3 2" xfId="8731"/>
    <cellStyle name="Accent3 3" xfId="8732"/>
    <cellStyle name="Accent3_聊城样板房工程量计算稿" xfId="8733"/>
    <cellStyle name="Accent4" xfId="8734"/>
    <cellStyle name="Accent4 - 20%" xfId="8736"/>
    <cellStyle name="Accent4 - 20% 2" xfId="8737"/>
    <cellStyle name="Accent4 - 40%" xfId="8738"/>
    <cellStyle name="Accent4 - 40% 2" xfId="8739"/>
    <cellStyle name="Accent4 - 60%" xfId="8740"/>
    <cellStyle name="Accent4 - 60% 2" xfId="8741"/>
    <cellStyle name="Accent4 2" xfId="8742"/>
    <cellStyle name="Accent4 3" xfId="8743"/>
    <cellStyle name="Accent4_聊城样板房工程量计算稿" xfId="8744"/>
    <cellStyle name="Accent5" xfId="8745"/>
    <cellStyle name="Accent5 - 20%" xfId="8751"/>
    <cellStyle name="Accent5 - 20% 2" xfId="8754"/>
    <cellStyle name="Accent5 - 40%" xfId="8755"/>
    <cellStyle name="Accent5 - 40% 2" xfId="8756"/>
    <cellStyle name="Accent5 - 60%" xfId="8757"/>
    <cellStyle name="Accent5 - 60% 2" xfId="8759"/>
    <cellStyle name="Accent5 2" xfId="8760"/>
    <cellStyle name="Accent5 3" xfId="8761"/>
    <cellStyle name="Accent5_聊城样板房工程量计算稿" xfId="8764"/>
    <cellStyle name="Accent6" xfId="8765"/>
    <cellStyle name="Accent6 - 20%" xfId="8767"/>
    <cellStyle name="Accent6 - 20% 2" xfId="248"/>
    <cellStyle name="Accent6 - 40%" xfId="8769"/>
    <cellStyle name="Accent6 - 40% 2" xfId="2164"/>
    <cellStyle name="Accent6 - 60%" xfId="2300"/>
    <cellStyle name="Accent6 - 60% 2" xfId="5127"/>
    <cellStyle name="Accent6 2" xfId="8770"/>
    <cellStyle name="Accent6 3" xfId="8771"/>
    <cellStyle name="Accent6_聊城样板房工程量计算稿" xfId="8772"/>
    <cellStyle name="Bad" xfId="8774"/>
    <cellStyle name="Bad 2" xfId="8776"/>
    <cellStyle name="Calculation" xfId="8780"/>
    <cellStyle name="Calculation 10" xfId="8782"/>
    <cellStyle name="Calculation 10 2" xfId="8784"/>
    <cellStyle name="Calculation 10 2 2" xfId="8785"/>
    <cellStyle name="Calculation 10 3" xfId="8787"/>
    <cellStyle name="Calculation 10 3 2" xfId="8789"/>
    <cellStyle name="Calculation 10 4" xfId="8790"/>
    <cellStyle name="Calculation 10 4 2" xfId="8791"/>
    <cellStyle name="Calculation 10 5" xfId="8792"/>
    <cellStyle name="Calculation 11" xfId="8793"/>
    <cellStyle name="Calculation 11 2" xfId="8795"/>
    <cellStyle name="Calculation 11 2 2" xfId="8798"/>
    <cellStyle name="Calculation 11 3" xfId="8801"/>
    <cellStyle name="Calculation 11 3 2" xfId="8805"/>
    <cellStyle name="Calculation 11 4" xfId="8806"/>
    <cellStyle name="Calculation 11 4 2" xfId="8808"/>
    <cellStyle name="Calculation 11 5" xfId="8809"/>
    <cellStyle name="Calculation 12" xfId="8811"/>
    <cellStyle name="Calculation 12 2" xfId="8813"/>
    <cellStyle name="Calculation 12 2 2" xfId="8814"/>
    <cellStyle name="Calculation 12 3" xfId="3668"/>
    <cellStyle name="Calculation 12 3 2" xfId="8816"/>
    <cellStyle name="Calculation 12 4" xfId="8819"/>
    <cellStyle name="Calculation 12 4 2" xfId="8822"/>
    <cellStyle name="Calculation 12 5" xfId="8824"/>
    <cellStyle name="Calculation 13" xfId="8825"/>
    <cellStyle name="Calculation 2" xfId="8826"/>
    <cellStyle name="Calculation 2 10" xfId="8829"/>
    <cellStyle name="Calculation 2 10 2" xfId="8831"/>
    <cellStyle name="Calculation 2 10 2 2" xfId="8832"/>
    <cellStyle name="Calculation 2 10 3" xfId="390"/>
    <cellStyle name="Calculation 2 10 3 2" xfId="8833"/>
    <cellStyle name="Calculation 2 10 4" xfId="8835"/>
    <cellStyle name="Calculation 2 10 4 2" xfId="8836"/>
    <cellStyle name="Calculation 2 10 5" xfId="8837"/>
    <cellStyle name="Calculation 2 11" xfId="8840"/>
    <cellStyle name="Calculation 2 2" xfId="8841"/>
    <cellStyle name="Calculation 2 2 10" xfId="8844"/>
    <cellStyle name="Calculation 2 2 2" xfId="8846"/>
    <cellStyle name="Calculation 2 2 2 2" xfId="8850"/>
    <cellStyle name="Calculation 2 2 2 2 2" xfId="8851"/>
    <cellStyle name="Calculation 2 2 2 2 2 2" xfId="8852"/>
    <cellStyle name="Calculation 2 2 2 2 2 2 2" xfId="8853"/>
    <cellStyle name="Calculation 2 2 2 2 2 3" xfId="8854"/>
    <cellStyle name="Calculation 2 2 2 2 2 3 2" xfId="8855"/>
    <cellStyle name="Calculation 2 2 2 2 2 4" xfId="8856"/>
    <cellStyle name="Calculation 2 2 2 2 2 4 2" xfId="8857"/>
    <cellStyle name="Calculation 2 2 2 2 2 5" xfId="8859"/>
    <cellStyle name="Calculation 2 2 2 2 3" xfId="8860"/>
    <cellStyle name="Calculation 2 2 2 2 3 2" xfId="8861"/>
    <cellStyle name="Calculation 2 2 2 2 3 2 2" xfId="8862"/>
    <cellStyle name="Calculation 2 2 2 2 3 3" xfId="8863"/>
    <cellStyle name="Calculation 2 2 2 2 3 3 2" xfId="8865"/>
    <cellStyle name="Calculation 2 2 2 2 3 4" xfId="8866"/>
    <cellStyle name="Calculation 2 2 2 2 4" xfId="8868"/>
    <cellStyle name="Calculation 2 2 2 2 4 2" xfId="8323"/>
    <cellStyle name="Calculation 2 2 2 2 5" xfId="8869"/>
    <cellStyle name="Calculation 2 2 2 3" xfId="8871"/>
    <cellStyle name="Calculation 2 2 2 3 2" xfId="8872"/>
    <cellStyle name="Calculation 2 2 2 3 2 2" xfId="8873"/>
    <cellStyle name="Calculation 2 2 2 3 3" xfId="8874"/>
    <cellStyle name="Calculation 2 2 2 3 3 2" xfId="8875"/>
    <cellStyle name="Calculation 2 2 2 3 4" xfId="8876"/>
    <cellStyle name="Calculation 2 2 2 3 4 2" xfId="8382"/>
    <cellStyle name="Calculation 2 2 2 3 5" xfId="8877"/>
    <cellStyle name="Calculation 2 2 2 4" xfId="8880"/>
    <cellStyle name="Calculation 2 2 2 4 2" xfId="8882"/>
    <cellStyle name="Calculation 2 2 2 4 2 2" xfId="8883"/>
    <cellStyle name="Calculation 2 2 2 4 3" xfId="8887"/>
    <cellStyle name="Calculation 2 2 2 4 3 2" xfId="8888"/>
    <cellStyle name="Calculation 2 2 2 4 4" xfId="8892"/>
    <cellStyle name="Calculation 2 2 2 4 4 2" xfId="8893"/>
    <cellStyle name="Calculation 2 2 2 4 5" xfId="8899"/>
    <cellStyle name="Calculation 2 2 2 5" xfId="8901"/>
    <cellStyle name="Calculation 2 2 2 5 2" xfId="8902"/>
    <cellStyle name="Calculation 2 2 2 5 2 2" xfId="8903"/>
    <cellStyle name="Calculation 2 2 2 5 3" xfId="8904"/>
    <cellStyle name="Calculation 2 2 2 5 3 2" xfId="8905"/>
    <cellStyle name="Calculation 2 2 2 5 4" xfId="8906"/>
    <cellStyle name="Calculation 2 2 2 6" xfId="8907"/>
    <cellStyle name="Calculation 2 2 2 6 2" xfId="8909"/>
    <cellStyle name="Calculation 2 2 2 7" xfId="8911"/>
    <cellStyle name="Calculation 2 2 3" xfId="8913"/>
    <cellStyle name="Calculation 2 2 3 2" xfId="8914"/>
    <cellStyle name="Calculation 2 2 3 2 2" xfId="8915"/>
    <cellStyle name="Calculation 2 2 3 2 2 2" xfId="8916"/>
    <cellStyle name="Calculation 2 2 3 2 2 2 2" xfId="8917"/>
    <cellStyle name="Calculation 2 2 3 2 2 3" xfId="8918"/>
    <cellStyle name="Calculation 2 2 3 2 2 3 2" xfId="8919"/>
    <cellStyle name="Calculation 2 2 3 2 2 4" xfId="8920"/>
    <cellStyle name="Calculation 2 2 3 2 2 4 2" xfId="8922"/>
    <cellStyle name="Calculation 2 2 3 2 2 5" xfId="8923"/>
    <cellStyle name="Calculation 2 2 3 2 3" xfId="8924"/>
    <cellStyle name="Calculation 2 2 3 2 3 2" xfId="8925"/>
    <cellStyle name="Calculation 2 2 3 2 3 2 2" xfId="8927"/>
    <cellStyle name="Calculation 2 2 3 2 3 3" xfId="8928"/>
    <cellStyle name="Calculation 2 2 3 2 3 3 2" xfId="8929"/>
    <cellStyle name="Calculation 2 2 3 2 3 4" xfId="8930"/>
    <cellStyle name="Calculation 2 2 3 2 4" xfId="8932"/>
    <cellStyle name="Calculation 2 2 3 2 4 2" xfId="8933"/>
    <cellStyle name="Calculation 2 2 3 2 5" xfId="8934"/>
    <cellStyle name="Calculation 2 2 3 3" xfId="8935"/>
    <cellStyle name="Calculation 2 2 3 3 2" xfId="8936"/>
    <cellStyle name="Calculation 2 2 3 3 2 2" xfId="8938"/>
    <cellStyle name="Calculation 2 2 3 3 3" xfId="8939"/>
    <cellStyle name="Calculation 2 2 3 3 3 2" xfId="8940"/>
    <cellStyle name="Calculation 2 2 3 3 4" xfId="8941"/>
    <cellStyle name="Calculation 2 2 3 3 4 2" xfId="8942"/>
    <cellStyle name="Calculation 2 2 3 3 5" xfId="8943"/>
    <cellStyle name="Calculation 2 2 3 4" xfId="8945"/>
    <cellStyle name="Calculation 2 2 3 4 2" xfId="8946"/>
    <cellStyle name="Calculation 2 2 3 4 2 2" xfId="8947"/>
    <cellStyle name="Calculation 2 2 3 4 3" xfId="8948"/>
    <cellStyle name="Calculation 2 2 3 4 3 2" xfId="8949"/>
    <cellStyle name="Calculation 2 2 3 4 4" xfId="8951"/>
    <cellStyle name="Calculation 2 2 3 5" xfId="8952"/>
    <cellStyle name="Calculation 2 2 3 5 2" xfId="8953"/>
    <cellStyle name="Calculation 2 2 3 6" xfId="8954"/>
    <cellStyle name="Calculation 2 2 4" xfId="8956"/>
    <cellStyle name="Calculation 2 2 4 2" xfId="8957"/>
    <cellStyle name="Calculation 2 2 4 2 2" xfId="8958"/>
    <cellStyle name="Calculation 2 2 4 2 2 2" xfId="8959"/>
    <cellStyle name="Calculation 2 2 4 2 3" xfId="8960"/>
    <cellStyle name="Calculation 2 2 4 2 3 2" xfId="8961"/>
    <cellStyle name="Calculation 2 2 4 2 4" xfId="8963"/>
    <cellStyle name="Calculation 2 2 4 2 4 2" xfId="8965"/>
    <cellStyle name="Calculation 2 2 4 2 5" xfId="8967"/>
    <cellStyle name="Calculation 2 2 4 3" xfId="8969"/>
    <cellStyle name="Calculation 2 2 4 3 2" xfId="8972"/>
    <cellStyle name="Calculation 2 2 4 3 2 2" xfId="8973"/>
    <cellStyle name="Calculation 2 2 4 3 3" xfId="8974"/>
    <cellStyle name="Calculation 2 2 4 3 3 2" xfId="8975"/>
    <cellStyle name="Calculation 2 2 4 3 4" xfId="8977"/>
    <cellStyle name="Calculation 2 2 4 4" xfId="8980"/>
    <cellStyle name="Calculation 2 2 4 4 2" xfId="8982"/>
    <cellStyle name="Calculation 2 2 4 5" xfId="8985"/>
    <cellStyle name="Calculation 2 2 5" xfId="8987"/>
    <cellStyle name="Calculation 2 2 5 2" xfId="8989"/>
    <cellStyle name="Calculation 2 2 5 2 2" xfId="8990"/>
    <cellStyle name="Calculation 2 2 5 2 2 2" xfId="8991"/>
    <cellStyle name="Calculation 2 2 5 2 3" xfId="8992"/>
    <cellStyle name="Calculation 2 2 5 2 3 2" xfId="8993"/>
    <cellStyle name="Calculation 2 2 5 2 4" xfId="8995"/>
    <cellStyle name="Calculation 2 2 5 2 4 2" xfId="8996"/>
    <cellStyle name="Calculation 2 2 5 2 5" xfId="6720"/>
    <cellStyle name="Calculation 2 2 5 3" xfId="8997"/>
    <cellStyle name="Calculation 2 2 5 3 2" xfId="8998"/>
    <cellStyle name="Calculation 2 2 5 3 2 2" xfId="9000"/>
    <cellStyle name="Calculation 2 2 5 3 3" xfId="9001"/>
    <cellStyle name="Calculation 2 2 5 3 3 2" xfId="9003"/>
    <cellStyle name="Calculation 2 2 5 3 4" xfId="9006"/>
    <cellStyle name="Calculation 2 2 5 4" xfId="1478"/>
    <cellStyle name="Calculation 2 2 5 4 2" xfId="9007"/>
    <cellStyle name="Calculation 2 2 5 5" xfId="9009"/>
    <cellStyle name="Calculation 2 2 6" xfId="9012"/>
    <cellStyle name="Calculation 2 2 6 2" xfId="9013"/>
    <cellStyle name="Calculation 2 2 6 2 2" xfId="9014"/>
    <cellStyle name="Calculation 2 2 6 3" xfId="7819"/>
    <cellStyle name="Calculation 2 2 6 3 2" xfId="9015"/>
    <cellStyle name="Calculation 2 2 6 4" xfId="1488"/>
    <cellStyle name="Calculation 2 2 6 4 2" xfId="9016"/>
    <cellStyle name="Calculation 2 2 6 5" xfId="9018"/>
    <cellStyle name="Calculation 2 2 7" xfId="9020"/>
    <cellStyle name="Calculation 2 2 7 2" xfId="9022"/>
    <cellStyle name="Calculation 2 2 7 2 2" xfId="9025"/>
    <cellStyle name="Calculation 2 2 7 3" xfId="7823"/>
    <cellStyle name="Calculation 2 2 7 3 2" xfId="9027"/>
    <cellStyle name="Calculation 2 2 7 4" xfId="9028"/>
    <cellStyle name="Calculation 2 2 7 4 2" xfId="9029"/>
    <cellStyle name="Calculation 2 2 7 5" xfId="9031"/>
    <cellStyle name="Calculation 2 2 8" xfId="8794"/>
    <cellStyle name="Calculation 2 2 8 2" xfId="8797"/>
    <cellStyle name="Calculation 2 2 8 2 2" xfId="9034"/>
    <cellStyle name="Calculation 2 2 8 3" xfId="7826"/>
    <cellStyle name="Calculation 2 2 8 3 2" xfId="6975"/>
    <cellStyle name="Calculation 2 2 8 4" xfId="9035"/>
    <cellStyle name="Calculation 2 2 8 4 2" xfId="5993"/>
    <cellStyle name="Calculation 2 2 8 5" xfId="9036"/>
    <cellStyle name="Calculation 2 2 9" xfId="8800"/>
    <cellStyle name="Calculation 2 2 9 2" xfId="8803"/>
    <cellStyle name="Calculation 2 2 9 2 2" xfId="9040"/>
    <cellStyle name="Calculation 2 2 9 3" xfId="7831"/>
    <cellStyle name="Calculation 2 2 9 3 2" xfId="9043"/>
    <cellStyle name="Calculation 2 2 9 4" xfId="9046"/>
    <cellStyle name="Calculation 2 2 9 4 2" xfId="9049"/>
    <cellStyle name="Calculation 2 2 9 5" xfId="9051"/>
    <cellStyle name="Calculation 2 3" xfId="9052"/>
    <cellStyle name="Calculation 2 3 2" xfId="9054"/>
    <cellStyle name="Calculation 2 3 2 2" xfId="9057"/>
    <cellStyle name="Calculation 2 3 2 2 2" xfId="9060"/>
    <cellStyle name="Calculation 2 3 2 2 2 2" xfId="9061"/>
    <cellStyle name="Calculation 2 3 2 2 2 2 2" xfId="9063"/>
    <cellStyle name="Calculation 2 3 2 2 2 3" xfId="9064"/>
    <cellStyle name="Calculation 2 3 2 2 2 3 2" xfId="9066"/>
    <cellStyle name="Calculation 2 3 2 2 2 4" xfId="9067"/>
    <cellStyle name="Calculation 2 3 2 2 2 4 2" xfId="9069"/>
    <cellStyle name="Calculation 2 3 2 2 2 5" xfId="9070"/>
    <cellStyle name="Calculation 2 3 2 2 3" xfId="9072"/>
    <cellStyle name="Calculation 2 3 2 2 3 2" xfId="9073"/>
    <cellStyle name="Calculation 2 3 2 2 3 2 2" xfId="9075"/>
    <cellStyle name="Calculation 2 3 2 2 3 3" xfId="9076"/>
    <cellStyle name="Calculation 2 3 2 2 3 3 2" xfId="9078"/>
    <cellStyle name="Calculation 2 3 2 2 3 4" xfId="9079"/>
    <cellStyle name="Calculation 2 3 2 2 4" xfId="9081"/>
    <cellStyle name="Calculation 2 3 2 2 4 2" xfId="9082"/>
    <cellStyle name="Calculation 2 3 2 2 5" xfId="9083"/>
    <cellStyle name="Calculation 2 3 2 3" xfId="9085"/>
    <cellStyle name="Calculation 2 3 2 3 2" xfId="9087"/>
    <cellStyle name="Calculation 2 3 2 3 2 2" xfId="9088"/>
    <cellStyle name="Calculation 2 3 2 3 3" xfId="9090"/>
    <cellStyle name="Calculation 2 3 2 3 3 2" xfId="9091"/>
    <cellStyle name="Calculation 2 3 2 3 4" xfId="9092"/>
    <cellStyle name="Calculation 2 3 2 3 4 2" xfId="9093"/>
    <cellStyle name="Calculation 2 3 2 3 5" xfId="9094"/>
    <cellStyle name="Calculation 2 3 2 4" xfId="9096"/>
    <cellStyle name="Calculation 2 3 2 4 2" xfId="9097"/>
    <cellStyle name="Calculation 2 3 2 4 2 2" xfId="9098"/>
    <cellStyle name="Calculation 2 3 2 4 3" xfId="9100"/>
    <cellStyle name="Calculation 2 3 2 4 3 2" xfId="9101"/>
    <cellStyle name="Calculation 2 3 2 4 4" xfId="9103"/>
    <cellStyle name="Calculation 2 3 2 5" xfId="9105"/>
    <cellStyle name="Calculation 2 3 2 5 2" xfId="9107"/>
    <cellStyle name="Calculation 2 3 2 6" xfId="9109"/>
    <cellStyle name="Calculation 2 3 3" xfId="9111"/>
    <cellStyle name="Calculation 2 3 3 2" xfId="9112"/>
    <cellStyle name="Calculation 2 3 3 2 2" xfId="9115"/>
    <cellStyle name="Calculation 2 3 3 2 2 2" xfId="9116"/>
    <cellStyle name="Calculation 2 3 3 2 3" xfId="1101"/>
    <cellStyle name="Calculation 2 3 3 2 3 2" xfId="278"/>
    <cellStyle name="Calculation 2 3 3 2 4" xfId="1150"/>
    <cellStyle name="Calculation 2 3 3 2 4 2" xfId="1152"/>
    <cellStyle name="Calculation 2 3 3 2 5" xfId="1169"/>
    <cellStyle name="Calculation 2 3 3 3" xfId="9117"/>
    <cellStyle name="Calculation 2 3 3 3 2" xfId="9118"/>
    <cellStyle name="Calculation 2 3 3 3 2 2" xfId="1680"/>
    <cellStyle name="Calculation 2 3 3 3 3" xfId="1219"/>
    <cellStyle name="Calculation 2 3 3 3 3 2" xfId="1204"/>
    <cellStyle name="Calculation 2 3 3 3 4" xfId="1266"/>
    <cellStyle name="Calculation 2 3 3 4" xfId="9119"/>
    <cellStyle name="Calculation 2 3 3 4 2" xfId="9120"/>
    <cellStyle name="Calculation 2 3 3 5" xfId="9122"/>
    <cellStyle name="Calculation 2 3 4" xfId="9124"/>
    <cellStyle name="Calculation 2 3 4 2" xfId="9125"/>
    <cellStyle name="Calculation 2 3 4 2 2" xfId="9126"/>
    <cellStyle name="Calculation 2 3 4 2 2 2" xfId="9127"/>
    <cellStyle name="Calculation 2 3 4 2 3" xfId="1412"/>
    <cellStyle name="Calculation 2 3 4 2 3 2" xfId="514"/>
    <cellStyle name="Calculation 2 3 4 2 4" xfId="1433"/>
    <cellStyle name="Calculation 2 3 4 2 4 2" xfId="1434"/>
    <cellStyle name="Calculation 2 3 4 2 5" xfId="1442"/>
    <cellStyle name="Calculation 2 3 4 3" xfId="9129"/>
    <cellStyle name="Calculation 2 3 4 3 2" xfId="9130"/>
    <cellStyle name="Calculation 2 3 4 3 2 2" xfId="9131"/>
    <cellStyle name="Calculation 2 3 4 3 3" xfId="958"/>
    <cellStyle name="Calculation 2 3 4 3 3 2" xfId="1449"/>
    <cellStyle name="Calculation 2 3 4 3 4" xfId="1010"/>
    <cellStyle name="Calculation 2 3 4 4" xfId="9134"/>
    <cellStyle name="Calculation 2 3 4 4 2" xfId="9135"/>
    <cellStyle name="Calculation 2 3 4 5" xfId="9136"/>
    <cellStyle name="Calculation 2 3 5" xfId="9138"/>
    <cellStyle name="Calculation 2 3 5 2" xfId="9140"/>
    <cellStyle name="Calculation 2 3 5 2 2" xfId="9141"/>
    <cellStyle name="Calculation 2 3 5 3" xfId="9142"/>
    <cellStyle name="Calculation 2 3 5 3 2" xfId="9143"/>
    <cellStyle name="Calculation 2 3 5 4" xfId="9145"/>
    <cellStyle name="Calculation 2 3 5 4 2" xfId="9146"/>
    <cellStyle name="Calculation 2 3 5 5" xfId="9147"/>
    <cellStyle name="Calculation 2 3 6" xfId="9149"/>
    <cellStyle name="Calculation 2 3 6 2" xfId="9150"/>
    <cellStyle name="Calculation 2 3 6 2 2" xfId="9151"/>
    <cellStyle name="Calculation 2 3 6 3" xfId="9152"/>
    <cellStyle name="Calculation 2 3 6 3 2" xfId="9154"/>
    <cellStyle name="Calculation 2 3 6 4" xfId="9156"/>
    <cellStyle name="Calculation 2 3 7" xfId="9157"/>
    <cellStyle name="Calculation 2 3 7 2" xfId="9158"/>
    <cellStyle name="Calculation 2 3 8" xfId="8812"/>
    <cellStyle name="Calculation 2 3 9" xfId="3667"/>
    <cellStyle name="Calculation 2 4" xfId="9162"/>
    <cellStyle name="Calculation 2 4 2" xfId="9165"/>
    <cellStyle name="Calculation 2 4 2 2" xfId="9166"/>
    <cellStyle name="Calculation 2 4 2 2 2" xfId="9172"/>
    <cellStyle name="Calculation 2 4 2 2 2 2" xfId="9174"/>
    <cellStyle name="Calculation 2 4 2 2 3" xfId="9176"/>
    <cellStyle name="Calculation 2 4 2 2 3 2" xfId="9178"/>
    <cellStyle name="Calculation 2 4 2 2 4" xfId="9181"/>
    <cellStyle name="Calculation 2 4 2 2 4 2" xfId="9184"/>
    <cellStyle name="Calculation 2 4 2 2 5" xfId="9186"/>
    <cellStyle name="Calculation 2 4 2 3" xfId="9189"/>
    <cellStyle name="Calculation 2 4 2 3 2" xfId="9190"/>
    <cellStyle name="Calculation 2 4 2 3 2 2" xfId="9191"/>
    <cellStyle name="Calculation 2 4 2 3 3" xfId="9192"/>
    <cellStyle name="Calculation 2 4 2 3 3 2" xfId="9193"/>
    <cellStyle name="Calculation 2 4 2 3 4" xfId="9194"/>
    <cellStyle name="Calculation 2 4 2 4" xfId="9196"/>
    <cellStyle name="Calculation 2 4 2 4 2" xfId="9197"/>
    <cellStyle name="Calculation 2 4 2 5" xfId="9200"/>
    <cellStyle name="Calculation 2 4 3" xfId="9202"/>
    <cellStyle name="Calculation 2 4 3 2" xfId="9203"/>
    <cellStyle name="Calculation 2 4 3 2 2" xfId="9206"/>
    <cellStyle name="Calculation 2 4 3 3" xfId="9208"/>
    <cellStyle name="Calculation 2 4 3 3 2" xfId="9209"/>
    <cellStyle name="Calculation 2 4 3 4" xfId="9210"/>
    <cellStyle name="Calculation 2 4 3 4 2" xfId="9211"/>
    <cellStyle name="Calculation 2 4 3 5" xfId="9213"/>
    <cellStyle name="Calculation 2 4 4" xfId="9215"/>
    <cellStyle name="Calculation 2 4 4 2" xfId="9216"/>
    <cellStyle name="Calculation 2 4 4 2 2" xfId="9220"/>
    <cellStyle name="Calculation 2 4 4 3" xfId="9222"/>
    <cellStyle name="Calculation 2 4 4 3 2" xfId="9223"/>
    <cellStyle name="Calculation 2 4 4 4" xfId="9224"/>
    <cellStyle name="Calculation 2 4 5" xfId="9226"/>
    <cellStyle name="Calculation 2 4 5 2" xfId="9227"/>
    <cellStyle name="Calculation 2 4 6" xfId="9229"/>
    <cellStyle name="Calculation 2 5" xfId="9231"/>
    <cellStyle name="Calculation 2 5 2" xfId="9234"/>
    <cellStyle name="Calculation 2 5 2 2" xfId="9237"/>
    <cellStyle name="Calculation 2 5 2 2 2" xfId="9239"/>
    <cellStyle name="Calculation 2 5 2 2 2 2" xfId="9242"/>
    <cellStyle name="Calculation 2 5 2 2 3" xfId="9244"/>
    <cellStyle name="Calculation 2 5 2 2 3 2" xfId="9246"/>
    <cellStyle name="Calculation 2 5 2 2 4" xfId="9249"/>
    <cellStyle name="Calculation 2 5 2 2 4 2" xfId="9250"/>
    <cellStyle name="Calculation 2 5 2 2 5" xfId="9252"/>
    <cellStyle name="Calculation 2 5 2 3" xfId="9255"/>
    <cellStyle name="Calculation 2 5 2 3 2" xfId="9257"/>
    <cellStyle name="Calculation 2 5 2 3 2 2" xfId="5215"/>
    <cellStyle name="Calculation 2 5 2 3 3" xfId="9258"/>
    <cellStyle name="Calculation 2 5 2 3 3 2" xfId="5245"/>
    <cellStyle name="Calculation 2 5 2 3 4" xfId="9259"/>
    <cellStyle name="Calculation 2 5 2 4" xfId="9262"/>
    <cellStyle name="Calculation 2 5 2 4 2" xfId="9263"/>
    <cellStyle name="Calculation 2 5 2 5" xfId="9266"/>
    <cellStyle name="Calculation 2 5 3" xfId="5520"/>
    <cellStyle name="Calculation 2 5 3 2" xfId="4373"/>
    <cellStyle name="Calculation 2 5 3 2 2" xfId="4916"/>
    <cellStyle name="Calculation 2 5 3 3" xfId="3833"/>
    <cellStyle name="Calculation 2 5 3 3 2" xfId="5524"/>
    <cellStyle name="Calculation 2 5 3 4" xfId="3724"/>
    <cellStyle name="Calculation 2 5 3 4 2" xfId="4694"/>
    <cellStyle name="Calculation 2 5 3 5" xfId="5532"/>
    <cellStyle name="Calculation 2 5 4" xfId="5535"/>
    <cellStyle name="Calculation 2 5 4 2" xfId="4409"/>
    <cellStyle name="Calculation 2 5 4 2 2" xfId="5538"/>
    <cellStyle name="Calculation 2 5 4 3" xfId="3843"/>
    <cellStyle name="Calculation 2 5 4 3 2" xfId="5541"/>
    <cellStyle name="Calculation 2 5 4 4" xfId="5546"/>
    <cellStyle name="Calculation 2 5 5" xfId="5549"/>
    <cellStyle name="Calculation 2 5 5 2" xfId="4433"/>
    <cellStyle name="Calculation 2 5 6" xfId="5552"/>
    <cellStyle name="Calculation 2 6" xfId="9272"/>
    <cellStyle name="Calculation 2 6 2" xfId="9274"/>
    <cellStyle name="Calculation 2 6 2 2" xfId="9275"/>
    <cellStyle name="Calculation 2 6 2 2 2" xfId="5004"/>
    <cellStyle name="Calculation 2 6 2 3" xfId="9277"/>
    <cellStyle name="Calculation 2 6 2 3 2" xfId="9279"/>
    <cellStyle name="Calculation 2 6 2 4" xfId="9280"/>
    <cellStyle name="Calculation 2 6 2 4 2" xfId="9283"/>
    <cellStyle name="Calculation 2 6 2 5" xfId="9285"/>
    <cellStyle name="Calculation 2 6 3" xfId="1545"/>
    <cellStyle name="Calculation 2 6 3 2" xfId="1548"/>
    <cellStyle name="Calculation 2 6 3 2 2" xfId="5037"/>
    <cellStyle name="Calculation 2 6 3 3" xfId="9286"/>
    <cellStyle name="Calculation 2 6 3 3 2" xfId="9292"/>
    <cellStyle name="Calculation 2 6 3 4" xfId="9293"/>
    <cellStyle name="Calculation 2 6 4" xfId="1552"/>
    <cellStyle name="Calculation 2 6 4 2" xfId="3257"/>
    <cellStyle name="Calculation 2 6 5" xfId="5554"/>
    <cellStyle name="Calculation 2 7" xfId="9297"/>
    <cellStyle name="Calculation 2 7 2" xfId="9299"/>
    <cellStyle name="Calculation 2 7 2 2" xfId="9300"/>
    <cellStyle name="Calculation 2 7 2 2 2" xfId="9302"/>
    <cellStyle name="Calculation 2 7 2 3" xfId="9303"/>
    <cellStyle name="Calculation 2 7 2 3 2" xfId="9304"/>
    <cellStyle name="Calculation 2 7 2 4" xfId="9305"/>
    <cellStyle name="Calculation 2 7 2 4 2" xfId="9306"/>
    <cellStyle name="Calculation 2 7 2 5" xfId="9308"/>
    <cellStyle name="Calculation 2 7 3" xfId="1564"/>
    <cellStyle name="Calculation 2 7 3 2" xfId="5557"/>
    <cellStyle name="Calculation 2 7 3 2 2" xfId="9309"/>
    <cellStyle name="Calculation 2 7 3 3" xfId="9310"/>
    <cellStyle name="Calculation 2 7 3 3 2" xfId="9311"/>
    <cellStyle name="Calculation 2 7 3 4" xfId="9312"/>
    <cellStyle name="Calculation 2 7 4" xfId="5559"/>
    <cellStyle name="Calculation 2 7 4 2" xfId="3325"/>
    <cellStyle name="Calculation 2 7 5" xfId="46"/>
    <cellStyle name="Calculation 2 8" xfId="9314"/>
    <cellStyle name="Calculation 2 8 2" xfId="223"/>
    <cellStyle name="Calculation 2 8 2 2" xfId="257"/>
    <cellStyle name="Calculation 2 8 3" xfId="3211"/>
    <cellStyle name="Calculation 2 8 3 2" xfId="3217"/>
    <cellStyle name="Calculation 2 8 4" xfId="3496"/>
    <cellStyle name="Calculation 2 8 4 2" xfId="9315"/>
    <cellStyle name="Calculation 2 8 5" xfId="9316"/>
    <cellStyle name="Calculation 2 9" xfId="9319"/>
    <cellStyle name="Calculation 2 9 2" xfId="3825"/>
    <cellStyle name="Calculation 2 9 2 2" xfId="1162"/>
    <cellStyle name="Calculation 2 9 3" xfId="3934"/>
    <cellStyle name="Calculation 2 9 3 2" xfId="1308"/>
    <cellStyle name="Calculation 2 9 4" xfId="9320"/>
    <cellStyle name="Calculation 2 9 4 2" xfId="9321"/>
    <cellStyle name="Calculation 2 9 5" xfId="9324"/>
    <cellStyle name="Calculation 3" xfId="9325"/>
    <cellStyle name="Calculation 3 10" xfId="9326"/>
    <cellStyle name="Calculation 3 10 2" xfId="9329"/>
    <cellStyle name="Calculation 3 10 2 2" xfId="9332"/>
    <cellStyle name="Calculation 3 10 3" xfId="9335"/>
    <cellStyle name="Calculation 3 10 3 2" xfId="9337"/>
    <cellStyle name="Calculation 3 10 4" xfId="9340"/>
    <cellStyle name="Calculation 3 10 4 2" xfId="9342"/>
    <cellStyle name="Calculation 3 10 5" xfId="9345"/>
    <cellStyle name="Calculation 3 11" xfId="9347"/>
    <cellStyle name="Calculation 3 2" xfId="9348"/>
    <cellStyle name="Calculation 3 2 10" xfId="9349"/>
    <cellStyle name="Calculation 3 2 2" xfId="9350"/>
    <cellStyle name="Calculation 3 2 2 2" xfId="9352"/>
    <cellStyle name="Calculation 3 2 2 2 2" xfId="9353"/>
    <cellStyle name="Calculation 3 2 2 2 2 2" xfId="9354"/>
    <cellStyle name="Calculation 3 2 2 2 2 2 2" xfId="6110"/>
    <cellStyle name="Calculation 3 2 2 2 2 3" xfId="9355"/>
    <cellStyle name="Calculation 3 2 2 2 2 3 2" xfId="6116"/>
    <cellStyle name="Calculation 3 2 2 2 2 4" xfId="9356"/>
    <cellStyle name="Calculation 3 2 2 2 2 4 2" xfId="7365"/>
    <cellStyle name="Calculation 3 2 2 2 2 5" xfId="9360"/>
    <cellStyle name="Calculation 3 2 2 2 3" xfId="9361"/>
    <cellStyle name="Calculation 3 2 2 2 3 2" xfId="9362"/>
    <cellStyle name="Calculation 3 2 2 2 3 2 2" xfId="9363"/>
    <cellStyle name="Calculation 3 2 2 2 3 3" xfId="9364"/>
    <cellStyle name="Calculation 3 2 2 2 3 3 2" xfId="9365"/>
    <cellStyle name="Calculation 3 2 2 2 3 4" xfId="9366"/>
    <cellStyle name="Calculation 3 2 2 2 4" xfId="9369"/>
    <cellStyle name="Calculation 3 2 2 2 4 2" xfId="9370"/>
    <cellStyle name="Calculation 3 2 2 2 5" xfId="9372"/>
    <cellStyle name="Calculation 3 2 2 3" xfId="9373"/>
    <cellStyle name="Calculation 3 2 2 3 2" xfId="9374"/>
    <cellStyle name="Calculation 3 2 2 3 2 2" xfId="9377"/>
    <cellStyle name="Calculation 3 2 2 3 3" xfId="9378"/>
    <cellStyle name="Calculation 3 2 2 3 3 2" xfId="9381"/>
    <cellStyle name="Calculation 3 2 2 3 4" xfId="9383"/>
    <cellStyle name="Calculation 3 2 2 3 4 2" xfId="9384"/>
    <cellStyle name="Calculation 3 2 2 3 5" xfId="9386"/>
    <cellStyle name="Calculation 3 2 2 4" xfId="9387"/>
    <cellStyle name="Calculation 3 2 2 4 2" xfId="9388"/>
    <cellStyle name="Calculation 3 2 2 4 2 2" xfId="9389"/>
    <cellStyle name="Calculation 3 2 2 4 3" xfId="9390"/>
    <cellStyle name="Calculation 3 2 2 4 3 2" xfId="9391"/>
    <cellStyle name="Calculation 3 2 2 4 4" xfId="9392"/>
    <cellStyle name="Calculation 3 2 2 4 4 2" xfId="9393"/>
    <cellStyle name="Calculation 3 2 2 4 5" xfId="9396"/>
    <cellStyle name="Calculation 3 2 2 5" xfId="9397"/>
    <cellStyle name="Calculation 3 2 2 5 2" xfId="9400"/>
    <cellStyle name="Calculation 3 2 2 5 2 2" xfId="9403"/>
    <cellStyle name="Calculation 3 2 2 5 3" xfId="9407"/>
    <cellStyle name="Calculation 3 2 2 5 3 2" xfId="9411"/>
    <cellStyle name="Calculation 3 2 2 5 4" xfId="9414"/>
    <cellStyle name="Calculation 3 2 2 6" xfId="9415"/>
    <cellStyle name="Calculation 3 2 2 6 2" xfId="9417"/>
    <cellStyle name="Calculation 3 2 2 7" xfId="9419"/>
    <cellStyle name="Calculation 3 2 3" xfId="9420"/>
    <cellStyle name="Calculation 3 2 3 2" xfId="9421"/>
    <cellStyle name="Calculation 3 2 3 2 2" xfId="9422"/>
    <cellStyle name="Calculation 3 2 3 2 2 2" xfId="9423"/>
    <cellStyle name="Calculation 3 2 3 2 2 2 2" xfId="9424"/>
    <cellStyle name="Calculation 3 2 3 2 2 3" xfId="9425"/>
    <cellStyle name="Calculation 3 2 3 2 2 3 2" xfId="9426"/>
    <cellStyle name="Calculation 3 2 3 2 2 4" xfId="9428"/>
    <cellStyle name="Calculation 3 2 3 2 2 4 2" xfId="9430"/>
    <cellStyle name="Calculation 3 2 3 2 2 5" xfId="9432"/>
    <cellStyle name="Calculation 3 2 3 2 3" xfId="9433"/>
    <cellStyle name="Calculation 3 2 3 2 3 2" xfId="9434"/>
    <cellStyle name="Calculation 3 2 3 2 3 2 2" xfId="9436"/>
    <cellStyle name="Calculation 3 2 3 2 3 3" xfId="9440"/>
    <cellStyle name="Calculation 3 2 3 2 3 3 2" xfId="9442"/>
    <cellStyle name="Calculation 3 2 3 2 3 4" xfId="9445"/>
    <cellStyle name="Calculation 3 2 3 2 4" xfId="9448"/>
    <cellStyle name="Calculation 3 2 3 2 4 2" xfId="9450"/>
    <cellStyle name="Calculation 3 2 3 2 5" xfId="9453"/>
    <cellStyle name="Calculation 3 2 3 3" xfId="9454"/>
    <cellStyle name="Calculation 3 2 3 3 2" xfId="9455"/>
    <cellStyle name="Calculation 3 2 3 3 2 2" xfId="9456"/>
    <cellStyle name="Calculation 3 2 3 3 3" xfId="9457"/>
    <cellStyle name="Calculation 3 2 3 3 3 2" xfId="9458"/>
    <cellStyle name="Calculation 3 2 3 3 4" xfId="9459"/>
    <cellStyle name="Calculation 3 2 3 3 4 2" xfId="9460"/>
    <cellStyle name="Calculation 3 2 3 3 5" xfId="9462"/>
    <cellStyle name="Calculation 3 2 3 4" xfId="9463"/>
    <cellStyle name="Calculation 3 2 3 4 2" xfId="9464"/>
    <cellStyle name="Calculation 3 2 3 4 2 2" xfId="9465"/>
    <cellStyle name="Calculation 3 2 3 4 3" xfId="9466"/>
    <cellStyle name="Calculation 3 2 3 4 3 2" xfId="9468"/>
    <cellStyle name="Calculation 3 2 3 4 4" xfId="9469"/>
    <cellStyle name="Calculation 3 2 3 5" xfId="9470"/>
    <cellStyle name="Calculation 3 2 3 5 2" xfId="9471"/>
    <cellStyle name="Calculation 3 2 3 6" xfId="9473"/>
    <cellStyle name="Calculation 3 2 4" xfId="9474"/>
    <cellStyle name="Calculation 3 2 4 2" xfId="9476"/>
    <cellStyle name="Calculation 3 2 4 2 2" xfId="9477"/>
    <cellStyle name="Calculation 3 2 4 2 2 2" xfId="9479"/>
    <cellStyle name="Calculation 3 2 4 2 3" xfId="9481"/>
    <cellStyle name="Calculation 3 2 4 2 3 2" xfId="9484"/>
    <cellStyle name="Calculation 3 2 4 2 4" xfId="9487"/>
    <cellStyle name="Calculation 3 2 4 2 4 2" xfId="9490"/>
    <cellStyle name="Calculation 3 2 4 2 5" xfId="9492"/>
    <cellStyle name="Calculation 3 2 4 3" xfId="9494"/>
    <cellStyle name="Calculation 3 2 4 3 2" xfId="9495"/>
    <cellStyle name="Calculation 3 2 4 3 2 2" xfId="9496"/>
    <cellStyle name="Calculation 3 2 4 3 3" xfId="9497"/>
    <cellStyle name="Calculation 3 2 4 3 3 2" xfId="9499"/>
    <cellStyle name="Calculation 3 2 4 3 4" xfId="9500"/>
    <cellStyle name="Calculation 3 2 4 4" xfId="9502"/>
    <cellStyle name="Calculation 3 2 4 4 2" xfId="9503"/>
    <cellStyle name="Calculation 3 2 4 5" xfId="9505"/>
    <cellStyle name="Calculation 3 2 5" xfId="9506"/>
    <cellStyle name="Calculation 3 2 5 2" xfId="9509"/>
    <cellStyle name="Calculation 3 2 5 2 2" xfId="9510"/>
    <cellStyle name="Calculation 3 2 5 2 2 2" xfId="9511"/>
    <cellStyle name="Calculation 3 2 5 2 3" xfId="9512"/>
    <cellStyle name="Calculation 3 2 5 2 3 2" xfId="1509"/>
    <cellStyle name="Calculation 3 2 5 2 4" xfId="9513"/>
    <cellStyle name="Calculation 3 2 5 2 4 2" xfId="9514"/>
    <cellStyle name="Calculation 3 2 5 2 5" xfId="9518"/>
    <cellStyle name="Calculation 3 2 5 3" xfId="9519"/>
    <cellStyle name="Calculation 3 2 5 3 2" xfId="9520"/>
    <cellStyle name="Calculation 3 2 5 3 2 2" xfId="9521"/>
    <cellStyle name="Calculation 3 2 5 3 3" xfId="9522"/>
    <cellStyle name="Calculation 3 2 5 3 3 2" xfId="9523"/>
    <cellStyle name="Calculation 3 2 5 3 4" xfId="9524"/>
    <cellStyle name="Calculation 3 2 5 4" xfId="9525"/>
    <cellStyle name="Calculation 3 2 5 4 2" xfId="9526"/>
    <cellStyle name="Calculation 3 2 5 5" xfId="9529"/>
    <cellStyle name="Calculation 3 2 6" xfId="9530"/>
    <cellStyle name="Calculation 3 2 6 2" xfId="9533"/>
    <cellStyle name="Calculation 3 2 6 2 2" xfId="9535"/>
    <cellStyle name="Calculation 3 2 6 3" xfId="7862"/>
    <cellStyle name="Calculation 3 2 6 3 2" xfId="9537"/>
    <cellStyle name="Calculation 3 2 6 4" xfId="9538"/>
    <cellStyle name="Calculation 3 2 6 4 2" xfId="9540"/>
    <cellStyle name="Calculation 3 2 6 5" xfId="9542"/>
    <cellStyle name="Calculation 3 2 7" xfId="9543"/>
    <cellStyle name="Calculation 3 2 7 2" xfId="9546"/>
    <cellStyle name="Calculation 3 2 7 2 2" xfId="9548"/>
    <cellStyle name="Calculation 3 2 7 3" xfId="7866"/>
    <cellStyle name="Calculation 3 2 7 3 2" xfId="9549"/>
    <cellStyle name="Calculation 3 2 7 4" xfId="9550"/>
    <cellStyle name="Calculation 3 2 7 4 2" xfId="9551"/>
    <cellStyle name="Calculation 3 2 7 5" xfId="9553"/>
    <cellStyle name="Calculation 3 2 8" xfId="9554"/>
    <cellStyle name="Calculation 3 2 8 2" xfId="9557"/>
    <cellStyle name="Calculation 3 2 8 2 2" xfId="9558"/>
    <cellStyle name="Calculation 3 2 8 3" xfId="7869"/>
    <cellStyle name="Calculation 3 2 8 3 2" xfId="9559"/>
    <cellStyle name="Calculation 3 2 8 4" xfId="9560"/>
    <cellStyle name="Calculation 3 2 8 4 2" xfId="9561"/>
    <cellStyle name="Calculation 3 2 8 5" xfId="9562"/>
    <cellStyle name="Calculation 3 2 9" xfId="9563"/>
    <cellStyle name="Calculation 3 2 9 2" xfId="9566"/>
    <cellStyle name="Calculation 3 2 9 2 2" xfId="9568"/>
    <cellStyle name="Calculation 3 2 9 3" xfId="7872"/>
    <cellStyle name="Calculation 3 2 9 3 2" xfId="9570"/>
    <cellStyle name="Calculation 3 2 9 4" xfId="9572"/>
    <cellStyle name="Calculation 3 2 9 4 2" xfId="9574"/>
    <cellStyle name="Calculation 3 2 9 5" xfId="9575"/>
    <cellStyle name="Calculation 3 3" xfId="9576"/>
    <cellStyle name="Calculation 3 3 2" xfId="9578"/>
    <cellStyle name="Calculation 3 3 2 2" xfId="9581"/>
    <cellStyle name="Calculation 3 3 2 2 2" xfId="8139"/>
    <cellStyle name="Calculation 3 3 2 2 2 2" xfId="8145"/>
    <cellStyle name="Calculation 3 3 2 2 2 2 2" xfId="8147"/>
    <cellStyle name="Calculation 3 3 2 2 2 3" xfId="8149"/>
    <cellStyle name="Calculation 3 3 2 2 2 3 2" xfId="8151"/>
    <cellStyle name="Calculation 3 3 2 2 2 4" xfId="8153"/>
    <cellStyle name="Calculation 3 3 2 2 2 4 2" xfId="8156"/>
    <cellStyle name="Calculation 3 3 2 2 2 5" xfId="4652"/>
    <cellStyle name="Calculation 3 3 2 2 3" xfId="8166"/>
    <cellStyle name="Calculation 3 3 2 2 3 2" xfId="8168"/>
    <cellStyle name="Calculation 3 3 2 2 3 2 2" xfId="9582"/>
    <cellStyle name="Calculation 3 3 2 2 3 3" xfId="8170"/>
    <cellStyle name="Calculation 3 3 2 2 3 3 2" xfId="8172"/>
    <cellStyle name="Calculation 3 3 2 2 3 4" xfId="8174"/>
    <cellStyle name="Calculation 3 3 2 2 4" xfId="8180"/>
    <cellStyle name="Calculation 3 3 2 2 4 2" xfId="9584"/>
    <cellStyle name="Calculation 3 3 2 2 5" xfId="8184"/>
    <cellStyle name="Calculation 3 3 2 3" xfId="9586"/>
    <cellStyle name="Calculation 3 3 2 3 2" xfId="8202"/>
    <cellStyle name="Calculation 3 3 2 3 2 2" xfId="8207"/>
    <cellStyle name="Calculation 3 3 2 3 3" xfId="115"/>
    <cellStyle name="Calculation 3 3 2 3 3 2" xfId="62"/>
    <cellStyle name="Calculation 3 3 2 3 4" xfId="8232"/>
    <cellStyle name="Calculation 3 3 2 3 4 2" xfId="9591"/>
    <cellStyle name="Calculation 3 3 2 3 5" xfId="8237"/>
    <cellStyle name="Calculation 3 3 2 4" xfId="9593"/>
    <cellStyle name="Calculation 3 3 2 4 2" xfId="8253"/>
    <cellStyle name="Calculation 3 3 2 4 2 2" xfId="8260"/>
    <cellStyle name="Calculation 3 3 2 4 3" xfId="8276"/>
    <cellStyle name="Calculation 3 3 2 4 3 2" xfId="8278"/>
    <cellStyle name="Calculation 3 3 2 4 4" xfId="8288"/>
    <cellStyle name="Calculation 3 3 2 5" xfId="9596"/>
    <cellStyle name="Calculation 3 3 2 5 2" xfId="8311"/>
    <cellStyle name="Calculation 3 3 2 6" xfId="9598"/>
    <cellStyle name="Calculation 3 3 3" xfId="9604"/>
    <cellStyle name="Calculation 3 3 3 2" xfId="9606"/>
    <cellStyle name="Calculation 3 3 3 2 2" xfId="9608"/>
    <cellStyle name="Calculation 3 3 3 2 2 2" xfId="9609"/>
    <cellStyle name="Calculation 3 3 3 2 3" xfId="9610"/>
    <cellStyle name="Calculation 3 3 3 2 3 2" xfId="9611"/>
    <cellStyle name="Calculation 3 3 3 2 4" xfId="9612"/>
    <cellStyle name="Calculation 3 3 3 2 4 2" xfId="9613"/>
    <cellStyle name="Calculation 3 3 3 2 5" xfId="9614"/>
    <cellStyle name="Calculation 3 3 3 3" xfId="9617"/>
    <cellStyle name="Calculation 3 3 3 3 2" xfId="9618"/>
    <cellStyle name="Calculation 3 3 3 3 2 2" xfId="9619"/>
    <cellStyle name="Calculation 3 3 3 3 3" xfId="9620"/>
    <cellStyle name="Calculation 3 3 3 3 3 2" xfId="9621"/>
    <cellStyle name="Calculation 3 3 3 3 4" xfId="9624"/>
    <cellStyle name="Calculation 3 3 3 4" xfId="9625"/>
    <cellStyle name="Calculation 3 3 3 4 2" xfId="9627"/>
    <cellStyle name="Calculation 3 3 3 5" xfId="9628"/>
    <cellStyle name="Calculation 3 3 4" xfId="9629"/>
    <cellStyle name="Calculation 3 3 4 2" xfId="9631"/>
    <cellStyle name="Calculation 3 3 4 2 2" xfId="9632"/>
    <cellStyle name="Calculation 3 3 4 2 2 2" xfId="9633"/>
    <cellStyle name="Calculation 3 3 4 2 3" xfId="9634"/>
    <cellStyle name="Calculation 3 3 4 2 3 2" xfId="9635"/>
    <cellStyle name="Calculation 3 3 4 2 4" xfId="9636"/>
    <cellStyle name="Calculation 3 3 4 2 4 2" xfId="9638"/>
    <cellStyle name="Calculation 3 3 4 2 5" xfId="9640"/>
    <cellStyle name="Calculation 3 3 4 3" xfId="9642"/>
    <cellStyle name="Calculation 3 3 4 3 2" xfId="9644"/>
    <cellStyle name="Calculation 3 3 4 3 2 2" xfId="9645"/>
    <cellStyle name="Calculation 3 3 4 3 3" xfId="9646"/>
    <cellStyle name="Calculation 3 3 4 3 3 2" xfId="9647"/>
    <cellStyle name="Calculation 3 3 4 3 4" xfId="9649"/>
    <cellStyle name="Calculation 3 3 4 4" xfId="9651"/>
    <cellStyle name="Calculation 3 3 4 4 2" xfId="9654"/>
    <cellStyle name="Calculation 3 3 4 5" xfId="9656"/>
    <cellStyle name="Calculation 3 3 5" xfId="9657"/>
    <cellStyle name="Calculation 3 3 5 2" xfId="9659"/>
    <cellStyle name="Calculation 3 3 5 2 2" xfId="9660"/>
    <cellStyle name="Calculation 3 3 5 3" xfId="9661"/>
    <cellStyle name="Calculation 3 3 5 3 2" xfId="9662"/>
    <cellStyle name="Calculation 3 3 5 4" xfId="9663"/>
    <cellStyle name="Calculation 3 3 5 4 2" xfId="9664"/>
    <cellStyle name="Calculation 3 3 5 5" xfId="9666"/>
    <cellStyle name="Calculation 3 3 6" xfId="9667"/>
    <cellStyle name="Calculation 3 3 6 2" xfId="9669"/>
    <cellStyle name="Calculation 3 3 6 2 2" xfId="9671"/>
    <cellStyle name="Calculation 3 3 6 3" xfId="9672"/>
    <cellStyle name="Calculation 3 3 6 3 2" xfId="9674"/>
    <cellStyle name="Calculation 3 3 6 4" xfId="9675"/>
    <cellStyle name="Calculation 3 3 7" xfId="9676"/>
    <cellStyle name="Calculation 3 3 7 2" xfId="9679"/>
    <cellStyle name="Calculation 3 3 8" xfId="9680"/>
    <cellStyle name="Calculation 3 3 9" xfId="3704"/>
    <cellStyle name="Calculation 3 4" xfId="9685"/>
    <cellStyle name="Calculation 3 4 2" xfId="9687"/>
    <cellStyle name="Calculation 3 4 2 2" xfId="9692"/>
    <cellStyle name="Calculation 3 4 2 2 2" xfId="9694"/>
    <cellStyle name="Calculation 3 4 2 2 2 2" xfId="9696"/>
    <cellStyle name="Calculation 3 4 2 2 3" xfId="9697"/>
    <cellStyle name="Calculation 3 4 2 2 3 2" xfId="9698"/>
    <cellStyle name="Calculation 3 4 2 2 4" xfId="9699"/>
    <cellStyle name="Calculation 3 4 2 2 4 2" xfId="9700"/>
    <cellStyle name="Calculation 3 4 2 2 5" xfId="9702"/>
    <cellStyle name="Calculation 3 4 2 3" xfId="9705"/>
    <cellStyle name="Calculation 3 4 2 3 2" xfId="9706"/>
    <cellStyle name="Calculation 3 4 2 3 2 2" xfId="9707"/>
    <cellStyle name="Calculation 3 4 2 3 3" xfId="9708"/>
    <cellStyle name="Calculation 3 4 2 3 3 2" xfId="9711"/>
    <cellStyle name="Calculation 3 4 2 3 4" xfId="9712"/>
    <cellStyle name="Calculation 3 4 2 4" xfId="9715"/>
    <cellStyle name="Calculation 3 4 2 4 2" xfId="9716"/>
    <cellStyle name="Calculation 3 4 2 5" xfId="9721"/>
    <cellStyle name="Calculation 3 4 3" xfId="9722"/>
    <cellStyle name="Calculation 3 4 3 2" xfId="9723"/>
    <cellStyle name="Calculation 3 4 3 2 2" xfId="9724"/>
    <cellStyle name="Calculation 3 4 3 3" xfId="9725"/>
    <cellStyle name="Calculation 3 4 3 3 2" xfId="9726"/>
    <cellStyle name="Calculation 3 4 3 4" xfId="9727"/>
    <cellStyle name="Calculation 3 4 3 4 2" xfId="9728"/>
    <cellStyle name="Calculation 3 4 3 5" xfId="9730"/>
    <cellStyle name="Calculation 3 4 4" xfId="9731"/>
    <cellStyle name="Calculation 3 4 4 2" xfId="9733"/>
    <cellStyle name="Calculation 3 4 4 2 2" xfId="944"/>
    <cellStyle name="Calculation 3 4 4 3" xfId="9734"/>
    <cellStyle name="Calculation 3 4 4 3 2" xfId="9735"/>
    <cellStyle name="Calculation 3 4 4 4" xfId="9736"/>
    <cellStyle name="Calculation 3 4 5" xfId="9737"/>
    <cellStyle name="Calculation 3 4 5 2" xfId="9739"/>
    <cellStyle name="Calculation 3 4 6" xfId="9740"/>
    <cellStyle name="Calculation 3 5" xfId="9744"/>
    <cellStyle name="Calculation 3 5 2" xfId="9746"/>
    <cellStyle name="Calculation 3 5 2 2" xfId="9747"/>
    <cellStyle name="Calculation 3 5 2 2 2" xfId="9748"/>
    <cellStyle name="Calculation 3 5 2 2 2 2" xfId="9750"/>
    <cellStyle name="Calculation 3 5 2 2 3" xfId="9751"/>
    <cellStyle name="Calculation 3 5 2 2 3 2" xfId="9755"/>
    <cellStyle name="Calculation 3 5 2 2 4" xfId="9756"/>
    <cellStyle name="Calculation 3 5 2 2 4 2" xfId="9758"/>
    <cellStyle name="Calculation 3 5 2 2 5" xfId="9760"/>
    <cellStyle name="Calculation 3 5 2 3" xfId="9761"/>
    <cellStyle name="Calculation 3 5 2 3 2" xfId="9762"/>
    <cellStyle name="Calculation 3 5 2 3 2 2" xfId="9765"/>
    <cellStyle name="Calculation 3 5 2 3 3" xfId="9770"/>
    <cellStyle name="Calculation 3 5 2 3 3 2" xfId="9773"/>
    <cellStyle name="Calculation 3 5 2 3 4" xfId="9778"/>
    <cellStyle name="Calculation 3 5 2 4" xfId="9781"/>
    <cellStyle name="Calculation 3 5 2 4 2" xfId="9782"/>
    <cellStyle name="Calculation 3 5 2 5" xfId="9783"/>
    <cellStyle name="Calculation 3 5 3" xfId="5571"/>
    <cellStyle name="Calculation 3 5 3 2" xfId="2710"/>
    <cellStyle name="Calculation 3 5 3 2 2" xfId="505"/>
    <cellStyle name="Calculation 3 5 3 3" xfId="2715"/>
    <cellStyle name="Calculation 3 5 3 3 2" xfId="592"/>
    <cellStyle name="Calculation 3 5 3 4" xfId="2721"/>
    <cellStyle name="Calculation 3 5 3 4 2" xfId="710"/>
    <cellStyle name="Calculation 3 5 3 5" xfId="5575"/>
    <cellStyle name="Calculation 3 5 4" xfId="5577"/>
    <cellStyle name="Calculation 3 5 4 2" xfId="2732"/>
    <cellStyle name="Calculation 3 5 4 2 2" xfId="2736"/>
    <cellStyle name="Calculation 3 5 4 3" xfId="2741"/>
    <cellStyle name="Calculation 3 5 4 3 2" xfId="5580"/>
    <cellStyle name="Calculation 3 5 4 4" xfId="5585"/>
    <cellStyle name="Calculation 3 5 5" xfId="5587"/>
    <cellStyle name="Calculation 3 5 5 2" xfId="5589"/>
    <cellStyle name="Calculation 3 5 6" xfId="5591"/>
    <cellStyle name="Calculation 3 6" xfId="9788"/>
    <cellStyle name="Calculation 3 6 2" xfId="9789"/>
    <cellStyle name="Calculation 3 6 2 2" xfId="9791"/>
    <cellStyle name="Calculation 3 6 2 2 2" xfId="963"/>
    <cellStyle name="Calculation 3 6 2 3" xfId="9793"/>
    <cellStyle name="Calculation 3 6 2 3 2" xfId="9797"/>
    <cellStyle name="Calculation 3 6 2 4" xfId="2857"/>
    <cellStyle name="Calculation 3 6 2 4 2" xfId="9800"/>
    <cellStyle name="Calculation 3 6 2 5" xfId="9803"/>
    <cellStyle name="Calculation 3 6 3" xfId="5596"/>
    <cellStyle name="Calculation 3 6 3 2" xfId="5598"/>
    <cellStyle name="Calculation 3 6 3 2 2" xfId="3817"/>
    <cellStyle name="Calculation 3 6 3 3" xfId="9804"/>
    <cellStyle name="Calculation 3 6 3 3 2" xfId="9805"/>
    <cellStyle name="Calculation 3 6 3 4" xfId="2872"/>
    <cellStyle name="Calculation 3 6 4" xfId="5600"/>
    <cellStyle name="Calculation 3 6 4 2" xfId="3510"/>
    <cellStyle name="Calculation 3 6 5" xfId="5602"/>
    <cellStyle name="Calculation 3 7" xfId="9806"/>
    <cellStyle name="Calculation 3 7 2" xfId="9807"/>
    <cellStyle name="Calculation 3 7 2 2" xfId="9808"/>
    <cellStyle name="Calculation 3 7 2 2 2" xfId="9810"/>
    <cellStyle name="Calculation 3 7 2 3" xfId="9813"/>
    <cellStyle name="Calculation 3 7 2 3 2" xfId="9815"/>
    <cellStyle name="Calculation 3 7 2 4" xfId="2888"/>
    <cellStyle name="Calculation 3 7 2 4 2" xfId="9818"/>
    <cellStyle name="Calculation 3 7 2 5" xfId="9820"/>
    <cellStyle name="Calculation 3 7 3" xfId="5607"/>
    <cellStyle name="Calculation 3 7 3 2" xfId="5610"/>
    <cellStyle name="Calculation 3 7 3 2 2" xfId="9823"/>
    <cellStyle name="Calculation 3 7 3 3" xfId="9825"/>
    <cellStyle name="Calculation 3 7 3 3 2" xfId="9826"/>
    <cellStyle name="Calculation 3 7 3 4" xfId="937"/>
    <cellStyle name="Calculation 3 7 4" xfId="5613"/>
    <cellStyle name="Calculation 3 7 4 2" xfId="5616"/>
    <cellStyle name="Calculation 3 7 5" xfId="5618"/>
    <cellStyle name="Calculation 3 8" xfId="9827"/>
    <cellStyle name="Calculation 3 8 2" xfId="9828"/>
    <cellStyle name="Calculation 3 8 2 2" xfId="9829"/>
    <cellStyle name="Calculation 3 8 3" xfId="5621"/>
    <cellStyle name="Calculation 3 8 3 2" xfId="9830"/>
    <cellStyle name="Calculation 3 8 4" xfId="9831"/>
    <cellStyle name="Calculation 3 8 4 2" xfId="9832"/>
    <cellStyle name="Calculation 3 8 5" xfId="9833"/>
    <cellStyle name="Calculation 3 9" xfId="9834"/>
    <cellStyle name="Calculation 3 9 2" xfId="9835"/>
    <cellStyle name="Calculation 3 9 2 2" xfId="9837"/>
    <cellStyle name="Calculation 3 9 3" xfId="9838"/>
    <cellStyle name="Calculation 3 9 3 2" xfId="9840"/>
    <cellStyle name="Calculation 3 9 4" xfId="9841"/>
    <cellStyle name="Calculation 3 9 4 2" xfId="9843"/>
    <cellStyle name="Calculation 3 9 5" xfId="9844"/>
    <cellStyle name="Calculation 4" xfId="9845"/>
    <cellStyle name="Calculation 4 10" xfId="9847"/>
    <cellStyle name="Calculation 4 2" xfId="9848"/>
    <cellStyle name="Calculation 4 2 2" xfId="9849"/>
    <cellStyle name="Calculation 4 2 2 2" xfId="9850"/>
    <cellStyle name="Calculation 4 2 2 2 2" xfId="2574"/>
    <cellStyle name="Calculation 4 2 2 2 2 2" xfId="9853"/>
    <cellStyle name="Calculation 4 2 2 2 3" xfId="5167"/>
    <cellStyle name="Calculation 4 2 2 2 3 2" xfId="9858"/>
    <cellStyle name="Calculation 4 2 2 2 4" xfId="9859"/>
    <cellStyle name="Calculation 4 2 2 2 4 2" xfId="9862"/>
    <cellStyle name="Calculation 4 2 2 2 5" xfId="9863"/>
    <cellStyle name="Calculation 4 2 2 3" xfId="9864"/>
    <cellStyle name="Calculation 4 2 2 3 2" xfId="9865"/>
    <cellStyle name="Calculation 4 2 2 3 2 2" xfId="9868"/>
    <cellStyle name="Calculation 4 2 2 3 3" xfId="9871"/>
    <cellStyle name="Calculation 4 2 2 3 3 2" xfId="9267"/>
    <cellStyle name="Calculation 4 2 2 3 4" xfId="9874"/>
    <cellStyle name="Calculation 4 2 2 4" xfId="9879"/>
    <cellStyle name="Calculation 4 2 2 4 2" xfId="9880"/>
    <cellStyle name="Calculation 4 2 2 5" xfId="9884"/>
    <cellStyle name="Calculation 4 2 3" xfId="9885"/>
    <cellStyle name="Calculation 4 2 3 2" xfId="9886"/>
    <cellStyle name="Calculation 4 2 3 2 2" xfId="9887"/>
    <cellStyle name="Calculation 4 2 3 3" xfId="9888"/>
    <cellStyle name="Calculation 4 2 3 3 2" xfId="9889"/>
    <cellStyle name="Calculation 4 2 3 4" xfId="9890"/>
    <cellStyle name="Calculation 4 2 3 4 2" xfId="9891"/>
    <cellStyle name="Calculation 4 2 3 5" xfId="9892"/>
    <cellStyle name="Calculation 4 2 4" xfId="9894"/>
    <cellStyle name="Calculation 4 2 4 2" xfId="9895"/>
    <cellStyle name="Calculation 4 2 4 2 2" xfId="9896"/>
    <cellStyle name="Calculation 4 2 4 3" xfId="9897"/>
    <cellStyle name="Calculation 4 2 4 3 2" xfId="9898"/>
    <cellStyle name="Calculation 4 2 4 4" xfId="9899"/>
    <cellStyle name="Calculation 4 2 4 4 2" xfId="9901"/>
    <cellStyle name="Calculation 4 2 4 5" xfId="9902"/>
    <cellStyle name="Calculation 4 2 5" xfId="9903"/>
    <cellStyle name="Calculation 4 2 5 2" xfId="9904"/>
    <cellStyle name="Calculation 4 2 5 2 2" xfId="9905"/>
    <cellStyle name="Calculation 4 2 5 3" xfId="9906"/>
    <cellStyle name="Calculation 4 2 5 3 2" xfId="9907"/>
    <cellStyle name="Calculation 4 2 5 4" xfId="9908"/>
    <cellStyle name="Calculation 4 2 6" xfId="9909"/>
    <cellStyle name="Calculation 4 2 6 2" xfId="9910"/>
    <cellStyle name="Calculation 4 2 7" xfId="9912"/>
    <cellStyle name="Calculation 4 3" xfId="9914"/>
    <cellStyle name="Calculation 4 3 2" xfId="9916"/>
    <cellStyle name="Calculation 4 3 2 2" xfId="9919"/>
    <cellStyle name="Calculation 4 3 2 2 2" xfId="9922"/>
    <cellStyle name="Calculation 4 3 2 2 2 2" xfId="9924"/>
    <cellStyle name="Calculation 4 3 2 2 3" xfId="4064"/>
    <cellStyle name="Calculation 4 3 2 2 3 2" xfId="9925"/>
    <cellStyle name="Calculation 4 3 2 2 4" xfId="8361"/>
    <cellStyle name="Calculation 4 3 2 2 4 2" xfId="9926"/>
    <cellStyle name="Calculation 4 3 2 2 5" xfId="9927"/>
    <cellStyle name="Calculation 4 3 2 3" xfId="9929"/>
    <cellStyle name="Calculation 4 3 2 3 2" xfId="9932"/>
    <cellStyle name="Calculation 4 3 2 3 2 2" xfId="9934"/>
    <cellStyle name="Calculation 4 3 2 3 3" xfId="9937"/>
    <cellStyle name="Calculation 4 3 2 3 3 2" xfId="9939"/>
    <cellStyle name="Calculation 4 3 2 3 4" xfId="9940"/>
    <cellStyle name="Calculation 4 3 2 4" xfId="9945"/>
    <cellStyle name="Calculation 4 3 2 4 2" xfId="9950"/>
    <cellStyle name="Calculation 4 3 2 5" xfId="9952"/>
    <cellStyle name="Calculation 4 3 3" xfId="9954"/>
    <cellStyle name="Calculation 4 3 3 2" xfId="9958"/>
    <cellStyle name="Calculation 4 3 3 2 2" xfId="9961"/>
    <cellStyle name="Calculation 4 3 3 3" xfId="9964"/>
    <cellStyle name="Calculation 4 3 3 3 2" xfId="9965"/>
    <cellStyle name="Calculation 4 3 3 4" xfId="9966"/>
    <cellStyle name="Calculation 4 3 3 4 2" xfId="9969"/>
    <cellStyle name="Calculation 4 3 3 5" xfId="9970"/>
    <cellStyle name="Calculation 4 3 4" xfId="9973"/>
    <cellStyle name="Calculation 4 3 4 2" xfId="9977"/>
    <cellStyle name="Calculation 4 3 4 2 2" xfId="9980"/>
    <cellStyle name="Calculation 4 3 4 3" xfId="9982"/>
    <cellStyle name="Calculation 4 3 4 3 2" xfId="9983"/>
    <cellStyle name="Calculation 4 3 4 4" xfId="9985"/>
    <cellStyle name="Calculation 4 3 5" xfId="9987"/>
    <cellStyle name="Calculation 4 3 5 2" xfId="9990"/>
    <cellStyle name="Calculation 4 3 6" xfId="9994"/>
    <cellStyle name="Calculation 4 4" xfId="9998"/>
    <cellStyle name="Calculation 4 4 2" xfId="9999"/>
    <cellStyle name="Calculation 4 4 2 2" xfId="10003"/>
    <cellStyle name="Calculation 4 4 2 2 2" xfId="10005"/>
    <cellStyle name="Calculation 4 4 2 3" xfId="10007"/>
    <cellStyle name="Calculation 4 4 2 3 2" xfId="10009"/>
    <cellStyle name="Calculation 4 4 2 4" xfId="10011"/>
    <cellStyle name="Calculation 4 4 2 4 2" xfId="10014"/>
    <cellStyle name="Calculation 4 4 2 5" xfId="10017"/>
    <cellStyle name="Calculation 4 4 3" xfId="10018"/>
    <cellStyle name="Calculation 4 4 3 2" xfId="10019"/>
    <cellStyle name="Calculation 4 4 3 2 2" xfId="10020"/>
    <cellStyle name="Calculation 4 4 3 3" xfId="10021"/>
    <cellStyle name="Calculation 4 4 3 3 2" xfId="10022"/>
    <cellStyle name="Calculation 4 4 3 4" xfId="10023"/>
    <cellStyle name="Calculation 4 4 4" xfId="10025"/>
    <cellStyle name="Calculation 4 4 4 2" xfId="10026"/>
    <cellStyle name="Calculation 4 4 5" xfId="10028"/>
    <cellStyle name="Calculation 4 5" xfId="10030"/>
    <cellStyle name="Calculation 4 5 2" xfId="10031"/>
    <cellStyle name="Calculation 4 5 2 2" xfId="10033"/>
    <cellStyle name="Calculation 4 5 2 2 2" xfId="10034"/>
    <cellStyle name="Calculation 4 5 2 3" xfId="10035"/>
    <cellStyle name="Calculation 4 5 2 3 2" xfId="10036"/>
    <cellStyle name="Calculation 4 5 2 4" xfId="10037"/>
    <cellStyle name="Calculation 4 5 2 4 2" xfId="10038"/>
    <cellStyle name="Calculation 4 5 2 5" xfId="10040"/>
    <cellStyle name="Calculation 4 5 3" xfId="5628"/>
    <cellStyle name="Calculation 4 5 3 2" xfId="2860"/>
    <cellStyle name="Calculation 4 5 3 2 2" xfId="10041"/>
    <cellStyle name="Calculation 4 5 3 3" xfId="10042"/>
    <cellStyle name="Calculation 4 5 3 3 2" xfId="10043"/>
    <cellStyle name="Calculation 4 5 3 4" xfId="10044"/>
    <cellStyle name="Calculation 4 5 4" xfId="5632"/>
    <cellStyle name="Calculation 4 5 4 2" xfId="927"/>
    <cellStyle name="Calculation 4 5 5" xfId="5636"/>
    <cellStyle name="Calculation 4 6" xfId="10045"/>
    <cellStyle name="Calculation 4 6 2" xfId="10046"/>
    <cellStyle name="Calculation 4 6 2 2" xfId="10047"/>
    <cellStyle name="Calculation 4 6 3" xfId="5648"/>
    <cellStyle name="Calculation 4 6 3 2" xfId="5652"/>
    <cellStyle name="Calculation 4 6 4" xfId="952"/>
    <cellStyle name="Calculation 4 6 4 2" xfId="3620"/>
    <cellStyle name="Calculation 4 6 5" xfId="962"/>
    <cellStyle name="Calculation 4 7" xfId="10049"/>
    <cellStyle name="Calculation 4 7 2" xfId="10051"/>
    <cellStyle name="Calculation 4 7 2 2" xfId="10054"/>
    <cellStyle name="Calculation 4 7 3" xfId="5658"/>
    <cellStyle name="Calculation 4 7 3 2" xfId="10056"/>
    <cellStyle name="Calculation 4 7 4" xfId="10058"/>
    <cellStyle name="Calculation 4 7 4 2" xfId="10060"/>
    <cellStyle name="Calculation 4 7 5" xfId="9796"/>
    <cellStyle name="Calculation 4 8" xfId="10062"/>
    <cellStyle name="Calculation 4 8 2" xfId="10064"/>
    <cellStyle name="Calculation 4 8 2 2" xfId="10066"/>
    <cellStyle name="Calculation 4 8 3" xfId="10067"/>
    <cellStyle name="Calculation 4 8 3 2" xfId="10069"/>
    <cellStyle name="Calculation 4 8 4" xfId="10070"/>
    <cellStyle name="Calculation 4 8 4 2" xfId="10073"/>
    <cellStyle name="Calculation 4 8 5" xfId="9799"/>
    <cellStyle name="Calculation 4 9" xfId="10075"/>
    <cellStyle name="Calculation 4 9 2" xfId="10078"/>
    <cellStyle name="Calculation 4 9 2 2" xfId="10080"/>
    <cellStyle name="Calculation 4 9 3" xfId="10082"/>
    <cellStyle name="Calculation 4 9 3 2" xfId="10084"/>
    <cellStyle name="Calculation 4 9 4" xfId="10087"/>
    <cellStyle name="Calculation 4 9 4 2" xfId="10088"/>
    <cellStyle name="Calculation 4 9 5" xfId="10090"/>
    <cellStyle name="Calculation 5" xfId="10091"/>
    <cellStyle name="Calculation 5 2" xfId="10092"/>
    <cellStyle name="Calculation 5 2 2" xfId="10094"/>
    <cellStyle name="Calculation 5 2 2 2" xfId="10095"/>
    <cellStyle name="Calculation 5 2 2 2 2" xfId="10096"/>
    <cellStyle name="Calculation 5 2 2 2 2 2" xfId="3438"/>
    <cellStyle name="Calculation 5 2 2 2 3" xfId="5833"/>
    <cellStyle name="Calculation 5 2 2 2 3 2" xfId="10099"/>
    <cellStyle name="Calculation 5 2 2 2 4" xfId="10101"/>
    <cellStyle name="Calculation 5 2 2 2 4 2" xfId="10103"/>
    <cellStyle name="Calculation 5 2 2 2 5" xfId="10104"/>
    <cellStyle name="Calculation 5 2 2 3" xfId="10105"/>
    <cellStyle name="Calculation 5 2 2 3 2" xfId="10107"/>
    <cellStyle name="Calculation 5 2 2 3 2 2" xfId="10110"/>
    <cellStyle name="Calculation 5 2 2 3 3" xfId="10111"/>
    <cellStyle name="Calculation 5 2 2 3 3 2" xfId="10115"/>
    <cellStyle name="Calculation 5 2 2 3 4" xfId="10118"/>
    <cellStyle name="Calculation 5 2 2 4" xfId="10119"/>
    <cellStyle name="Calculation 5 2 2 4 2" xfId="10121"/>
    <cellStyle name="Calculation 5 2 2 5" xfId="10122"/>
    <cellStyle name="Calculation 5 2 3" xfId="10124"/>
    <cellStyle name="Calculation 5 2 3 2" xfId="10125"/>
    <cellStyle name="Calculation 5 2 3 2 2" xfId="10126"/>
    <cellStyle name="Calculation 5 2 3 3" xfId="10127"/>
    <cellStyle name="Calculation 5 2 3 3 2" xfId="10128"/>
    <cellStyle name="Calculation 5 2 3 4" xfId="10129"/>
    <cellStyle name="Calculation 5 2 3 4 2" xfId="10130"/>
    <cellStyle name="Calculation 5 2 3 5" xfId="10131"/>
    <cellStyle name="Calculation 5 2 4" xfId="10133"/>
    <cellStyle name="Calculation 5 2 4 2" xfId="10134"/>
    <cellStyle name="Calculation 5 2 4 2 2" xfId="10135"/>
    <cellStyle name="Calculation 5 2 4 3" xfId="10137"/>
    <cellStyle name="Calculation 5 2 4 3 2" xfId="10139"/>
    <cellStyle name="Calculation 5 2 4 4" xfId="10142"/>
    <cellStyle name="Calculation 5 2 5" xfId="10144"/>
    <cellStyle name="Calculation 5 2 5 2" xfId="10146"/>
    <cellStyle name="Calculation 5 2 6" xfId="10148"/>
    <cellStyle name="Calculation 5 3" xfId="10150"/>
    <cellStyle name="Calculation 5 3 2" xfId="10152"/>
    <cellStyle name="Calculation 5 3 2 2" xfId="10153"/>
    <cellStyle name="Calculation 5 3 2 2 2" xfId="10154"/>
    <cellStyle name="Calculation 5 3 2 3" xfId="10155"/>
    <cellStyle name="Calculation 5 3 2 3 2" xfId="10158"/>
    <cellStyle name="Calculation 5 3 2 4" xfId="10159"/>
    <cellStyle name="Calculation 5 3 2 4 2" xfId="10162"/>
    <cellStyle name="Calculation 5 3 2 5" xfId="10163"/>
    <cellStyle name="Calculation 5 3 3" xfId="10165"/>
    <cellStyle name="Calculation 5 3 3 2" xfId="10166"/>
    <cellStyle name="Calculation 5 3 3 2 2" xfId="10167"/>
    <cellStyle name="Calculation 5 3 3 3" xfId="10168"/>
    <cellStyle name="Calculation 5 3 3 3 2" xfId="10169"/>
    <cellStyle name="Calculation 5 3 3 4" xfId="10170"/>
    <cellStyle name="Calculation 5 3 4" xfId="10172"/>
    <cellStyle name="Calculation 5 3 4 2" xfId="10173"/>
    <cellStyle name="Calculation 5 3 5" xfId="10175"/>
    <cellStyle name="Calculation 5 4" xfId="10179"/>
    <cellStyle name="Calculation 5 4 2" xfId="10181"/>
    <cellStyle name="Calculation 5 4 2 2" xfId="10183"/>
    <cellStyle name="Calculation 5 4 2 2 2" xfId="4386"/>
    <cellStyle name="Calculation 5 4 2 3" xfId="10184"/>
    <cellStyle name="Calculation 5 4 2 3 2" xfId="10185"/>
    <cellStyle name="Calculation 5 4 2 4" xfId="10186"/>
    <cellStyle name="Calculation 5 4 2 4 2" xfId="10187"/>
    <cellStyle name="Calculation 5 4 2 5" xfId="10189"/>
    <cellStyle name="Calculation 5 4 3" xfId="10191"/>
    <cellStyle name="Calculation 5 4 3 2" xfId="6371"/>
    <cellStyle name="Calculation 5 4 3 2 2" xfId="10192"/>
    <cellStyle name="Calculation 5 4 3 3" xfId="6807"/>
    <cellStyle name="Calculation 5 4 3 3 2" xfId="10193"/>
    <cellStyle name="Calculation 5 4 3 4" xfId="10194"/>
    <cellStyle name="Calculation 5 4 4" xfId="10196"/>
    <cellStyle name="Calculation 5 4 4 2" xfId="10197"/>
    <cellStyle name="Calculation 5 4 5" xfId="10199"/>
    <cellStyle name="Calculation 5 5" xfId="10201"/>
    <cellStyle name="Calculation 5 5 2" xfId="10204"/>
    <cellStyle name="Calculation 5 5 2 2" xfId="10205"/>
    <cellStyle name="Calculation 5 5 3" xfId="1466"/>
    <cellStyle name="Calculation 5 5 3 2" xfId="5669"/>
    <cellStyle name="Calculation 5 5 4" xfId="1023"/>
    <cellStyle name="Calculation 5 5 4 2" xfId="152"/>
    <cellStyle name="Calculation 5 5 5" xfId="5672"/>
    <cellStyle name="Calculation 5 6" xfId="10207"/>
    <cellStyle name="Calculation 5 6 2" xfId="10209"/>
    <cellStyle name="Calculation 5 6 2 2" xfId="10212"/>
    <cellStyle name="Calculation 5 6 3" xfId="91"/>
    <cellStyle name="Calculation 5 6 3 2" xfId="5679"/>
    <cellStyle name="Calculation 5 6 4" xfId="5682"/>
    <cellStyle name="Calculation 5 7" xfId="10214"/>
    <cellStyle name="Calculation 5 7 2" xfId="10216"/>
    <cellStyle name="Calculation 5 8" xfId="10218"/>
    <cellStyle name="Calculation 5 9" xfId="10220"/>
    <cellStyle name="Calculation 6" xfId="10222"/>
    <cellStyle name="Calculation 6 2" xfId="10223"/>
    <cellStyle name="Calculation 6 2 2" xfId="10224"/>
    <cellStyle name="Calculation 6 2 2 2" xfId="10226"/>
    <cellStyle name="Calculation 6 2 2 2 2" xfId="10229"/>
    <cellStyle name="Calculation 6 2 2 3" xfId="10231"/>
    <cellStyle name="Calculation 6 2 2 3 2" xfId="10235"/>
    <cellStyle name="Calculation 6 2 2 4" xfId="10237"/>
    <cellStyle name="Calculation 6 2 2 4 2" xfId="10240"/>
    <cellStyle name="Calculation 6 2 2 5" xfId="10244"/>
    <cellStyle name="Calculation 6 2 3" xfId="10245"/>
    <cellStyle name="Calculation 6 2 3 2" xfId="10248"/>
    <cellStyle name="Calculation 6 2 3 2 2" xfId="10251"/>
    <cellStyle name="Calculation 6 2 3 3" xfId="10254"/>
    <cellStyle name="Calculation 6 2 3 3 2" xfId="10256"/>
    <cellStyle name="Calculation 6 2 3 4" xfId="10258"/>
    <cellStyle name="Calculation 6 2 4" xfId="10259"/>
    <cellStyle name="Calculation 6 2 4 2" xfId="10261"/>
    <cellStyle name="Calculation 6 2 5" xfId="10262"/>
    <cellStyle name="Calculation 6 3" xfId="10263"/>
    <cellStyle name="Calculation 6 3 2" xfId="10265"/>
    <cellStyle name="Calculation 6 3 2 2" xfId="10266"/>
    <cellStyle name="Calculation 6 3 3" xfId="10268"/>
    <cellStyle name="Calculation 6 3 3 2" xfId="10269"/>
    <cellStyle name="Calculation 6 3 4" xfId="10272"/>
    <cellStyle name="Calculation 6 3 4 2" xfId="10273"/>
    <cellStyle name="Calculation 6 3 5" xfId="10277"/>
    <cellStyle name="Calculation 6 4" xfId="10280"/>
    <cellStyle name="Calculation 6 4 2" xfId="10281"/>
    <cellStyle name="Calculation 6 4 2 2" xfId="10282"/>
    <cellStyle name="Calculation 6 4 3" xfId="10283"/>
    <cellStyle name="Calculation 6 4 3 2" xfId="10285"/>
    <cellStyle name="Calculation 6 4 4" xfId="10286"/>
    <cellStyle name="Calculation 6 5" xfId="10287"/>
    <cellStyle name="Calculation 6 5 2" xfId="10288"/>
    <cellStyle name="Calculation 6 6" xfId="10289"/>
    <cellStyle name="Calculation 7" xfId="10290"/>
    <cellStyle name="Calculation 7 2" xfId="10291"/>
    <cellStyle name="Calculation 7 2 2" xfId="10292"/>
    <cellStyle name="Calculation 7 2 2 2" xfId="10293"/>
    <cellStyle name="Calculation 7 2 2 2 2" xfId="10294"/>
    <cellStyle name="Calculation 7 2 2 3" xfId="10295"/>
    <cellStyle name="Calculation 7 2 2 3 2" xfId="10298"/>
    <cellStyle name="Calculation 7 2 2 4" xfId="10299"/>
    <cellStyle name="Calculation 7 2 2 4 2" xfId="10302"/>
    <cellStyle name="Calculation 7 2 2 5" xfId="10304"/>
    <cellStyle name="Calculation 7 2 3" xfId="10305"/>
    <cellStyle name="Calculation 7 2 3 2" xfId="10307"/>
    <cellStyle name="Calculation 7 2 3 2 2" xfId="10309"/>
    <cellStyle name="Calculation 7 2 3 3" xfId="10311"/>
    <cellStyle name="Calculation 7 2 3 3 2" xfId="10316"/>
    <cellStyle name="Calculation 7 2 3 4" xfId="10319"/>
    <cellStyle name="Calculation 7 2 4" xfId="10320"/>
    <cellStyle name="Calculation 7 2 4 2" xfId="10321"/>
    <cellStyle name="Calculation 7 2 5" xfId="10322"/>
    <cellStyle name="Calculation 7 3" xfId="10323"/>
    <cellStyle name="Calculation 7 3 2" xfId="10324"/>
    <cellStyle name="Calculation 7 3 2 2" xfId="10325"/>
    <cellStyle name="Calculation 7 3 3" xfId="10327"/>
    <cellStyle name="Calculation 7 3 3 2" xfId="10328"/>
    <cellStyle name="Calculation 7 3 4" xfId="10329"/>
    <cellStyle name="Calculation 7 3 4 2" xfId="10330"/>
    <cellStyle name="Calculation 7 3 5" xfId="10331"/>
    <cellStyle name="Calculation 7 4" xfId="10334"/>
    <cellStyle name="Calculation 7 4 2" xfId="10335"/>
    <cellStyle name="Calculation 7 4 2 2" xfId="10336"/>
    <cellStyle name="Calculation 7 4 3" xfId="10337"/>
    <cellStyle name="Calculation 7 4 3 2" xfId="10339"/>
    <cellStyle name="Calculation 7 4 4" xfId="10340"/>
    <cellStyle name="Calculation 7 5" xfId="10341"/>
    <cellStyle name="Calculation 7 5 2" xfId="10342"/>
    <cellStyle name="Calculation 7 6" xfId="10344"/>
    <cellStyle name="Calculation 8" xfId="8591"/>
    <cellStyle name="Calculation 8 2" xfId="10346"/>
    <cellStyle name="Calculation 8 2 2" xfId="10347"/>
    <cellStyle name="Calculation 8 2 2 2" xfId="10348"/>
    <cellStyle name="Calculation 8 2 3" xfId="10349"/>
    <cellStyle name="Calculation 8 2 3 2" xfId="10350"/>
    <cellStyle name="Calculation 8 2 4" xfId="10351"/>
    <cellStyle name="Calculation 8 2 4 2" xfId="10352"/>
    <cellStyle name="Calculation 8 2 5" xfId="10353"/>
    <cellStyle name="Calculation 8 3" xfId="10355"/>
    <cellStyle name="Calculation 8 3 2" xfId="10357"/>
    <cellStyle name="Calculation 8 3 2 2" xfId="10359"/>
    <cellStyle name="Calculation 8 3 3" xfId="10361"/>
    <cellStyle name="Calculation 8 3 3 2" xfId="10363"/>
    <cellStyle name="Calculation 8 3 4" xfId="10365"/>
    <cellStyle name="Calculation 8 4" xfId="10368"/>
    <cellStyle name="Calculation 8 4 2" xfId="10370"/>
    <cellStyle name="Calculation 8 5" xfId="10372"/>
    <cellStyle name="Calculation 9" xfId="10373"/>
    <cellStyle name="Calculation 9 2" xfId="10375"/>
    <cellStyle name="Calculation 9 2 2" xfId="10376"/>
    <cellStyle name="Calculation 9 2 2 2" xfId="10379"/>
    <cellStyle name="Calculation 9 2 3" xfId="10380"/>
    <cellStyle name="Calculation 9 2 3 2" xfId="10382"/>
    <cellStyle name="Calculation 9 2 4" xfId="10383"/>
    <cellStyle name="Calculation 9 2 4 2" xfId="10385"/>
    <cellStyle name="Calculation 9 2 5" xfId="10386"/>
    <cellStyle name="Calculation 9 3" xfId="10388"/>
    <cellStyle name="Calculation 9 3 2" xfId="10389"/>
    <cellStyle name="Calculation 9 3 2 2" xfId="10395"/>
    <cellStyle name="Calculation 9 3 3" xfId="10396"/>
    <cellStyle name="Calculation 9 3 3 2" xfId="10400"/>
    <cellStyle name="Calculation 9 3 4" xfId="10402"/>
    <cellStyle name="Calculation 9 4" xfId="10405"/>
    <cellStyle name="Calculation 9 4 2" xfId="10406"/>
    <cellStyle name="Calculation 9 5" xfId="10411"/>
    <cellStyle name="Check Cell" xfId="10412"/>
    <cellStyle name="Check Cell 2" xfId="10413"/>
    <cellStyle name="ColLevel_0" xfId="10414"/>
    <cellStyle name="Comma_2006 planning" xfId="10416"/>
    <cellStyle name="Explanatory Text" xfId="10418"/>
    <cellStyle name="Good" xfId="10420"/>
    <cellStyle name="Good 2" xfId="10423"/>
    <cellStyle name="Heading 1" xfId="10425"/>
    <cellStyle name="Heading 2" xfId="10428"/>
    <cellStyle name="Heading 3" xfId="10431"/>
    <cellStyle name="Heading 4" xfId="10434"/>
    <cellStyle name="Input" xfId="10435"/>
    <cellStyle name="Input 10" xfId="9480"/>
    <cellStyle name="Input 10 2" xfId="9483"/>
    <cellStyle name="Input 10 2 2" xfId="10438"/>
    <cellStyle name="Input 10 3" xfId="10440"/>
    <cellStyle name="Input 10 3 2" xfId="6070"/>
    <cellStyle name="Input 10 4" xfId="10443"/>
    <cellStyle name="Input 10 4 2" xfId="6135"/>
    <cellStyle name="Input 10 5" xfId="10445"/>
    <cellStyle name="Input 11" xfId="9485"/>
    <cellStyle name="Input 11 2" xfId="9488"/>
    <cellStyle name="Input 11 2 2" xfId="10446"/>
    <cellStyle name="Input 11 3" xfId="10449"/>
    <cellStyle name="Input 11 3 2" xfId="6327"/>
    <cellStyle name="Input 11 4" xfId="10452"/>
    <cellStyle name="Input 11 4 2" xfId="6363"/>
    <cellStyle name="Input 11 5" xfId="10454"/>
    <cellStyle name="Input 12" xfId="9491"/>
    <cellStyle name="Input 12 2" xfId="10456"/>
    <cellStyle name="Input 12 2 2" xfId="10457"/>
    <cellStyle name="Input 12 3" xfId="10458"/>
    <cellStyle name="Input 12 3 2" xfId="3077"/>
    <cellStyle name="Input 12 4" xfId="3505"/>
    <cellStyle name="Input 12 4 2" xfId="3125"/>
    <cellStyle name="Input 12 5" xfId="3508"/>
    <cellStyle name="Input 13" xfId="10460"/>
    <cellStyle name="Input 2" xfId="10462"/>
    <cellStyle name="Input 2 10" xfId="10464"/>
    <cellStyle name="Input 2 10 2" xfId="10466"/>
    <cellStyle name="Input 2 10 2 2" xfId="10468"/>
    <cellStyle name="Input 2 10 3" xfId="10469"/>
    <cellStyle name="Input 2 10 3 2" xfId="10470"/>
    <cellStyle name="Input 2 10 4" xfId="10471"/>
    <cellStyle name="Input 2 10 4 2" xfId="10472"/>
    <cellStyle name="Input 2 10 5" xfId="10473"/>
    <cellStyle name="Input 2 11" xfId="10475"/>
    <cellStyle name="Input 2 2" xfId="4341"/>
    <cellStyle name="Input 2 2 10" xfId="10478"/>
    <cellStyle name="Input 2 2 2" xfId="4344"/>
    <cellStyle name="Input 2 2 2 2" xfId="10479"/>
    <cellStyle name="Input 2 2 2 2 2" xfId="10480"/>
    <cellStyle name="Input 2 2 2 2 2 2" xfId="10481"/>
    <cellStyle name="Input 2 2 2 2 2 2 2" xfId="10482"/>
    <cellStyle name="Input 2 2 2 2 2 3" xfId="10483"/>
    <cellStyle name="Input 2 2 2 2 2 3 2" xfId="10484"/>
    <cellStyle name="Input 2 2 2 2 2 4" xfId="10486"/>
    <cellStyle name="Input 2 2 2 2 2 4 2" xfId="10487"/>
    <cellStyle name="Input 2 2 2 2 2 5" xfId="10488"/>
    <cellStyle name="Input 2 2 2 2 3" xfId="10489"/>
    <cellStyle name="Input 2 2 2 2 3 2" xfId="10490"/>
    <cellStyle name="Input 2 2 2 2 3 2 2" xfId="10491"/>
    <cellStyle name="Input 2 2 2 2 3 3" xfId="10492"/>
    <cellStyle name="Input 2 2 2 2 3 3 2" xfId="10494"/>
    <cellStyle name="Input 2 2 2 2 3 4" xfId="10495"/>
    <cellStyle name="Input 2 2 2 2 4" xfId="10496"/>
    <cellStyle name="Input 2 2 2 2 4 2" xfId="10497"/>
    <cellStyle name="Input 2 2 2 2 5" xfId="10498"/>
    <cellStyle name="Input 2 2 2 3" xfId="10500"/>
    <cellStyle name="Input 2 2 2 3 2" xfId="10501"/>
    <cellStyle name="Input 2 2 2 3 2 2" xfId="10502"/>
    <cellStyle name="Input 2 2 2 3 3" xfId="10503"/>
    <cellStyle name="Input 2 2 2 3 3 2" xfId="10504"/>
    <cellStyle name="Input 2 2 2 3 4" xfId="10505"/>
    <cellStyle name="Input 2 2 2 3 4 2" xfId="10506"/>
    <cellStyle name="Input 2 2 2 3 5" xfId="10507"/>
    <cellStyle name="Input 2 2 2 4" xfId="10508"/>
    <cellStyle name="Input 2 2 2 4 2" xfId="10509"/>
    <cellStyle name="Input 2 2 2 4 2 2" xfId="10510"/>
    <cellStyle name="Input 2 2 2 4 3" xfId="10511"/>
    <cellStyle name="Input 2 2 2 4 3 2" xfId="10512"/>
    <cellStyle name="Input 2 2 2 4 4" xfId="10513"/>
    <cellStyle name="Input 2 2 2 4 4 2" xfId="10514"/>
    <cellStyle name="Input 2 2 2 4 5" xfId="6926"/>
    <cellStyle name="Input 2 2 2 5" xfId="10515"/>
    <cellStyle name="Input 2 2 2 5 2" xfId="10516"/>
    <cellStyle name="Input 2 2 2 5 2 2" xfId="10517"/>
    <cellStyle name="Input 2 2 2 5 3" xfId="10518"/>
    <cellStyle name="Input 2 2 2 5 3 2" xfId="10519"/>
    <cellStyle name="Input 2 2 2 5 4" xfId="10521"/>
    <cellStyle name="Input 2 2 2 6" xfId="10522"/>
    <cellStyle name="Input 2 2 2 6 2" xfId="10524"/>
    <cellStyle name="Input 2 2 2 7" xfId="4998"/>
    <cellStyle name="Input 2 2 3" xfId="10525"/>
    <cellStyle name="Input 2 2 3 2" xfId="10526"/>
    <cellStyle name="Input 2 2 3 2 2" xfId="10528"/>
    <cellStyle name="Input 2 2 3 2 2 2" xfId="10529"/>
    <cellStyle name="Input 2 2 3 2 2 2 2" xfId="10533"/>
    <cellStyle name="Input 2 2 3 2 2 3" xfId="10536"/>
    <cellStyle name="Input 2 2 3 2 2 3 2" xfId="10538"/>
    <cellStyle name="Input 2 2 3 2 2 4" xfId="10541"/>
    <cellStyle name="Input 2 2 3 2 2 4 2" xfId="10544"/>
    <cellStyle name="Input 2 2 3 2 2 5" xfId="10546"/>
    <cellStyle name="Input 2 2 3 2 3" xfId="10548"/>
    <cellStyle name="Input 2 2 3 2 3 2" xfId="10550"/>
    <cellStyle name="Input 2 2 3 2 3 2 2" xfId="10551"/>
    <cellStyle name="Input 2 2 3 2 3 3" xfId="10554"/>
    <cellStyle name="Input 2 2 3 2 3 3 2" xfId="10555"/>
    <cellStyle name="Input 2 2 3 2 3 4" xfId="10558"/>
    <cellStyle name="Input 2 2 3 2 4" xfId="10561"/>
    <cellStyle name="Input 2 2 3 2 4 2" xfId="10562"/>
    <cellStyle name="Input 2 2 3 2 5" xfId="10563"/>
    <cellStyle name="Input 2 2 3 3" xfId="10566"/>
    <cellStyle name="Input 2 2 3 3 2" xfId="10567"/>
    <cellStyle name="Input 2 2 3 3 2 2" xfId="10568"/>
    <cellStyle name="Input 2 2 3 3 3" xfId="10573"/>
    <cellStyle name="Input 2 2 3 3 3 2" xfId="10574"/>
    <cellStyle name="Input 2 2 3 3 4" xfId="10576"/>
    <cellStyle name="Input 2 2 3 3 4 2" xfId="10577"/>
    <cellStyle name="Input 2 2 3 3 5" xfId="10578"/>
    <cellStyle name="Input 2 2 3 4" xfId="10580"/>
    <cellStyle name="Input 2 2 3 4 2" xfId="10581"/>
    <cellStyle name="Input 2 2 3 4 2 2" xfId="10582"/>
    <cellStyle name="Input 2 2 3 4 3" xfId="10584"/>
    <cellStyle name="Input 2 2 3 4 3 2" xfId="10585"/>
    <cellStyle name="Input 2 2 3 4 4" xfId="10588"/>
    <cellStyle name="Input 2 2 3 5" xfId="10589"/>
    <cellStyle name="Input 2 2 3 5 2" xfId="10592"/>
    <cellStyle name="Input 2 2 3 6" xfId="10594"/>
    <cellStyle name="Input 2 2 4" xfId="10595"/>
    <cellStyle name="Input 2 2 4 2" xfId="10596"/>
    <cellStyle name="Input 2 2 4 2 2" xfId="10597"/>
    <cellStyle name="Input 2 2 4 2 2 2" xfId="10598"/>
    <cellStyle name="Input 2 2 4 2 3" xfId="1760"/>
    <cellStyle name="Input 2 2 4 2 3 2" xfId="10599"/>
    <cellStyle name="Input 2 2 4 2 4" xfId="10600"/>
    <cellStyle name="Input 2 2 4 2 4 2" xfId="10601"/>
    <cellStyle name="Input 2 2 4 2 5" xfId="10603"/>
    <cellStyle name="Input 2 2 4 3" xfId="10606"/>
    <cellStyle name="Input 2 2 4 3 2" xfId="10607"/>
    <cellStyle name="Input 2 2 4 3 2 2" xfId="10609"/>
    <cellStyle name="Input 2 2 4 3 3" xfId="1842"/>
    <cellStyle name="Input 2 2 4 3 3 2" xfId="10610"/>
    <cellStyle name="Input 2 2 4 3 4" xfId="10611"/>
    <cellStyle name="Input 2 2 4 4" xfId="10613"/>
    <cellStyle name="Input 2 2 4 4 2" xfId="10614"/>
    <cellStyle name="Input 2 2 4 5" xfId="10615"/>
    <cellStyle name="Input 2 2 5" xfId="10617"/>
    <cellStyle name="Input 2 2 5 2" xfId="10618"/>
    <cellStyle name="Input 2 2 5 2 2" xfId="10619"/>
    <cellStyle name="Input 2 2 5 2 2 2" xfId="10621"/>
    <cellStyle name="Input 2 2 5 2 3" xfId="4391"/>
    <cellStyle name="Input 2 2 5 2 3 2" xfId="10624"/>
    <cellStyle name="Input 2 2 5 2 4" xfId="10161"/>
    <cellStyle name="Input 2 2 5 2 4 2" xfId="10627"/>
    <cellStyle name="Input 2 2 5 2 5" xfId="10630"/>
    <cellStyle name="Input 2 2 5 3" xfId="10633"/>
    <cellStyle name="Input 2 2 5 3 2" xfId="10635"/>
    <cellStyle name="Input 2 2 5 3 2 2" xfId="10638"/>
    <cellStyle name="Input 2 2 5 3 3" xfId="1932"/>
    <cellStyle name="Input 2 2 5 3 3 2" xfId="10643"/>
    <cellStyle name="Input 2 2 5 3 4" xfId="10645"/>
    <cellStyle name="Input 2 2 5 4" xfId="10646"/>
    <cellStyle name="Input 2 2 5 4 2" xfId="10647"/>
    <cellStyle name="Input 2 2 5 5" xfId="9534"/>
    <cellStyle name="Input 2 2 6" xfId="10648"/>
    <cellStyle name="Input 2 2 6 2" xfId="10649"/>
    <cellStyle name="Input 2 2 6 2 2" xfId="10650"/>
    <cellStyle name="Input 2 2 6 3" xfId="10652"/>
    <cellStyle name="Input 2 2 6 3 2" xfId="10653"/>
    <cellStyle name="Input 2 2 6 4" xfId="10654"/>
    <cellStyle name="Input 2 2 6 4 2" xfId="10655"/>
    <cellStyle name="Input 2 2 6 5" xfId="9536"/>
    <cellStyle name="Input 2 2 7" xfId="10656"/>
    <cellStyle name="Input 2 2 7 2" xfId="10657"/>
    <cellStyle name="Input 2 2 7 2 2" xfId="10660"/>
    <cellStyle name="Input 2 2 7 3" xfId="10661"/>
    <cellStyle name="Input 2 2 7 3 2" xfId="10662"/>
    <cellStyle name="Input 2 2 7 4" xfId="10663"/>
    <cellStyle name="Input 2 2 7 4 2" xfId="10664"/>
    <cellStyle name="Input 2 2 7 5" xfId="9539"/>
    <cellStyle name="Input 2 2 8" xfId="10667"/>
    <cellStyle name="Input 2 2 8 2" xfId="10668"/>
    <cellStyle name="Input 2 2 8 2 2" xfId="10669"/>
    <cellStyle name="Input 2 2 8 3" xfId="10671"/>
    <cellStyle name="Input 2 2 8 3 2" xfId="10672"/>
    <cellStyle name="Input 2 2 8 4" xfId="10673"/>
    <cellStyle name="Input 2 2 8 4 2" xfId="10674"/>
    <cellStyle name="Input 2 2 8 5" xfId="10675"/>
    <cellStyle name="Input 2 2 9" xfId="8431"/>
    <cellStyle name="Input 2 2 9 2" xfId="10676"/>
    <cellStyle name="Input 2 2 9 2 2" xfId="10677"/>
    <cellStyle name="Input 2 2 9 3" xfId="10678"/>
    <cellStyle name="Input 2 2 9 3 2" xfId="10679"/>
    <cellStyle name="Input 2 2 9 4" xfId="10681"/>
    <cellStyle name="Input 2 2 9 4 2" xfId="10684"/>
    <cellStyle name="Input 2 2 9 5" xfId="10685"/>
    <cellStyle name="Input 2 3" xfId="4347"/>
    <cellStyle name="Input 2 3 2" xfId="10686"/>
    <cellStyle name="Input 2 3 2 2" xfId="10689"/>
    <cellStyle name="Input 2 3 2 2 2" xfId="4285"/>
    <cellStyle name="Input 2 3 2 2 2 2" xfId="4287"/>
    <cellStyle name="Input 2 3 2 2 2 2 2" xfId="10690"/>
    <cellStyle name="Input 2 3 2 2 2 3" xfId="10077"/>
    <cellStyle name="Input 2 3 2 2 2 3 2" xfId="10079"/>
    <cellStyle name="Input 2 3 2 2 2 4" xfId="10081"/>
    <cellStyle name="Input 2 3 2 2 2 4 2" xfId="10083"/>
    <cellStyle name="Input 2 3 2 2 2 5" xfId="10085"/>
    <cellStyle name="Input 2 3 2 2 3" xfId="4291"/>
    <cellStyle name="Input 2 3 2 2 3 2" xfId="10691"/>
    <cellStyle name="Input 2 3 2 2 3 2 2" xfId="10692"/>
    <cellStyle name="Input 2 3 2 2 3 3" xfId="10695"/>
    <cellStyle name="Input 2 3 2 2 3 3 2" xfId="10697"/>
    <cellStyle name="Input 2 3 2 2 3 4" xfId="10699"/>
    <cellStyle name="Input 2 3 2 2 4" xfId="10700"/>
    <cellStyle name="Input 2 3 2 2 4 2" xfId="10701"/>
    <cellStyle name="Input 2 3 2 2 5" xfId="10702"/>
    <cellStyle name="Input 2 3 2 3" xfId="10703"/>
    <cellStyle name="Input 2 3 2 3 2" xfId="10704"/>
    <cellStyle name="Input 2 3 2 3 2 2" xfId="10705"/>
    <cellStyle name="Input 2 3 2 3 3" xfId="10706"/>
    <cellStyle name="Input 2 3 2 3 3 2" xfId="8746"/>
    <cellStyle name="Input 2 3 2 3 4" xfId="6236"/>
    <cellStyle name="Input 2 3 2 3 4 2" xfId="10707"/>
    <cellStyle name="Input 2 3 2 3 5" xfId="10708"/>
    <cellStyle name="Input 2 3 2 4" xfId="10710"/>
    <cellStyle name="Input 2 3 2 4 2" xfId="10711"/>
    <cellStyle name="Input 2 3 2 4 2 2" xfId="10712"/>
    <cellStyle name="Input 2 3 2 4 3" xfId="10713"/>
    <cellStyle name="Input 2 3 2 4 3 2" xfId="10714"/>
    <cellStyle name="Input 2 3 2 4 4" xfId="6239"/>
    <cellStyle name="Input 2 3 2 5" xfId="10715"/>
    <cellStyle name="Input 2 3 2 5 2" xfId="10716"/>
    <cellStyle name="Input 2 3 2 6" xfId="10717"/>
    <cellStyle name="Input 2 3 3" xfId="10436"/>
    <cellStyle name="Input 2 3 3 2" xfId="10463"/>
    <cellStyle name="Input 2 3 3 2 2" xfId="4342"/>
    <cellStyle name="Input 2 3 3 2 2 2" xfId="4345"/>
    <cellStyle name="Input 2 3 3 2 3" xfId="4348"/>
    <cellStyle name="Input 2 3 3 2 3 2" xfId="10687"/>
    <cellStyle name="Input 2 3 3 2 4" xfId="10719"/>
    <cellStyle name="Input 2 3 3 2 4 2" xfId="10722"/>
    <cellStyle name="Input 2 3 3 2 5" xfId="10725"/>
    <cellStyle name="Input 2 3 3 3" xfId="10727"/>
    <cellStyle name="Input 2 3 3 3 2" xfId="10729"/>
    <cellStyle name="Input 2 3 3 3 2 2" xfId="10731"/>
    <cellStyle name="Input 2 3 3 3 3" xfId="10733"/>
    <cellStyle name="Input 2 3 3 3 3 2" xfId="10735"/>
    <cellStyle name="Input 2 3 3 3 4" xfId="6257"/>
    <cellStyle name="Input 2 3 3 4" xfId="10737"/>
    <cellStyle name="Input 2 3 3 4 2" xfId="10739"/>
    <cellStyle name="Input 2 3 3 5" xfId="10743"/>
    <cellStyle name="Input 2 3 4" xfId="10746"/>
    <cellStyle name="Input 2 3 4 2" xfId="10747"/>
    <cellStyle name="Input 2 3 4 2 2" xfId="10748"/>
    <cellStyle name="Input 2 3 4 2 2 2" xfId="10749"/>
    <cellStyle name="Input 2 3 4 2 3" xfId="10750"/>
    <cellStyle name="Input 2 3 4 2 3 2" xfId="10751"/>
    <cellStyle name="Input 2 3 4 2 4" xfId="10752"/>
    <cellStyle name="Input 2 3 4 2 4 2" xfId="10753"/>
    <cellStyle name="Input 2 3 4 2 5" xfId="8783"/>
    <cellStyle name="Input 2 3 4 3" xfId="10754"/>
    <cellStyle name="Input 2 3 4 3 2" xfId="10755"/>
    <cellStyle name="Input 2 3 4 3 2 2" xfId="10757"/>
    <cellStyle name="Input 2 3 4 3 3" xfId="10758"/>
    <cellStyle name="Input 2 3 4 3 3 2" xfId="10761"/>
    <cellStyle name="Input 2 3 4 3 4" xfId="10762"/>
    <cellStyle name="Input 2 3 4 4" xfId="10763"/>
    <cellStyle name="Input 2 3 4 4 2" xfId="10764"/>
    <cellStyle name="Input 2 3 4 5" xfId="10765"/>
    <cellStyle name="Input 2 3 5" xfId="10768"/>
    <cellStyle name="Input 2 3 5 2" xfId="10769"/>
    <cellStyle name="Input 2 3 5 2 2" xfId="10770"/>
    <cellStyle name="Input 2 3 5 3" xfId="10771"/>
    <cellStyle name="Input 2 3 5 3 2" xfId="10772"/>
    <cellStyle name="Input 2 3 5 4" xfId="10773"/>
    <cellStyle name="Input 2 3 5 4 2" xfId="10774"/>
    <cellStyle name="Input 2 3 5 5" xfId="9547"/>
    <cellStyle name="Input 2 3 6" xfId="10777"/>
    <cellStyle name="Input 2 3 6 2" xfId="10778"/>
    <cellStyle name="Input 2 3 6 2 2" xfId="10779"/>
    <cellStyle name="Input 2 3 6 3" xfId="10780"/>
    <cellStyle name="Input 2 3 6 3 2" xfId="10781"/>
    <cellStyle name="Input 2 3 6 4" xfId="10782"/>
    <cellStyle name="Input 2 3 7" xfId="5185"/>
    <cellStyle name="Input 2 3 7 2" xfId="10783"/>
    <cellStyle name="Input 2 3 8" xfId="10786"/>
    <cellStyle name="Input 2 3 9" xfId="8437"/>
    <cellStyle name="Input 2 4" xfId="10720"/>
    <cellStyle name="Input 2 4 2" xfId="10723"/>
    <cellStyle name="Input 2 4 2 2" xfId="10787"/>
    <cellStyle name="Input 2 4 2 2 2" xfId="10789"/>
    <cellStyle name="Input 2 4 2 2 2 2" xfId="10791"/>
    <cellStyle name="Input 2 4 2 2 3" xfId="10793"/>
    <cellStyle name="Input 2 4 2 2 3 2" xfId="10795"/>
    <cellStyle name="Input 2 4 2 2 4" xfId="10798"/>
    <cellStyle name="Input 2 4 2 2 4 2" xfId="10800"/>
    <cellStyle name="Input 2 4 2 2 5" xfId="10802"/>
    <cellStyle name="Input 2 4 2 3" xfId="10803"/>
    <cellStyle name="Input 2 4 2 3 2" xfId="10805"/>
    <cellStyle name="Input 2 4 2 3 2 2" xfId="10808"/>
    <cellStyle name="Input 2 4 2 3 3" xfId="10810"/>
    <cellStyle name="Input 2 4 2 3 3 2" xfId="10813"/>
    <cellStyle name="Input 2 4 2 3 4" xfId="10816"/>
    <cellStyle name="Input 2 4 2 4" xfId="10817"/>
    <cellStyle name="Input 2 4 2 4 2" xfId="10819"/>
    <cellStyle name="Input 2 4 2 5" xfId="10820"/>
    <cellStyle name="Input 2 4 3" xfId="10822"/>
    <cellStyle name="Input 2 4 3 2" xfId="10824"/>
    <cellStyle name="Input 2 4 3 2 2" xfId="10827"/>
    <cellStyle name="Input 2 4 3 3" xfId="10828"/>
    <cellStyle name="Input 2 4 3 3 2" xfId="10831"/>
    <cellStyle name="Input 2 4 3 4" xfId="10832"/>
    <cellStyle name="Input 2 4 3 4 2" xfId="10834"/>
    <cellStyle name="Input 2 4 3 5" xfId="10835"/>
    <cellStyle name="Input 2 4 4" xfId="10836"/>
    <cellStyle name="Input 2 4 4 2" xfId="10841"/>
    <cellStyle name="Input 2 4 4 2 2" xfId="10844"/>
    <cellStyle name="Input 2 4 4 3" xfId="10845"/>
    <cellStyle name="Input 2 4 4 3 2" xfId="10848"/>
    <cellStyle name="Input 2 4 4 4" xfId="10849"/>
    <cellStyle name="Input 2 4 5" xfId="10850"/>
    <cellStyle name="Input 2 4 5 2" xfId="10854"/>
    <cellStyle name="Input 2 4 6" xfId="10855"/>
    <cellStyle name="Input 2 5" xfId="10726"/>
    <cellStyle name="Input 2 5 2" xfId="10859"/>
    <cellStyle name="Input 2 5 2 2" xfId="6559"/>
    <cellStyle name="Input 2 5 2 2 2" xfId="6561"/>
    <cellStyle name="Input 2 5 2 2 2 2" xfId="317"/>
    <cellStyle name="Input 2 5 2 2 3" xfId="6563"/>
    <cellStyle name="Input 2 5 2 2 3 2" xfId="6565"/>
    <cellStyle name="Input 2 5 2 2 4" xfId="6567"/>
    <cellStyle name="Input 2 5 2 2 4 2" xfId="10860"/>
    <cellStyle name="Input 2 5 2 2 5" xfId="10861"/>
    <cellStyle name="Input 2 5 2 3" xfId="6571"/>
    <cellStyle name="Input 2 5 2 3 2" xfId="6528"/>
    <cellStyle name="Input 2 5 2 3 2 2" xfId="6534"/>
    <cellStyle name="Input 2 5 2 3 3" xfId="6537"/>
    <cellStyle name="Input 2 5 2 3 3 2" xfId="10863"/>
    <cellStyle name="Input 2 5 2 3 4" xfId="10865"/>
    <cellStyle name="Input 2 5 2 4" xfId="5041"/>
    <cellStyle name="Input 2 5 2 4 2" xfId="5976"/>
    <cellStyle name="Input 2 5 2 5" xfId="10867"/>
    <cellStyle name="Input 2 5 3" xfId="10870"/>
    <cellStyle name="Input 2 5 3 2" xfId="6617"/>
    <cellStyle name="Input 2 5 3 2 2" xfId="6619"/>
    <cellStyle name="Input 2 5 3 3" xfId="6622"/>
    <cellStyle name="Input 2 5 3 3 2" xfId="10871"/>
    <cellStyle name="Input 2 5 3 4" xfId="10872"/>
    <cellStyle name="Input 2 5 3 4 2" xfId="10873"/>
    <cellStyle name="Input 2 5 3 5" xfId="10874"/>
    <cellStyle name="Input 2 5 4" xfId="10875"/>
    <cellStyle name="Input 2 5 4 2" xfId="6658"/>
    <cellStyle name="Input 2 5 4 2 2" xfId="2080"/>
    <cellStyle name="Input 2 5 4 3" xfId="2382"/>
    <cellStyle name="Input 2 5 4 3 2" xfId="10876"/>
    <cellStyle name="Input 2 5 4 4" xfId="10877"/>
    <cellStyle name="Input 2 5 5" xfId="10878"/>
    <cellStyle name="Input 2 5 5 2" xfId="6676"/>
    <cellStyle name="Input 2 5 6" xfId="10879"/>
    <cellStyle name="Input 2 6" xfId="10880"/>
    <cellStyle name="Input 2 6 2" xfId="10881"/>
    <cellStyle name="Input 2 6 2 2" xfId="6749"/>
    <cellStyle name="Input 2 6 2 2 2" xfId="10882"/>
    <cellStyle name="Input 2 6 2 3" xfId="10884"/>
    <cellStyle name="Input 2 6 2 3 2" xfId="6580"/>
    <cellStyle name="Input 2 6 2 4" xfId="10885"/>
    <cellStyle name="Input 2 6 2 4 2" xfId="6589"/>
    <cellStyle name="Input 2 6 2 5" xfId="10886"/>
    <cellStyle name="Input 2 6 3" xfId="10889"/>
    <cellStyle name="Input 2 6 3 2" xfId="6785"/>
    <cellStyle name="Input 2 6 3 2 2" xfId="10891"/>
    <cellStyle name="Input 2 6 3 3" xfId="10894"/>
    <cellStyle name="Input 2 6 3 3 2" xfId="10896"/>
    <cellStyle name="Input 2 6 3 4" xfId="10898"/>
    <cellStyle name="Input 2 6 4" xfId="10899"/>
    <cellStyle name="Input 2 6 4 2" xfId="6794"/>
    <cellStyle name="Input 2 6 5" xfId="10900"/>
    <cellStyle name="Input 2 7" xfId="10901"/>
    <cellStyle name="Input 2 7 2" xfId="10902"/>
    <cellStyle name="Input 2 7 2 2" xfId="3922"/>
    <cellStyle name="Input 2 7 2 2 2" xfId="10904"/>
    <cellStyle name="Input 2 7 2 3" xfId="10905"/>
    <cellStyle name="Input 2 7 2 3 2" xfId="6628"/>
    <cellStyle name="Input 2 7 2 4" xfId="10906"/>
    <cellStyle name="Input 2 7 2 4 2" xfId="6636"/>
    <cellStyle name="Input 2 7 2 5" xfId="10907"/>
    <cellStyle name="Input 2 7 3" xfId="3542"/>
    <cellStyle name="Input 2 7 3 2" xfId="6823"/>
    <cellStyle name="Input 2 7 3 2 2" xfId="10909"/>
    <cellStyle name="Input 2 7 3 3" xfId="10911"/>
    <cellStyle name="Input 2 7 3 3 2" xfId="10913"/>
    <cellStyle name="Input 2 7 3 4" xfId="10916"/>
    <cellStyle name="Input 2 7 4" xfId="10917"/>
    <cellStyle name="Input 2 7 4 2" xfId="10921"/>
    <cellStyle name="Input 2 7 5" xfId="10922"/>
    <cellStyle name="Input 2 8" xfId="10923"/>
    <cellStyle name="Input 2 8 2" xfId="10924"/>
    <cellStyle name="Input 2 8 2 2" xfId="6853"/>
    <cellStyle name="Input 2 8 3" xfId="3545"/>
    <cellStyle name="Input 2 8 3 2" xfId="6864"/>
    <cellStyle name="Input 2 8 4" xfId="10928"/>
    <cellStyle name="Input 2 8 4 2" xfId="10932"/>
    <cellStyle name="Input 2 8 5" xfId="10936"/>
    <cellStyle name="Input 2 9" xfId="10937"/>
    <cellStyle name="Input 2 9 2" xfId="10938"/>
    <cellStyle name="Input 2 9 2 2" xfId="6897"/>
    <cellStyle name="Input 2 9 3" xfId="3553"/>
    <cellStyle name="Input 2 9 3 2" xfId="10941"/>
    <cellStyle name="Input 2 9 4" xfId="10944"/>
    <cellStyle name="Input 2 9 4 2" xfId="10948"/>
    <cellStyle name="Input 2 9 5" xfId="10951"/>
    <cellStyle name="Input 3" xfId="10728"/>
    <cellStyle name="Input 3 10" xfId="10952"/>
    <cellStyle name="Input 3 10 2" xfId="10953"/>
    <cellStyle name="Input 3 10 2 2" xfId="10957"/>
    <cellStyle name="Input 3 10 3" xfId="10958"/>
    <cellStyle name="Input 3 10 3 2" xfId="10961"/>
    <cellStyle name="Input 3 10 4" xfId="10963"/>
    <cellStyle name="Input 3 10 4 2" xfId="10966"/>
    <cellStyle name="Input 3 10 5" xfId="10968"/>
    <cellStyle name="Input 3 11" xfId="10969"/>
    <cellStyle name="Input 3 2" xfId="10730"/>
    <cellStyle name="Input 3 2 10" xfId="10971"/>
    <cellStyle name="Input 3 2 2" xfId="10732"/>
    <cellStyle name="Input 3 2 2 2" xfId="10972"/>
    <cellStyle name="Input 3 2 2 2 2" xfId="10975"/>
    <cellStyle name="Input 3 2 2 2 2 2" xfId="10976"/>
    <cellStyle name="Input 3 2 2 2 2 2 2" xfId="10977"/>
    <cellStyle name="Input 3 2 2 2 2 3" xfId="10978"/>
    <cellStyle name="Input 3 2 2 2 2 3 2" xfId="10979"/>
    <cellStyle name="Input 3 2 2 2 2 4" xfId="10982"/>
    <cellStyle name="Input 3 2 2 2 2 4 2" xfId="10983"/>
    <cellStyle name="Input 3 2 2 2 2 5" xfId="10984"/>
    <cellStyle name="Input 3 2 2 2 3" xfId="10986"/>
    <cellStyle name="Input 3 2 2 2 3 2" xfId="10987"/>
    <cellStyle name="Input 3 2 2 2 3 2 2" xfId="10988"/>
    <cellStyle name="Input 3 2 2 2 3 3" xfId="10989"/>
    <cellStyle name="Input 3 2 2 2 3 3 2" xfId="10990"/>
    <cellStyle name="Input 3 2 2 2 3 4" xfId="10993"/>
    <cellStyle name="Input 3 2 2 2 4" xfId="10996"/>
    <cellStyle name="Input 3 2 2 2 4 2" xfId="10998"/>
    <cellStyle name="Input 3 2 2 2 5" xfId="11000"/>
    <cellStyle name="Input 3 2 2 3" xfId="11001"/>
    <cellStyle name="Input 3 2 2 3 2" xfId="11002"/>
    <cellStyle name="Input 3 2 2 3 2 2" xfId="11004"/>
    <cellStyle name="Input 3 2 2 3 3" xfId="11005"/>
    <cellStyle name="Input 3 2 2 3 3 2" xfId="11008"/>
    <cellStyle name="Input 3 2 2 3 4" xfId="11011"/>
    <cellStyle name="Input 3 2 2 3 4 2" xfId="11012"/>
    <cellStyle name="Input 3 2 2 3 5" xfId="11014"/>
    <cellStyle name="Input 3 2 2 4" xfId="11015"/>
    <cellStyle name="Input 3 2 2 4 2" xfId="11016"/>
    <cellStyle name="Input 3 2 2 4 2 2" xfId="11019"/>
    <cellStyle name="Input 3 2 2 4 3" xfId="11020"/>
    <cellStyle name="Input 3 2 2 4 3 2" xfId="11021"/>
    <cellStyle name="Input 3 2 2 4 4" xfId="11024"/>
    <cellStyle name="Input 3 2 2 4 4 2" xfId="11025"/>
    <cellStyle name="Input 3 2 2 4 5" xfId="11027"/>
    <cellStyle name="Input 3 2 2 5" xfId="11028"/>
    <cellStyle name="Input 3 2 2 5 2" xfId="11029"/>
    <cellStyle name="Input 3 2 2 5 2 2" xfId="11030"/>
    <cellStyle name="Input 3 2 2 5 3" xfId="11031"/>
    <cellStyle name="Input 3 2 2 5 3 2" xfId="11032"/>
    <cellStyle name="Input 3 2 2 5 4" xfId="11035"/>
    <cellStyle name="Input 3 2 2 6" xfId="11037"/>
    <cellStyle name="Input 3 2 2 6 2" xfId="11038"/>
    <cellStyle name="Input 3 2 2 7" xfId="5029"/>
    <cellStyle name="Input 3 2 3" xfId="11039"/>
    <cellStyle name="Input 3 2 3 2" xfId="11040"/>
    <cellStyle name="Input 3 2 3 2 2" xfId="11041"/>
    <cellStyle name="Input 3 2 3 2 2 2" xfId="11042"/>
    <cellStyle name="Input 3 2 3 2 2 2 2" xfId="11044"/>
    <cellStyle name="Input 3 2 3 2 2 3" xfId="11045"/>
    <cellStyle name="Input 3 2 3 2 2 3 2" xfId="11046"/>
    <cellStyle name="Input 3 2 3 2 2 4" xfId="11049"/>
    <cellStyle name="Input 3 2 3 2 2 4 2" xfId="11050"/>
    <cellStyle name="Input 3 2 3 2 2 5" xfId="11051"/>
    <cellStyle name="Input 3 2 3 2 3" xfId="11052"/>
    <cellStyle name="Input 3 2 3 2 3 2" xfId="11053"/>
    <cellStyle name="Input 3 2 3 2 3 2 2" xfId="11054"/>
    <cellStyle name="Input 3 2 3 2 3 3" xfId="11055"/>
    <cellStyle name="Input 3 2 3 2 3 3 2" xfId="11056"/>
    <cellStyle name="Input 3 2 3 2 3 4" xfId="11058"/>
    <cellStyle name="Input 3 2 3 2 4" xfId="11059"/>
    <cellStyle name="Input 3 2 3 2 4 2" xfId="11061"/>
    <cellStyle name="Input 3 2 3 2 5" xfId="11063"/>
    <cellStyle name="Input 3 2 3 3" xfId="11065"/>
    <cellStyle name="Input 3 2 3 3 2" xfId="11066"/>
    <cellStyle name="Input 3 2 3 3 2 2" xfId="11067"/>
    <cellStyle name="Input 3 2 3 3 3" xfId="11068"/>
    <cellStyle name="Input 3 2 3 3 3 2" xfId="11070"/>
    <cellStyle name="Input 3 2 3 3 4" xfId="11071"/>
    <cellStyle name="Input 3 2 3 3 4 2" xfId="11073"/>
    <cellStyle name="Input 3 2 3 3 5" xfId="11075"/>
    <cellStyle name="Input 3 2 3 4" xfId="11078"/>
    <cellStyle name="Input 3 2 3 4 2" xfId="11079"/>
    <cellStyle name="Input 3 2 3 4 2 2" xfId="11081"/>
    <cellStyle name="Input 3 2 3 4 3" xfId="11083"/>
    <cellStyle name="Input 3 2 3 4 3 2" xfId="11085"/>
    <cellStyle name="Input 3 2 3 4 4" xfId="11086"/>
    <cellStyle name="Input 3 2 3 5" xfId="11088"/>
    <cellStyle name="Input 3 2 3 5 2" xfId="11090"/>
    <cellStyle name="Input 3 2 3 6" xfId="11092"/>
    <cellStyle name="Input 3 2 4" xfId="11093"/>
    <cellStyle name="Input 3 2 4 2" xfId="11094"/>
    <cellStyle name="Input 3 2 4 2 2" xfId="11095"/>
    <cellStyle name="Input 3 2 4 2 2 2" xfId="11096"/>
    <cellStyle name="Input 3 2 4 2 3" xfId="11097"/>
    <cellStyle name="Input 3 2 4 2 3 2" xfId="11098"/>
    <cellStyle name="Input 3 2 4 2 4" xfId="11100"/>
    <cellStyle name="Input 3 2 4 2 4 2" xfId="11101"/>
    <cellStyle name="Input 3 2 4 2 5" xfId="11103"/>
    <cellStyle name="Input 3 2 4 3" xfId="11104"/>
    <cellStyle name="Input 3 2 4 3 2" xfId="11105"/>
    <cellStyle name="Input 3 2 4 3 2 2" xfId="11106"/>
    <cellStyle name="Input 3 2 4 3 3" xfId="11107"/>
    <cellStyle name="Input 3 2 4 3 3 2" xfId="11109"/>
    <cellStyle name="Input 3 2 4 3 4" xfId="11110"/>
    <cellStyle name="Input 3 2 4 4" xfId="11112"/>
    <cellStyle name="Input 3 2 4 4 2" xfId="11113"/>
    <cellStyle name="Input 3 2 4 5" xfId="11114"/>
    <cellStyle name="Input 3 2 5" xfId="11115"/>
    <cellStyle name="Input 3 2 5 2" xfId="11116"/>
    <cellStyle name="Input 3 2 5 2 2" xfId="11117"/>
    <cellStyle name="Input 3 2 5 2 2 2" xfId="11118"/>
    <cellStyle name="Input 3 2 5 2 3" xfId="11122"/>
    <cellStyle name="Input 3 2 5 2 3 2" xfId="11124"/>
    <cellStyle name="Input 3 2 5 2 4" xfId="11126"/>
    <cellStyle name="Input 3 2 5 2 4 2" xfId="11128"/>
    <cellStyle name="Input 3 2 5 2 5" xfId="11131"/>
    <cellStyle name="Input 3 2 5 3" xfId="11132"/>
    <cellStyle name="Input 3 2 5 3 2" xfId="11133"/>
    <cellStyle name="Input 3 2 5 3 2 2" xfId="11135"/>
    <cellStyle name="Input 3 2 5 3 3" xfId="11137"/>
    <cellStyle name="Input 3 2 5 3 3 2" xfId="1857"/>
    <cellStyle name="Input 3 2 5 3 4" xfId="11138"/>
    <cellStyle name="Input 3 2 5 4" xfId="11139"/>
    <cellStyle name="Input 3 2 5 4 2" xfId="11140"/>
    <cellStyle name="Input 3 2 5 5" xfId="9670"/>
    <cellStyle name="Input 3 2 6" xfId="11141"/>
    <cellStyle name="Input 3 2 6 2" xfId="11142"/>
    <cellStyle name="Input 3 2 6 2 2" xfId="11144"/>
    <cellStyle name="Input 3 2 6 3" xfId="11145"/>
    <cellStyle name="Input 3 2 6 3 2" xfId="11147"/>
    <cellStyle name="Input 3 2 6 4" xfId="11148"/>
    <cellStyle name="Input 3 2 6 4 2" xfId="11151"/>
    <cellStyle name="Input 3 2 6 5" xfId="9673"/>
    <cellStyle name="Input 3 2 7" xfId="11152"/>
    <cellStyle name="Input 3 2 7 2" xfId="11154"/>
    <cellStyle name="Input 3 2 7 2 2" xfId="11156"/>
    <cellStyle name="Input 3 2 7 3" xfId="11157"/>
    <cellStyle name="Input 3 2 7 3 2" xfId="11158"/>
    <cellStyle name="Input 3 2 7 4" xfId="11159"/>
    <cellStyle name="Input 3 2 7 4 2" xfId="11160"/>
    <cellStyle name="Input 3 2 7 5" xfId="11161"/>
    <cellStyle name="Input 3 2 8" xfId="11163"/>
    <cellStyle name="Input 3 2 8 2" xfId="11165"/>
    <cellStyle name="Input 3 2 8 2 2" xfId="11167"/>
    <cellStyle name="Input 3 2 8 3" xfId="11168"/>
    <cellStyle name="Input 3 2 8 3 2" xfId="11169"/>
    <cellStyle name="Input 3 2 8 4" xfId="11170"/>
    <cellStyle name="Input 3 2 8 4 2" xfId="11171"/>
    <cellStyle name="Input 3 2 8 5" xfId="11172"/>
    <cellStyle name="Input 3 2 9" xfId="11174"/>
    <cellStyle name="Input 3 2 9 2" xfId="11176"/>
    <cellStyle name="Input 3 2 9 2 2" xfId="11178"/>
    <cellStyle name="Input 3 2 9 3" xfId="11180"/>
    <cellStyle name="Input 3 2 9 3 2" xfId="11182"/>
    <cellStyle name="Input 3 2 9 4" xfId="11183"/>
    <cellStyle name="Input 3 2 9 4 2" xfId="11184"/>
    <cellStyle name="Input 3 2 9 5" xfId="11185"/>
    <cellStyle name="Input 3 3" xfId="10734"/>
    <cellStyle name="Input 3 3 2" xfId="10736"/>
    <cellStyle name="Input 3 3 2 2" xfId="11186"/>
    <cellStyle name="Input 3 3 2 2 2" xfId="11187"/>
    <cellStyle name="Input 3 3 2 2 2 2" xfId="11188"/>
    <cellStyle name="Input 3 3 2 2 2 2 2" xfId="11191"/>
    <cellStyle name="Input 3 3 2 2 2 3" xfId="11193"/>
    <cellStyle name="Input 3 3 2 2 2 3 2" xfId="11195"/>
    <cellStyle name="Input 3 3 2 2 2 4" xfId="11198"/>
    <cellStyle name="Input 3 3 2 2 2 4 2" xfId="11200"/>
    <cellStyle name="Input 3 3 2 2 2 5" xfId="11202"/>
    <cellStyle name="Input 3 3 2 2 3" xfId="11204"/>
    <cellStyle name="Input 3 3 2 2 3 2" xfId="11205"/>
    <cellStyle name="Input 3 3 2 2 3 2 2" xfId="11207"/>
    <cellStyle name="Input 3 3 2 2 3 3" xfId="11209"/>
    <cellStyle name="Input 3 3 2 2 3 3 2" xfId="11211"/>
    <cellStyle name="Input 3 3 2 2 3 4" xfId="11214"/>
    <cellStyle name="Input 3 3 2 2 4" xfId="11218"/>
    <cellStyle name="Input 3 3 2 2 4 2" xfId="11219"/>
    <cellStyle name="Input 3 3 2 2 5" xfId="11221"/>
    <cellStyle name="Input 3 3 2 3" xfId="11222"/>
    <cellStyle name="Input 3 3 2 3 2" xfId="11224"/>
    <cellStyle name="Input 3 3 2 3 2 2" xfId="11225"/>
    <cellStyle name="Input 3 3 2 3 3" xfId="11229"/>
    <cellStyle name="Input 3 3 2 3 3 2" xfId="11230"/>
    <cellStyle name="Input 3 3 2 3 4" xfId="7294"/>
    <cellStyle name="Input 3 3 2 3 4 2" xfId="11231"/>
    <cellStyle name="Input 3 3 2 3 5" xfId="11233"/>
    <cellStyle name="Input 3 3 2 4" xfId="11235"/>
    <cellStyle name="Input 3 3 2 4 2" xfId="11236"/>
    <cellStyle name="Input 3 3 2 4 2 2" xfId="11238"/>
    <cellStyle name="Input 3 3 2 4 3" xfId="11239"/>
    <cellStyle name="Input 3 3 2 4 3 2" xfId="11241"/>
    <cellStyle name="Input 3 3 2 4 4" xfId="7303"/>
    <cellStyle name="Input 3 3 2 5" xfId="11243"/>
    <cellStyle name="Input 3 3 2 5 2" xfId="11246"/>
    <cellStyle name="Input 3 3 2 6" xfId="11248"/>
    <cellStyle name="Input 3 3 3" xfId="11249"/>
    <cellStyle name="Input 3 3 3 2" xfId="11250"/>
    <cellStyle name="Input 3 3 3 2 2" xfId="11251"/>
    <cellStyle name="Input 3 3 3 2 2 2" xfId="11252"/>
    <cellStyle name="Input 3 3 3 2 3" xfId="11253"/>
    <cellStyle name="Input 3 3 3 2 3 2" xfId="11255"/>
    <cellStyle name="Input 3 3 3 2 4" xfId="11256"/>
    <cellStyle name="Input 3 3 3 2 4 2" xfId="11257"/>
    <cellStyle name="Input 3 3 3 2 5" xfId="11258"/>
    <cellStyle name="Input 3 3 3 3" xfId="11261"/>
    <cellStyle name="Input 3 3 3 3 2" xfId="11264"/>
    <cellStyle name="Input 3 3 3 3 2 2" xfId="11265"/>
    <cellStyle name="Input 3 3 3 3 3" xfId="11267"/>
    <cellStyle name="Input 3 3 3 3 3 2" xfId="11268"/>
    <cellStyle name="Input 3 3 3 3 4" xfId="7322"/>
    <cellStyle name="Input 3 3 3 4" xfId="11271"/>
    <cellStyle name="Input 3 3 3 4 2" xfId="11273"/>
    <cellStyle name="Input 3 3 3 5" xfId="11276"/>
    <cellStyle name="Input 3 3 4" xfId="11277"/>
    <cellStyle name="Input 3 3 4 2" xfId="11278"/>
    <cellStyle name="Input 3 3 4 2 2" xfId="11279"/>
    <cellStyle name="Input 3 3 4 2 2 2" xfId="11280"/>
    <cellStyle name="Input 3 3 4 2 3" xfId="11281"/>
    <cellStyle name="Input 3 3 4 2 3 2" xfId="11282"/>
    <cellStyle name="Input 3 3 4 2 4" xfId="11283"/>
    <cellStyle name="Input 3 3 4 2 4 2" xfId="11284"/>
    <cellStyle name="Input 3 3 4 2 5" xfId="11285"/>
    <cellStyle name="Input 3 3 4 3" xfId="11286"/>
    <cellStyle name="Input 3 3 4 3 2" xfId="11287"/>
    <cellStyle name="Input 3 3 4 3 2 2" xfId="11288"/>
    <cellStyle name="Input 3 3 4 3 3" xfId="11289"/>
    <cellStyle name="Input 3 3 4 3 3 2" xfId="11290"/>
    <cellStyle name="Input 3 3 4 3 4" xfId="11291"/>
    <cellStyle name="Input 3 3 4 4" xfId="11293"/>
    <cellStyle name="Input 3 3 4 4 2" xfId="11295"/>
    <cellStyle name="Input 3 3 4 5" xfId="11297"/>
    <cellStyle name="Input 3 3 5" xfId="11298"/>
    <cellStyle name="Input 3 3 5 2" xfId="11300"/>
    <cellStyle name="Input 3 3 5 2 2" xfId="11301"/>
    <cellStyle name="Input 3 3 5 3" xfId="11302"/>
    <cellStyle name="Input 3 3 5 3 2" xfId="11303"/>
    <cellStyle name="Input 3 3 5 4" xfId="11304"/>
    <cellStyle name="Input 3 3 5 4 2" xfId="11305"/>
    <cellStyle name="Input 3 3 5 5" xfId="11306"/>
    <cellStyle name="Input 3 3 6" xfId="11307"/>
    <cellStyle name="Input 3 3 6 2" xfId="11308"/>
    <cellStyle name="Input 3 3 6 2 2" xfId="11310"/>
    <cellStyle name="Input 3 3 6 3" xfId="11311"/>
    <cellStyle name="Input 3 3 6 3 2" xfId="11315"/>
    <cellStyle name="Input 3 3 6 4" xfId="271"/>
    <cellStyle name="Input 3 3 7" xfId="5204"/>
    <cellStyle name="Input 3 3 7 2" xfId="11316"/>
    <cellStyle name="Input 3 3 8" xfId="11317"/>
    <cellStyle name="Input 3 3 9" xfId="11318"/>
    <cellStyle name="Input 3 4" xfId="6258"/>
    <cellStyle name="Input 3 4 2" xfId="11319"/>
    <cellStyle name="Input 3 4 2 2" xfId="11320"/>
    <cellStyle name="Input 3 4 2 2 2" xfId="11321"/>
    <cellStyle name="Input 3 4 2 2 2 2" xfId="11322"/>
    <cellStyle name="Input 3 4 2 2 3" xfId="11324"/>
    <cellStyle name="Input 3 4 2 2 3 2" xfId="11325"/>
    <cellStyle name="Input 3 4 2 2 4" xfId="11326"/>
    <cellStyle name="Input 3 4 2 2 4 2" xfId="11327"/>
    <cellStyle name="Input 3 4 2 2 5" xfId="11329"/>
    <cellStyle name="Input 3 4 2 3" xfId="11331"/>
    <cellStyle name="Input 3 4 2 3 2" xfId="11332"/>
    <cellStyle name="Input 3 4 2 3 2 2" xfId="11334"/>
    <cellStyle name="Input 3 4 2 3 3" xfId="11335"/>
    <cellStyle name="Input 3 4 2 3 3 2" xfId="11336"/>
    <cellStyle name="Input 3 4 2 3 4" xfId="11337"/>
    <cellStyle name="Input 3 4 2 4" xfId="11340"/>
    <cellStyle name="Input 3 4 2 4 2" xfId="11341"/>
    <cellStyle name="Input 3 4 2 5" xfId="11342"/>
    <cellStyle name="Input 3 4 3" xfId="11347"/>
    <cellStyle name="Input 3 4 3 2" xfId="11350"/>
    <cellStyle name="Input 3 4 3 2 2" xfId="11353"/>
    <cellStyle name="Input 3 4 3 3" xfId="11356"/>
    <cellStyle name="Input 3 4 3 3 2" xfId="11358"/>
    <cellStyle name="Input 3 4 3 4" xfId="11361"/>
    <cellStyle name="Input 3 4 3 4 2" xfId="11362"/>
    <cellStyle name="Input 3 4 3 5" xfId="11363"/>
    <cellStyle name="Input 3 4 4" xfId="11366"/>
    <cellStyle name="Input 3 4 4 2" xfId="11367"/>
    <cellStyle name="Input 3 4 4 2 2" xfId="11368"/>
    <cellStyle name="Input 3 4 4 3" xfId="11371"/>
    <cellStyle name="Input 3 4 4 3 2" xfId="11376"/>
    <cellStyle name="Input 3 4 4 4" xfId="11379"/>
    <cellStyle name="Input 3 4 5" xfId="11380"/>
    <cellStyle name="Input 3 4 5 2" xfId="11381"/>
    <cellStyle name="Input 3 4 6" xfId="11382"/>
    <cellStyle name="Input 3 5" xfId="11384"/>
    <cellStyle name="Input 3 5 2" xfId="11385"/>
    <cellStyle name="Input 3 5 2 2" xfId="2304"/>
    <cellStyle name="Input 3 5 2 2 2" xfId="2311"/>
    <cellStyle name="Input 3 5 2 2 2 2" xfId="2316"/>
    <cellStyle name="Input 3 5 2 2 3" xfId="2319"/>
    <cellStyle name="Input 3 5 2 2 3 2" xfId="2326"/>
    <cellStyle name="Input 3 5 2 2 4" xfId="2329"/>
    <cellStyle name="Input 3 5 2 2 4 2" xfId="11388"/>
    <cellStyle name="Input 3 5 2 2 5" xfId="11389"/>
    <cellStyle name="Input 3 5 2 3" xfId="2345"/>
    <cellStyle name="Input 3 5 2 3 2" xfId="2351"/>
    <cellStyle name="Input 3 5 2 3 2 2" xfId="11391"/>
    <cellStyle name="Input 3 5 2 3 3" xfId="11392"/>
    <cellStyle name="Input 3 5 2 3 3 2" xfId="11395"/>
    <cellStyle name="Input 3 5 2 3 4" xfId="11397"/>
    <cellStyle name="Input 3 5 2 4" xfId="2366"/>
    <cellStyle name="Input 3 5 2 4 2" xfId="11398"/>
    <cellStyle name="Input 3 5 2 5" xfId="11400"/>
    <cellStyle name="Input 3 5 3" xfId="11402"/>
    <cellStyle name="Input 3 5 3 2" xfId="2422"/>
    <cellStyle name="Input 3 5 3 2 2" xfId="2425"/>
    <cellStyle name="Input 3 5 3 3" xfId="2444"/>
    <cellStyle name="Input 3 5 3 3 2" xfId="11404"/>
    <cellStyle name="Input 3 5 3 4" xfId="11405"/>
    <cellStyle name="Input 3 5 3 4 2" xfId="11406"/>
    <cellStyle name="Input 3 5 3 5" xfId="11407"/>
    <cellStyle name="Input 3 5 4" xfId="11408"/>
    <cellStyle name="Input 3 5 4 2" xfId="2521"/>
    <cellStyle name="Input 3 5 4 2 2" xfId="2526"/>
    <cellStyle name="Input 3 5 4 3" xfId="2546"/>
    <cellStyle name="Input 3 5 4 3 2" xfId="11409"/>
    <cellStyle name="Input 3 5 4 4" xfId="8080"/>
    <cellStyle name="Input 3 5 5" xfId="11410"/>
    <cellStyle name="Input 3 5 5 2" xfId="2577"/>
    <cellStyle name="Input 3 5 6" xfId="11411"/>
    <cellStyle name="Input 3 6" xfId="11413"/>
    <cellStyle name="Input 3 6 2" xfId="11415"/>
    <cellStyle name="Input 3 6 2 2" xfId="4896"/>
    <cellStyle name="Input 3 6 2 2 2" xfId="11416"/>
    <cellStyle name="Input 3 6 2 3" xfId="11417"/>
    <cellStyle name="Input 3 6 2 3 2" xfId="11419"/>
    <cellStyle name="Input 3 6 2 4" xfId="11420"/>
    <cellStyle name="Input 3 6 2 4 2" xfId="11421"/>
    <cellStyle name="Input 3 6 2 5" xfId="11423"/>
    <cellStyle name="Input 3 6 3" xfId="11427"/>
    <cellStyle name="Input 3 6 3 2" xfId="7099"/>
    <cellStyle name="Input 3 6 3 2 2" xfId="11430"/>
    <cellStyle name="Input 3 6 3 3" xfId="11433"/>
    <cellStyle name="Input 3 6 3 3 2" xfId="11436"/>
    <cellStyle name="Input 3 6 3 4" xfId="11439"/>
    <cellStyle name="Input 3 6 4" xfId="11441"/>
    <cellStyle name="Input 3 6 4 2" xfId="7113"/>
    <cellStyle name="Input 3 6 5" xfId="11443"/>
    <cellStyle name="Input 3 7" xfId="11444"/>
    <cellStyle name="Input 3 7 2" xfId="11445"/>
    <cellStyle name="Input 3 7 2 2" xfId="5324"/>
    <cellStyle name="Input 3 7 2 2 2" xfId="11447"/>
    <cellStyle name="Input 3 7 2 3" xfId="11448"/>
    <cellStyle name="Input 3 7 2 3 2" xfId="11450"/>
    <cellStyle name="Input 3 7 2 4" xfId="11451"/>
    <cellStyle name="Input 3 7 2 4 2" xfId="11452"/>
    <cellStyle name="Input 3 7 2 5" xfId="11455"/>
    <cellStyle name="Input 3 7 3" xfId="3565"/>
    <cellStyle name="Input 3 7 3 2" xfId="5409"/>
    <cellStyle name="Input 3 7 3 2 2" xfId="11458"/>
    <cellStyle name="Input 3 7 3 3" xfId="11459"/>
    <cellStyle name="Input 3 7 3 3 2" xfId="11463"/>
    <cellStyle name="Input 3 7 3 4" xfId="11465"/>
    <cellStyle name="Input 3 7 4" xfId="11466"/>
    <cellStyle name="Input 3 7 4 2" xfId="11468"/>
    <cellStyle name="Input 3 7 5" xfId="11469"/>
    <cellStyle name="Input 3 8" xfId="11470"/>
    <cellStyle name="Input 3 8 2" xfId="11471"/>
    <cellStyle name="Input 3 8 2 2" xfId="5342"/>
    <cellStyle name="Input 3 8 3" xfId="3575"/>
    <cellStyle name="Input 3 8 3 2" xfId="7187"/>
    <cellStyle name="Input 3 8 4" xfId="11474"/>
    <cellStyle name="Input 3 8 4 2" xfId="11477"/>
    <cellStyle name="Input 3 8 5" xfId="11481"/>
    <cellStyle name="Input 3 9" xfId="11482"/>
    <cellStyle name="Input 3 9 2" xfId="11483"/>
    <cellStyle name="Input 3 9 2 2" xfId="5356"/>
    <cellStyle name="Input 3 9 3" xfId="11485"/>
    <cellStyle name="Input 3 9 3 2" xfId="11488"/>
    <cellStyle name="Input 3 9 4" xfId="11492"/>
    <cellStyle name="Input 3 9 4 2" xfId="11496"/>
    <cellStyle name="Input 3 9 5" xfId="11500"/>
    <cellStyle name="Input 4" xfId="10738"/>
    <cellStyle name="Input 4 10" xfId="11502"/>
    <cellStyle name="Input 4 2" xfId="10740"/>
    <cellStyle name="Input 4 2 2" xfId="11505"/>
    <cellStyle name="Input 4 2 2 2" xfId="11506"/>
    <cellStyle name="Input 4 2 2 2 2" xfId="9199"/>
    <cellStyle name="Input 4 2 2 2 2 2" xfId="11507"/>
    <cellStyle name="Input 4 2 2 2 3" xfId="11508"/>
    <cellStyle name="Input 4 2 2 2 3 2" xfId="11509"/>
    <cellStyle name="Input 4 2 2 2 4" xfId="11511"/>
    <cellStyle name="Input 4 2 2 2 4 2" xfId="11512"/>
    <cellStyle name="Input 4 2 2 2 5" xfId="11514"/>
    <cellStyle name="Input 4 2 2 3" xfId="11515"/>
    <cellStyle name="Input 4 2 2 3 2" xfId="9212"/>
    <cellStyle name="Input 4 2 2 3 2 2" xfId="11516"/>
    <cellStyle name="Input 4 2 2 3 3" xfId="11518"/>
    <cellStyle name="Input 4 2 2 3 3 2" xfId="11519"/>
    <cellStyle name="Input 4 2 2 3 4" xfId="11521"/>
    <cellStyle name="Input 4 2 2 4" xfId="11524"/>
    <cellStyle name="Input 4 2 2 4 2" xfId="11525"/>
    <cellStyle name="Input 4 2 2 5" xfId="11528"/>
    <cellStyle name="Input 4 2 3" xfId="11531"/>
    <cellStyle name="Input 4 2 3 2" xfId="11532"/>
    <cellStyle name="Input 4 2 3 2 2" xfId="9265"/>
    <cellStyle name="Input 4 2 3 3" xfId="11533"/>
    <cellStyle name="Input 4 2 3 3 2" xfId="5531"/>
    <cellStyle name="Input 4 2 3 4" xfId="11536"/>
    <cellStyle name="Input 4 2 3 4 2" xfId="11537"/>
    <cellStyle name="Input 4 2 3 5" xfId="11540"/>
    <cellStyle name="Input 4 2 4" xfId="11543"/>
    <cellStyle name="Input 4 2 4 2" xfId="11544"/>
    <cellStyle name="Input 4 2 4 2 2" xfId="9284"/>
    <cellStyle name="Input 4 2 4 3" xfId="11545"/>
    <cellStyle name="Input 4 2 4 3 2" xfId="11547"/>
    <cellStyle name="Input 4 2 4 4" xfId="11548"/>
    <cellStyle name="Input 4 2 4 4 2" xfId="11550"/>
    <cellStyle name="Input 4 2 4 5" xfId="11551"/>
    <cellStyle name="Input 4 2 5" xfId="11555"/>
    <cellStyle name="Input 4 2 5 2" xfId="11556"/>
    <cellStyle name="Input 4 2 5 2 2" xfId="9307"/>
    <cellStyle name="Input 4 2 5 3" xfId="11557"/>
    <cellStyle name="Input 4 2 5 3 2" xfId="11558"/>
    <cellStyle name="Input 4 2 5 4" xfId="11559"/>
    <cellStyle name="Input 4 2 6" xfId="11561"/>
    <cellStyle name="Input 4 2 6 2" xfId="11562"/>
    <cellStyle name="Input 4 2 7" xfId="11564"/>
    <cellStyle name="Input 4 3" xfId="11565"/>
    <cellStyle name="Input 4 3 2" xfId="11567"/>
    <cellStyle name="Input 4 3 2 2" xfId="11568"/>
    <cellStyle name="Input 4 3 2 2 2" xfId="9720"/>
    <cellStyle name="Input 4 3 2 2 2 2" xfId="11569"/>
    <cellStyle name="Input 4 3 2 2 3" xfId="11573"/>
    <cellStyle name="Input 4 3 2 2 3 2" xfId="11574"/>
    <cellStyle name="Input 4 3 2 2 4" xfId="11579"/>
    <cellStyle name="Input 4 3 2 2 4 2" xfId="11581"/>
    <cellStyle name="Input 4 3 2 2 5" xfId="11584"/>
    <cellStyle name="Input 4 3 2 3" xfId="11585"/>
    <cellStyle name="Input 4 3 2 3 2" xfId="9729"/>
    <cellStyle name="Input 4 3 2 3 2 2" xfId="5383"/>
    <cellStyle name="Input 4 3 2 3 3" xfId="11586"/>
    <cellStyle name="Input 4 3 2 3 3 2" xfId="11587"/>
    <cellStyle name="Input 4 3 2 3 4" xfId="7372"/>
    <cellStyle name="Input 4 3 2 4" xfId="11589"/>
    <cellStyle name="Input 4 3 2 4 2" xfId="11590"/>
    <cellStyle name="Input 4 3 2 5" xfId="11593"/>
    <cellStyle name="Input 4 3 3" xfId="11594"/>
    <cellStyle name="Input 4 3 3 2" xfId="11595"/>
    <cellStyle name="Input 4 3 3 2 2" xfId="9785"/>
    <cellStyle name="Input 4 3 3 3" xfId="11597"/>
    <cellStyle name="Input 4 3 3 3 2" xfId="5574"/>
    <cellStyle name="Input 4 3 3 4" xfId="11599"/>
    <cellStyle name="Input 4 3 3 4 2" xfId="11600"/>
    <cellStyle name="Input 4 3 3 5" xfId="11602"/>
    <cellStyle name="Input 4 3 4" xfId="11603"/>
    <cellStyle name="Input 4 3 4 2" xfId="11604"/>
    <cellStyle name="Input 4 3 4 2 2" xfId="9802"/>
    <cellStyle name="Input 4 3 4 3" xfId="11606"/>
    <cellStyle name="Input 4 3 4 3 2" xfId="11607"/>
    <cellStyle name="Input 4 3 4 4" xfId="11608"/>
    <cellStyle name="Input 4 3 5" xfId="11609"/>
    <cellStyle name="Input 4 3 5 2" xfId="11610"/>
    <cellStyle name="Input 4 3 6" xfId="11611"/>
    <cellStyle name="Input 4 4" xfId="6270"/>
    <cellStyle name="Input 4 4 2" xfId="11613"/>
    <cellStyle name="Input 4 4 2 2" xfId="11614"/>
    <cellStyle name="Input 4 4 2 2 2" xfId="10016"/>
    <cellStyle name="Input 4 4 2 3" xfId="11616"/>
    <cellStyle name="Input 4 4 2 3 2" xfId="11618"/>
    <cellStyle name="Input 4 4 2 4" xfId="11621"/>
    <cellStyle name="Input 4 4 2 4 2" xfId="11622"/>
    <cellStyle name="Input 4 4 2 5" xfId="11625"/>
    <cellStyle name="Input 4 4 3" xfId="11626"/>
    <cellStyle name="Input 4 4 3 2" xfId="11627"/>
    <cellStyle name="Input 4 4 3 2 2" xfId="10039"/>
    <cellStyle name="Input 4 4 3 3" xfId="11629"/>
    <cellStyle name="Input 4 4 3 3 2" xfId="11632"/>
    <cellStyle name="Input 4 4 3 4" xfId="8849"/>
    <cellStyle name="Input 4 4 4" xfId="11633"/>
    <cellStyle name="Input 4 4 4 2" xfId="11634"/>
    <cellStyle name="Input 4 4 5" xfId="11636"/>
    <cellStyle name="Input 4 5" xfId="11637"/>
    <cellStyle name="Input 4 5 2" xfId="11638"/>
    <cellStyle name="Input 4 5 2 2" xfId="5300"/>
    <cellStyle name="Input 4 5 2 2 2" xfId="10188"/>
    <cellStyle name="Input 4 5 2 3" xfId="11640"/>
    <cellStyle name="Input 4 5 2 3 2" xfId="11641"/>
    <cellStyle name="Input 4 5 2 4" xfId="11643"/>
    <cellStyle name="Input 4 5 2 4 2" xfId="11644"/>
    <cellStyle name="Input 4 5 2 5" xfId="11646"/>
    <cellStyle name="Input 4 5 3" xfId="11647"/>
    <cellStyle name="Input 4 5 3 2" xfId="5306"/>
    <cellStyle name="Input 4 5 3 2 2" xfId="11648"/>
    <cellStyle name="Input 4 5 3 3" xfId="11651"/>
    <cellStyle name="Input 4 5 3 3 2" xfId="11652"/>
    <cellStyle name="Input 4 5 3 4" xfId="9056"/>
    <cellStyle name="Input 4 5 4" xfId="11654"/>
    <cellStyle name="Input 4 5 4 2" xfId="1824"/>
    <cellStyle name="Input 4 5 5" xfId="11656"/>
    <cellStyle name="Input 4 6" xfId="11658"/>
    <cellStyle name="Input 4 6 2" xfId="11662"/>
    <cellStyle name="Input 4 6 2 2" xfId="7334"/>
    <cellStyle name="Input 4 6 3" xfId="11666"/>
    <cellStyle name="Input 4 6 3 2" xfId="7349"/>
    <cellStyle name="Input 4 6 4" xfId="11670"/>
    <cellStyle name="Input 4 6 4 2" xfId="11674"/>
    <cellStyle name="Input 4 6 5" xfId="11677"/>
    <cellStyle name="Input 4 7" xfId="11679"/>
    <cellStyle name="Input 4 7 2" xfId="11682"/>
    <cellStyle name="Input 4 7 2 2" xfId="7407"/>
    <cellStyle name="Input 4 7 3" xfId="11685"/>
    <cellStyle name="Input 4 7 3 2" xfId="7425"/>
    <cellStyle name="Input 4 7 4" xfId="11688"/>
    <cellStyle name="Input 4 7 4 2" xfId="11690"/>
    <cellStyle name="Input 4 7 5" xfId="11692"/>
    <cellStyle name="Input 4 8" xfId="11696"/>
    <cellStyle name="Input 4 8 2" xfId="11698"/>
    <cellStyle name="Input 4 8 2 2" xfId="7458"/>
    <cellStyle name="Input 4 8 3" xfId="11702"/>
    <cellStyle name="Input 4 8 3 2" xfId="11703"/>
    <cellStyle name="Input 4 8 4" xfId="11712"/>
    <cellStyle name="Input 4 8 4 2" xfId="11716"/>
    <cellStyle name="Input 4 8 5" xfId="912"/>
    <cellStyle name="Input 4 9" xfId="11718"/>
    <cellStyle name="Input 4 9 2" xfId="11720"/>
    <cellStyle name="Input 4 9 2 2" xfId="7491"/>
    <cellStyle name="Input 4 9 3" xfId="11724"/>
    <cellStyle name="Input 4 9 3 2" xfId="11728"/>
    <cellStyle name="Input 4 9 4" xfId="11733"/>
    <cellStyle name="Input 4 9 4 2" xfId="11737"/>
    <cellStyle name="Input 4 9 5" xfId="11740"/>
    <cellStyle name="Input 5" xfId="10744"/>
    <cellStyle name="Input 5 2" xfId="11741"/>
    <cellStyle name="Input 5 2 2" xfId="11742"/>
    <cellStyle name="Input 5 2 2 2" xfId="11744"/>
    <cellStyle name="Input 5 2 2 2 2" xfId="11745"/>
    <cellStyle name="Input 5 2 2 2 2 2" xfId="7694"/>
    <cellStyle name="Input 5 2 2 2 3" xfId="11746"/>
    <cellStyle name="Input 5 2 2 2 3 2" xfId="11747"/>
    <cellStyle name="Input 5 2 2 2 4" xfId="11749"/>
    <cellStyle name="Input 5 2 2 2 4 2" xfId="11750"/>
    <cellStyle name="Input 5 2 2 2 5" xfId="11751"/>
    <cellStyle name="Input 5 2 2 3" xfId="11753"/>
    <cellStyle name="Input 5 2 2 3 2" xfId="11756"/>
    <cellStyle name="Input 5 2 2 3 2 2" xfId="11759"/>
    <cellStyle name="Input 5 2 2 3 3" xfId="11761"/>
    <cellStyle name="Input 5 2 2 3 3 2" xfId="11764"/>
    <cellStyle name="Input 5 2 2 3 4" xfId="11767"/>
    <cellStyle name="Input 5 2 2 4" xfId="11769"/>
    <cellStyle name="Input 5 2 2 4 2" xfId="11771"/>
    <cellStyle name="Input 5 2 2 5" xfId="11773"/>
    <cellStyle name="Input 5 2 3" xfId="11776"/>
    <cellStyle name="Input 5 2 3 2" xfId="11777"/>
    <cellStyle name="Input 5 2 3 2 2" xfId="11778"/>
    <cellStyle name="Input 5 2 3 3" xfId="11780"/>
    <cellStyle name="Input 5 2 3 3 2" xfId="11781"/>
    <cellStyle name="Input 5 2 3 4" xfId="11782"/>
    <cellStyle name="Input 5 2 3 4 2" xfId="11783"/>
    <cellStyle name="Input 5 2 3 5" xfId="11784"/>
    <cellStyle name="Input 5 2 4" xfId="11785"/>
    <cellStyle name="Input 5 2 4 2" xfId="11786"/>
    <cellStyle name="Input 5 2 4 2 2" xfId="11787"/>
    <cellStyle name="Input 5 2 4 3" xfId="11789"/>
    <cellStyle name="Input 5 2 4 3 2" xfId="11790"/>
    <cellStyle name="Input 5 2 4 4" xfId="11791"/>
    <cellStyle name="Input 5 2 5" xfId="11792"/>
    <cellStyle name="Input 5 2 5 2" xfId="11793"/>
    <cellStyle name="Input 5 2 6" xfId="11794"/>
    <cellStyle name="Input 5 3" xfId="4642"/>
    <cellStyle name="Input 5 3 2" xfId="11796"/>
    <cellStyle name="Input 5 3 2 2" xfId="11797"/>
    <cellStyle name="Input 5 3 2 2 2" xfId="11798"/>
    <cellStyle name="Input 5 3 2 3" xfId="11800"/>
    <cellStyle name="Input 5 3 2 3 2" xfId="11801"/>
    <cellStyle name="Input 5 3 2 4" xfId="11803"/>
    <cellStyle name="Input 5 3 2 4 2" xfId="11804"/>
    <cellStyle name="Input 5 3 2 5" xfId="11805"/>
    <cellStyle name="Input 5 3 3" xfId="11808"/>
    <cellStyle name="Input 5 3 3 2" xfId="11809"/>
    <cellStyle name="Input 5 3 3 2 2" xfId="11810"/>
    <cellStyle name="Input 5 3 3 3" xfId="11813"/>
    <cellStyle name="Input 5 3 3 3 2" xfId="11815"/>
    <cellStyle name="Input 5 3 3 4" xfId="11816"/>
    <cellStyle name="Input 5 3 4" xfId="11817"/>
    <cellStyle name="Input 5 3 4 2" xfId="11818"/>
    <cellStyle name="Input 5 3 5" xfId="11819"/>
    <cellStyle name="Input 5 4" xfId="11822"/>
    <cellStyle name="Input 5 4 2" xfId="5916"/>
    <cellStyle name="Input 5 4 2 2" xfId="5922"/>
    <cellStyle name="Input 5 4 2 2 2" xfId="11823"/>
    <cellStyle name="Input 5 4 2 3" xfId="11825"/>
    <cellStyle name="Input 5 4 2 3 2" xfId="11826"/>
    <cellStyle name="Input 5 4 2 4" xfId="11827"/>
    <cellStyle name="Input 5 4 2 4 2" xfId="132"/>
    <cellStyle name="Input 5 4 2 5" xfId="11828"/>
    <cellStyle name="Input 5 4 3" xfId="5929"/>
    <cellStyle name="Input 5 4 3 2" xfId="5935"/>
    <cellStyle name="Input 5 4 3 2 2" xfId="11831"/>
    <cellStyle name="Input 5 4 3 3" xfId="11833"/>
    <cellStyle name="Input 5 4 3 3 2" xfId="11834"/>
    <cellStyle name="Input 5 4 3 4" xfId="9351"/>
    <cellStyle name="Input 5 4 4" xfId="5732"/>
    <cellStyle name="Input 5 4 4 2" xfId="11835"/>
    <cellStyle name="Input 5 4 5" xfId="4388"/>
    <cellStyle name="Input 5 5" xfId="11837"/>
    <cellStyle name="Input 5 5 2" xfId="11838"/>
    <cellStyle name="Input 5 5 2 2" xfId="7563"/>
    <cellStyle name="Input 5 5 3" xfId="11841"/>
    <cellStyle name="Input 5 5 3 2" xfId="11843"/>
    <cellStyle name="Input 5 5 4" xfId="11845"/>
    <cellStyle name="Input 5 5 4 2" xfId="11848"/>
    <cellStyle name="Input 5 5 5" xfId="11850"/>
    <cellStyle name="Input 5 6" xfId="11852"/>
    <cellStyle name="Input 5 6 2" xfId="11855"/>
    <cellStyle name="Input 5 6 2 2" xfId="7602"/>
    <cellStyle name="Input 5 6 3" xfId="11859"/>
    <cellStyle name="Input 5 6 3 2" xfId="11863"/>
    <cellStyle name="Input 5 6 4" xfId="11865"/>
    <cellStyle name="Input 5 7" xfId="11867"/>
    <cellStyle name="Input 5 7 2" xfId="11868"/>
    <cellStyle name="Input 5 8" xfId="11870"/>
    <cellStyle name="Input 5 9" xfId="11872"/>
    <cellStyle name="Input 6" xfId="11874"/>
    <cellStyle name="Input 6 2" xfId="11875"/>
    <cellStyle name="Input 6 2 2" xfId="10354"/>
    <cellStyle name="Input 6 2 2 2" xfId="10356"/>
    <cellStyle name="Input 6 2 2 2 2" xfId="10358"/>
    <cellStyle name="Input 6 2 2 3" xfId="10360"/>
    <cellStyle name="Input 6 2 2 3 2" xfId="10362"/>
    <cellStyle name="Input 6 2 2 4" xfId="10364"/>
    <cellStyle name="Input 6 2 2 4 2" xfId="11876"/>
    <cellStyle name="Input 6 2 2 5" xfId="11877"/>
    <cellStyle name="Input 6 2 3" xfId="10367"/>
    <cellStyle name="Input 6 2 3 2" xfId="10369"/>
    <cellStyle name="Input 6 2 3 2 2" xfId="11879"/>
    <cellStyle name="Input 6 2 3 3" xfId="11881"/>
    <cellStyle name="Input 6 2 3 3 2" xfId="11882"/>
    <cellStyle name="Input 6 2 3 4" xfId="11883"/>
    <cellStyle name="Input 6 2 4" xfId="10371"/>
    <cellStyle name="Input 6 2 4 2" xfId="11884"/>
    <cellStyle name="Input 6 2 5" xfId="11885"/>
    <cellStyle name="Input 6 3" xfId="4668"/>
    <cellStyle name="Input 6 3 2" xfId="10387"/>
    <cellStyle name="Input 6 3 2 2" xfId="10392"/>
    <cellStyle name="Input 6 3 3" xfId="10404"/>
    <cellStyle name="Input 6 3 3 2" xfId="10409"/>
    <cellStyle name="Input 6 3 4" xfId="10410"/>
    <cellStyle name="Input 6 3 4 2" xfId="11888"/>
    <cellStyle name="Input 6 3 5" xfId="11889"/>
    <cellStyle name="Input 6 4" xfId="11890"/>
    <cellStyle name="Input 6 4 2" xfId="11892"/>
    <cellStyle name="Input 6 4 2 2" xfId="11894"/>
    <cellStyle name="Input 6 4 3" xfId="11896"/>
    <cellStyle name="Input 6 4 3 2" xfId="11898"/>
    <cellStyle name="Input 6 4 4" xfId="11899"/>
    <cellStyle name="Input 6 5" xfId="11901"/>
    <cellStyle name="Input 6 5 2" xfId="11903"/>
    <cellStyle name="Input 6 6" xfId="11905"/>
    <cellStyle name="Input 7" xfId="11906"/>
    <cellStyle name="Input 7 2" xfId="11908"/>
    <cellStyle name="Input 7 2 2" xfId="11909"/>
    <cellStyle name="Input 7 2 2 2" xfId="9159"/>
    <cellStyle name="Input 7 2 2 2 2" xfId="9164"/>
    <cellStyle name="Input 7 2 2 3" xfId="9230"/>
    <cellStyle name="Input 7 2 2 3 2" xfId="9233"/>
    <cellStyle name="Input 7 2 2 4" xfId="9271"/>
    <cellStyle name="Input 7 2 2 4 2" xfId="9273"/>
    <cellStyle name="Input 7 2 2 5" xfId="9296"/>
    <cellStyle name="Input 7 2 3" xfId="11912"/>
    <cellStyle name="Input 7 2 3 2" xfId="9682"/>
    <cellStyle name="Input 7 2 3 2 2" xfId="9686"/>
    <cellStyle name="Input 7 2 3 3" xfId="9743"/>
    <cellStyle name="Input 7 2 3 3 2" xfId="9745"/>
    <cellStyle name="Input 7 2 3 4" xfId="9787"/>
    <cellStyle name="Input 7 2 4" xfId="11915"/>
    <cellStyle name="Input 7 2 4 2" xfId="9995"/>
    <cellStyle name="Input 7 2 5" xfId="11918"/>
    <cellStyle name="Input 7 3" xfId="6937"/>
    <cellStyle name="Input 7 3 2" xfId="11921"/>
    <cellStyle name="Input 7 3 2 2" xfId="11922"/>
    <cellStyle name="Input 7 3 3" xfId="11923"/>
    <cellStyle name="Input 7 3 3 2" xfId="11924"/>
    <cellStyle name="Input 7 3 4" xfId="11925"/>
    <cellStyle name="Input 7 3 4 2" xfId="11926"/>
    <cellStyle name="Input 7 3 5" xfId="11927"/>
    <cellStyle name="Input 7 4" xfId="11928"/>
    <cellStyle name="Input 7 4 2" xfId="11929"/>
    <cellStyle name="Input 7 4 2 2" xfId="11931"/>
    <cellStyle name="Input 7 4 3" xfId="11933"/>
    <cellStyle name="Input 7 4 3 2" xfId="11936"/>
    <cellStyle name="Input 7 4 4" xfId="11937"/>
    <cellStyle name="Input 7 5" xfId="11939"/>
    <cellStyle name="Input 7 5 2" xfId="11941"/>
    <cellStyle name="Input 7 6" xfId="10228"/>
    <cellStyle name="Input 8" xfId="11943"/>
    <cellStyle name="Input 8 2" xfId="11945"/>
    <cellStyle name="Input 8 2 2" xfId="11947"/>
    <cellStyle name="Input 8 2 2 2" xfId="11949"/>
    <cellStyle name="Input 8 2 3" xfId="11951"/>
    <cellStyle name="Input 8 2 3 2" xfId="11953"/>
    <cellStyle name="Input 8 2 4" xfId="11955"/>
    <cellStyle name="Input 8 2 4 2" xfId="11957"/>
    <cellStyle name="Input 8 2 5" xfId="11959"/>
    <cellStyle name="Input 8 3" xfId="11961"/>
    <cellStyle name="Input 8 3 2" xfId="11964"/>
    <cellStyle name="Input 8 3 2 2" xfId="11967"/>
    <cellStyle name="Input 8 3 3" xfId="11969"/>
    <cellStyle name="Input 8 3 3 2" xfId="11971"/>
    <cellStyle name="Input 8 3 4" xfId="11973"/>
    <cellStyle name="Input 8 4" xfId="11975"/>
    <cellStyle name="Input 8 4 2" xfId="11977"/>
    <cellStyle name="Input 8 5" xfId="11979"/>
    <cellStyle name="Input 9" xfId="11982"/>
    <cellStyle name="Input 9 2" xfId="11984"/>
    <cellStyle name="Input 9 2 2" xfId="11986"/>
    <cellStyle name="Input 9 2 2 2" xfId="11987"/>
    <cellStyle name="Input 9 2 3" xfId="11988"/>
    <cellStyle name="Input 9 2 3 2" xfId="8387"/>
    <cellStyle name="Input 9 2 4" xfId="11989"/>
    <cellStyle name="Input 9 2 4 2" xfId="11990"/>
    <cellStyle name="Input 9 2 5" xfId="11992"/>
    <cellStyle name="Input 9 3" xfId="11993"/>
    <cellStyle name="Input 9 3 2" xfId="11995"/>
    <cellStyle name="Input 9 3 2 2" xfId="167"/>
    <cellStyle name="Input 9 3 3" xfId="11996"/>
    <cellStyle name="Input 9 3 3 2" xfId="12000"/>
    <cellStyle name="Input 9 3 4" xfId="4905"/>
    <cellStyle name="Input 9 4" xfId="12001"/>
    <cellStyle name="Input 9 4 2" xfId="12002"/>
    <cellStyle name="Input 9 5" xfId="12003"/>
    <cellStyle name="Linked Cell" xfId="12005"/>
    <cellStyle name="N" xfId="12006"/>
    <cellStyle name="N 2" xfId="4953"/>
    <cellStyle name="Neutral" xfId="12008"/>
    <cellStyle name="Neutral 2" xfId="12011"/>
    <cellStyle name="Normal_GHCH Forecast2007" xfId="12012"/>
    <cellStyle name="Note" xfId="12015"/>
    <cellStyle name="Note 10" xfId="12017"/>
    <cellStyle name="Note 10 2" xfId="12019"/>
    <cellStyle name="Note 10 2 2" xfId="12020"/>
    <cellStyle name="Note 10 3" xfId="12021"/>
    <cellStyle name="Note 10 3 2" xfId="12022"/>
    <cellStyle name="Note 10 4" xfId="12023"/>
    <cellStyle name="Note 10 4 2" xfId="12024"/>
    <cellStyle name="Note 10 5" xfId="12025"/>
    <cellStyle name="Note 11" xfId="12028"/>
    <cellStyle name="Note 11 2" xfId="12030"/>
    <cellStyle name="Note 11 2 2" xfId="12031"/>
    <cellStyle name="Note 11 3" xfId="12032"/>
    <cellStyle name="Note 11 3 2" xfId="12033"/>
    <cellStyle name="Note 11 4" xfId="12034"/>
    <cellStyle name="Note 11 4 2" xfId="12035"/>
    <cellStyle name="Note 11 5" xfId="12036"/>
    <cellStyle name="Note 12" xfId="12040"/>
    <cellStyle name="Note 12 2" xfId="12042"/>
    <cellStyle name="Note 12 2 2" xfId="12047"/>
    <cellStyle name="Note 12 3" xfId="6304"/>
    <cellStyle name="Note 12 3 2" xfId="12050"/>
    <cellStyle name="Note 12 4" xfId="12055"/>
    <cellStyle name="Note 12 4 2" xfId="12058"/>
    <cellStyle name="Note 12 5" xfId="12060"/>
    <cellStyle name="Note 13" xfId="12061"/>
    <cellStyle name="Note 2" xfId="12065"/>
    <cellStyle name="Note 2 10" xfId="12066"/>
    <cellStyle name="Note 2 10 2" xfId="12068"/>
    <cellStyle name="Note 2 10 2 2" xfId="9010"/>
    <cellStyle name="Note 2 10 3" xfId="12070"/>
    <cellStyle name="Note 2 10 3 2" xfId="9019"/>
    <cellStyle name="Note 2 10 4" xfId="12072"/>
    <cellStyle name="Note 2 10 4 2" xfId="9032"/>
    <cellStyle name="Note 2 10 5" xfId="12074"/>
    <cellStyle name="Note 2 11" xfId="12075"/>
    <cellStyle name="Note 2 2" xfId="11060"/>
    <cellStyle name="Note 2 2 10" xfId="9878"/>
    <cellStyle name="Note 2 2 10 2" xfId="9882"/>
    <cellStyle name="Note 2 2 10 2 2" xfId="7783"/>
    <cellStyle name="Note 2 2 10 3" xfId="12077"/>
    <cellStyle name="Note 2 2 10 3 2" xfId="12079"/>
    <cellStyle name="Note 2 2 10 4" xfId="12081"/>
    <cellStyle name="Note 2 2 10 4 2" xfId="12082"/>
    <cellStyle name="Note 2 2 10 5" xfId="12084"/>
    <cellStyle name="Note 2 2 11" xfId="9883"/>
    <cellStyle name="Note 2 2 2" xfId="11062"/>
    <cellStyle name="Note 2 2 2 2" xfId="12085"/>
    <cellStyle name="Note 2 2 2 2 2" xfId="6777"/>
    <cellStyle name="Note 2 2 2 2 2 2" xfId="6781"/>
    <cellStyle name="Note 2 2 2 2 2 2 2" xfId="12087"/>
    <cellStyle name="Note 2 2 2 2 2 3" xfId="12091"/>
    <cellStyle name="Note 2 2 2 2 2 3 2" xfId="12093"/>
    <cellStyle name="Note 2 2 2 2 2 4" xfId="12096"/>
    <cellStyle name="Note 2 2 2 2 2 4 2" xfId="12098"/>
    <cellStyle name="Note 2 2 2 2 2 5" xfId="12101"/>
    <cellStyle name="Note 2 2 2 2 3" xfId="6784"/>
    <cellStyle name="Note 2 2 2 2 3 2" xfId="10890"/>
    <cellStyle name="Note 2 2 2 2 3 2 2" xfId="12104"/>
    <cellStyle name="Note 2 2 2 2 3 3" xfId="12105"/>
    <cellStyle name="Note 2 2 2 2 3 3 2" xfId="12106"/>
    <cellStyle name="Note 2 2 2 2 3 4" xfId="12107"/>
    <cellStyle name="Note 2 2 2 2 4" xfId="10893"/>
    <cellStyle name="Note 2 2 2 2 4 2" xfId="10895"/>
    <cellStyle name="Note 2 2 2 2 5" xfId="10897"/>
    <cellStyle name="Note 2 2 2 3" xfId="7738"/>
    <cellStyle name="Note 2 2 2 3 2" xfId="4476"/>
    <cellStyle name="Note 2 2 2 3 2 2" xfId="107"/>
    <cellStyle name="Note 2 2 2 3 3" xfId="6793"/>
    <cellStyle name="Note 2 2 2 3 3 2" xfId="7744"/>
    <cellStyle name="Note 2 2 2 3 4" xfId="7747"/>
    <cellStyle name="Note 2 2 2 3 4 2" xfId="7753"/>
    <cellStyle name="Note 2 2 2 3 5" xfId="7755"/>
    <cellStyle name="Note 2 2 2 4" xfId="7757"/>
    <cellStyle name="Note 2 2 2 4 2" xfId="4531"/>
    <cellStyle name="Note 2 2 2 4 2 2" xfId="12108"/>
    <cellStyle name="Note 2 2 2 4 3" xfId="12111"/>
    <cellStyle name="Note 2 2 2 4 3 2" xfId="12113"/>
    <cellStyle name="Note 2 2 2 4 4" xfId="12115"/>
    <cellStyle name="Note 2 2 2 4 4 2" xfId="12118"/>
    <cellStyle name="Note 2 2 2 4 5" xfId="12119"/>
    <cellStyle name="Note 2 2 2 5" xfId="7761"/>
    <cellStyle name="Note 2 2 2 5 2" xfId="7764"/>
    <cellStyle name="Note 2 2 2 5 2 2" xfId="12120"/>
    <cellStyle name="Note 2 2 2 5 3" xfId="12122"/>
    <cellStyle name="Note 2 2 2 5 3 2" xfId="12126"/>
    <cellStyle name="Note 2 2 2 5 4" xfId="12127"/>
    <cellStyle name="Note 2 2 2 6" xfId="7767"/>
    <cellStyle name="Note 2 2 2 6 2" xfId="7769"/>
    <cellStyle name="Note 2 2 2 7" xfId="7771"/>
    <cellStyle name="Note 2 2 3" xfId="12128"/>
    <cellStyle name="Note 2 2 3 2" xfId="12129"/>
    <cellStyle name="Note 2 2 3 2 2" xfId="6820"/>
    <cellStyle name="Note 2 2 3 2 2 2" xfId="823"/>
    <cellStyle name="Note 2 2 3 2 2 2 2" xfId="12132"/>
    <cellStyle name="Note 2 2 3 2 2 3" xfId="12133"/>
    <cellStyle name="Note 2 2 3 2 2 3 2" xfId="12135"/>
    <cellStyle name="Note 2 2 3 2 2 4" xfId="12136"/>
    <cellStyle name="Note 2 2 3 2 2 4 2" xfId="12138"/>
    <cellStyle name="Note 2 2 3 2 2 5" xfId="12139"/>
    <cellStyle name="Note 2 2 3 2 3" xfId="6822"/>
    <cellStyle name="Note 2 2 3 2 3 2" xfId="10908"/>
    <cellStyle name="Note 2 2 3 2 3 2 2" xfId="12140"/>
    <cellStyle name="Note 2 2 3 2 3 3" xfId="12141"/>
    <cellStyle name="Note 2 2 3 2 3 3 2" xfId="12142"/>
    <cellStyle name="Note 2 2 3 2 3 4" xfId="12143"/>
    <cellStyle name="Note 2 2 3 2 4" xfId="10910"/>
    <cellStyle name="Note 2 2 3 2 4 2" xfId="10912"/>
    <cellStyle name="Note 2 2 3 2 5" xfId="10915"/>
    <cellStyle name="Note 2 2 3 3" xfId="12145"/>
    <cellStyle name="Note 2 2 3 3 2" xfId="6835"/>
    <cellStyle name="Note 2 2 3 3 2 2" xfId="12150"/>
    <cellStyle name="Note 2 2 3 3 3" xfId="10920"/>
    <cellStyle name="Note 2 2 3 3 3 2" xfId="12153"/>
    <cellStyle name="Note 2 2 3 3 4" xfId="12156"/>
    <cellStyle name="Note 2 2 3 3 4 2" xfId="12164"/>
    <cellStyle name="Note 2 2 3 3 5" xfId="12167"/>
    <cellStyle name="Note 2 2 3 4" xfId="12168"/>
    <cellStyle name="Note 2 2 3 4 2" xfId="5011"/>
    <cellStyle name="Note 2 2 3 4 2 2" xfId="994"/>
    <cellStyle name="Note 2 2 3 4 3" xfId="5047"/>
    <cellStyle name="Note 2 2 3 4 3 2" xfId="76"/>
    <cellStyle name="Note 2 2 3 4 4" xfId="2581"/>
    <cellStyle name="Note 2 2 3 5" xfId="12172"/>
    <cellStyle name="Note 2 2 3 5 2" xfId="5097"/>
    <cellStyle name="Note 2 2 3 6" xfId="12177"/>
    <cellStyle name="Note 2 2 4" xfId="12180"/>
    <cellStyle name="Note 2 2 4 2" xfId="5164"/>
    <cellStyle name="Note 2 2 4 2 2" xfId="5272"/>
    <cellStyle name="Note 2 2 4 2 2 2" xfId="486"/>
    <cellStyle name="Note 2 2 4 2 2 2 2" xfId="12184"/>
    <cellStyle name="Note 2 2 4 2 2 3" xfId="12185"/>
    <cellStyle name="Note 2 2 4 2 2 3 2" xfId="12186"/>
    <cellStyle name="Note 2 2 4 2 2 4" xfId="12187"/>
    <cellStyle name="Note 2 2 4 2 2 4 2" xfId="12188"/>
    <cellStyle name="Note 2 2 4 2 2 5" xfId="12189"/>
    <cellStyle name="Note 2 2 4 2 3" xfId="6866"/>
    <cellStyle name="Note 2 2 4 2 3 2" xfId="12192"/>
    <cellStyle name="Note 2 2 4 2 3 2 2" xfId="12196"/>
    <cellStyle name="Note 2 2 4 2 3 3" xfId="12197"/>
    <cellStyle name="Note 2 2 4 2 3 3 2" xfId="12199"/>
    <cellStyle name="Note 2 2 4 2 3 4" xfId="8650"/>
    <cellStyle name="Note 2 2 4 2 4" xfId="12202"/>
    <cellStyle name="Note 2 2 4 2 4 2" xfId="12205"/>
    <cellStyle name="Note 2 2 4 2 5" xfId="12208"/>
    <cellStyle name="Note 2 2 4 3" xfId="5282"/>
    <cellStyle name="Note 2 2 4 3 2" xfId="52"/>
    <cellStyle name="Note 2 2 4 3 2 2" xfId="172"/>
    <cellStyle name="Note 2 2 4 3 3" xfId="10930"/>
    <cellStyle name="Note 2 2 4 3 3 2" xfId="12210"/>
    <cellStyle name="Note 2 2 4 3 4" xfId="12212"/>
    <cellStyle name="Note 2 2 4 3 4 2" xfId="12216"/>
    <cellStyle name="Note 2 2 4 3 5" xfId="12218"/>
    <cellStyle name="Note 2 2 4 4" xfId="6019"/>
    <cellStyle name="Note 2 2 4 4 2" xfId="5665"/>
    <cellStyle name="Note 2 2 4 4 2 2" xfId="632"/>
    <cellStyle name="Note 2 2 4 4 3" xfId="5689"/>
    <cellStyle name="Note 2 2 4 4 3 2" xfId="661"/>
    <cellStyle name="Note 2 2 4 4 4" xfId="2619"/>
    <cellStyle name="Note 2 2 4 5" xfId="6577"/>
    <cellStyle name="Note 2 2 4 5 2" xfId="5787"/>
    <cellStyle name="Note 2 2 4 6" xfId="865"/>
    <cellStyle name="Note 2 2 5" xfId="12219"/>
    <cellStyle name="Note 2 2 5 2" xfId="5293"/>
    <cellStyle name="Note 2 2 5 2 2" xfId="6024"/>
    <cellStyle name="Note 2 2 5 2 2 2" xfId="12220"/>
    <cellStyle name="Note 2 2 5 2 3" xfId="10940"/>
    <cellStyle name="Note 2 2 5 2 3 2" xfId="12221"/>
    <cellStyle name="Note 2 2 5 2 4" xfId="12222"/>
    <cellStyle name="Note 2 2 5 2 4 2" xfId="12223"/>
    <cellStyle name="Note 2 2 5 2 5" xfId="12224"/>
    <cellStyle name="Note 2 2 5 3" xfId="6029"/>
    <cellStyle name="Note 2 2 5 3 2" xfId="12225"/>
    <cellStyle name="Note 2 2 5 3 2 2" xfId="12226"/>
    <cellStyle name="Note 2 2 5 3 3" xfId="10946"/>
    <cellStyle name="Note 2 2 5 3 3 2" xfId="12227"/>
    <cellStyle name="Note 2 2 5 3 4" xfId="12228"/>
    <cellStyle name="Note 2 2 5 4" xfId="12229"/>
    <cellStyle name="Note 2 2 5 4 2" xfId="6214"/>
    <cellStyle name="Note 2 2 5 5" xfId="6588"/>
    <cellStyle name="Note 2 2 6" xfId="12230"/>
    <cellStyle name="Note 2 2 6 2" xfId="12233"/>
    <cellStyle name="Note 2 2 6 2 2" xfId="6910"/>
    <cellStyle name="Note 2 2 6 2 2 2" xfId="12234"/>
    <cellStyle name="Note 2 2 6 2 3" xfId="12236"/>
    <cellStyle name="Note 2 2 6 2 3 2" xfId="12237"/>
    <cellStyle name="Note 2 2 6 2 4" xfId="12238"/>
    <cellStyle name="Note 2 2 6 2 4 2" xfId="12239"/>
    <cellStyle name="Note 2 2 6 2 5" xfId="12240"/>
    <cellStyle name="Note 2 2 6 3" xfId="12241"/>
    <cellStyle name="Note 2 2 6 3 2" xfId="12242"/>
    <cellStyle name="Note 2 2 6 3 2 2" xfId="12243"/>
    <cellStyle name="Note 2 2 6 3 3" xfId="12245"/>
    <cellStyle name="Note 2 2 6 3 3 2" xfId="12246"/>
    <cellStyle name="Note 2 2 6 3 4" xfId="12247"/>
    <cellStyle name="Note 2 2 6 4" xfId="12248"/>
    <cellStyle name="Note 2 2 6 4 2" xfId="6678"/>
    <cellStyle name="Note 2 2 6 5" xfId="7001"/>
    <cellStyle name="Note 2 2 7" xfId="5809"/>
    <cellStyle name="Note 2 2 7 2" xfId="12249"/>
    <cellStyle name="Note 2 2 7 2 2" xfId="12250"/>
    <cellStyle name="Note 2 2 7 3" xfId="6299"/>
    <cellStyle name="Note 2 2 7 3 2" xfId="6301"/>
    <cellStyle name="Note 2 2 7 4" xfId="6311"/>
    <cellStyle name="Note 2 2 7 4 2" xfId="6313"/>
    <cellStyle name="Note 2 2 7 5" xfId="6323"/>
    <cellStyle name="Note 2 2 8" xfId="12252"/>
    <cellStyle name="Note 2 2 8 2" xfId="12253"/>
    <cellStyle name="Note 2 2 8 2 2" xfId="12255"/>
    <cellStyle name="Note 2 2 8 3" xfId="6331"/>
    <cellStyle name="Note 2 2 8 3 2" xfId="6333"/>
    <cellStyle name="Note 2 2 8 4" xfId="6343"/>
    <cellStyle name="Note 2 2 8 4 2" xfId="6344"/>
    <cellStyle name="Note 2 2 8 5" xfId="6356"/>
    <cellStyle name="Note 2 2 9" xfId="12256"/>
    <cellStyle name="Note 2 2 9 2" xfId="12257"/>
    <cellStyle name="Note 2 2 9 2 2" xfId="12258"/>
    <cellStyle name="Note 2 2 9 3" xfId="6366"/>
    <cellStyle name="Note 2 2 9 3 2" xfId="6370"/>
    <cellStyle name="Note 2 2 9 4" xfId="1461"/>
    <cellStyle name="Note 2 2 9 4 2" xfId="6373"/>
    <cellStyle name="Note 2 2 9 5" xfId="6376"/>
    <cellStyle name="Note 2 3" xfId="11064"/>
    <cellStyle name="Note 2 3 2" xfId="12261"/>
    <cellStyle name="Note 2 3 2 2" xfId="12262"/>
    <cellStyle name="Note 2 3 2 2 2" xfId="7093"/>
    <cellStyle name="Note 2 3 2 2 2 2" xfId="2543"/>
    <cellStyle name="Note 2 3 2 2 3" xfId="7098"/>
    <cellStyle name="Note 2 3 2 2 3 2" xfId="11429"/>
    <cellStyle name="Note 2 3 2 2 4" xfId="11432"/>
    <cellStyle name="Note 2 3 2 2 4 2" xfId="11435"/>
    <cellStyle name="Note 2 3 2 2 5" xfId="11438"/>
    <cellStyle name="Note 2 3 2 3" xfId="12263"/>
    <cellStyle name="Note 2 3 2 3 2" xfId="7106"/>
    <cellStyle name="Note 2 3 2 3 2 2" xfId="7109"/>
    <cellStyle name="Note 2 3 2 3 3" xfId="7112"/>
    <cellStyle name="Note 2 3 2 3 3 2" xfId="12264"/>
    <cellStyle name="Note 2 3 2 3 4" xfId="12265"/>
    <cellStyle name="Note 2 3 2 4" xfId="12266"/>
    <cellStyle name="Note 2 3 2 4 2" xfId="7123"/>
    <cellStyle name="Note 2 3 2 5" xfId="12267"/>
    <cellStyle name="Note 2 3 3" xfId="12270"/>
    <cellStyle name="Note 2 3 3 2" xfId="12271"/>
    <cellStyle name="Note 2 3 3 2 2" xfId="6065"/>
    <cellStyle name="Note 2 3 3 2 2 2" xfId="1832"/>
    <cellStyle name="Note 2 3 3 2 3" xfId="5408"/>
    <cellStyle name="Note 2 3 3 2 3 2" xfId="11457"/>
    <cellStyle name="Note 2 3 3 2 4" xfId="11461"/>
    <cellStyle name="Note 2 3 3 2 4 2" xfId="11462"/>
    <cellStyle name="Note 2 3 3 2 5" xfId="11464"/>
    <cellStyle name="Note 2 3 3 3" xfId="12272"/>
    <cellStyle name="Note 2 3 3 3 2" xfId="7170"/>
    <cellStyle name="Note 2 3 3 3 2 2" xfId="7886"/>
    <cellStyle name="Note 2 3 3 3 3" xfId="11467"/>
    <cellStyle name="Note 2 3 3 3 3 2" xfId="12273"/>
    <cellStyle name="Note 2 3 3 3 4" xfId="12274"/>
    <cellStyle name="Note 2 3 3 4" xfId="12276"/>
    <cellStyle name="Note 2 3 3 4 2" xfId="12277"/>
    <cellStyle name="Note 2 3 3 5" xfId="12279"/>
    <cellStyle name="Note 2 3 4" xfId="12280"/>
    <cellStyle name="Note 2 3 4 2" xfId="12283"/>
    <cellStyle name="Note 2 3 4 2 2" xfId="7184"/>
    <cellStyle name="Note 2 3 4 3" xfId="12286"/>
    <cellStyle name="Note 2 3 4 3 2" xfId="7197"/>
    <cellStyle name="Note 2 3 4 4" xfId="12287"/>
    <cellStyle name="Note 2 3 4 4 2" xfId="12288"/>
    <cellStyle name="Note 2 3 4 5" xfId="2752"/>
    <cellStyle name="Note 2 3 5" xfId="12290"/>
    <cellStyle name="Note 2 3 5 2" xfId="12292"/>
    <cellStyle name="Note 2 3 5 2 2" xfId="7137"/>
    <cellStyle name="Note 2 3 5 3" xfId="12295"/>
    <cellStyle name="Note 2 3 5 3 2" xfId="12298"/>
    <cellStyle name="Note 2 3 5 4" xfId="12299"/>
    <cellStyle name="Note 2 3 6" xfId="12300"/>
    <cellStyle name="Note 2 3 6 2" xfId="12303"/>
    <cellStyle name="Note 2 3 7" xfId="5812"/>
    <cellStyle name="Note 2 3 8" xfId="12305"/>
    <cellStyle name="Note 2 4" xfId="12308"/>
    <cellStyle name="Note 2 4 2" xfId="12311"/>
    <cellStyle name="Note 2 4 2 2" xfId="12312"/>
    <cellStyle name="Note 2 4 2 2 2" xfId="7342"/>
    <cellStyle name="Note 2 4 2 2 2 2" xfId="7344"/>
    <cellStyle name="Note 2 4 2 2 3" xfId="7348"/>
    <cellStyle name="Note 2 4 2 2 3 2" xfId="12315"/>
    <cellStyle name="Note 2 4 2 2 4" xfId="12318"/>
    <cellStyle name="Note 2 4 2 2 4 2" xfId="12321"/>
    <cellStyle name="Note 2 4 2 2 5" xfId="9170"/>
    <cellStyle name="Note 2 4 2 3" xfId="12322"/>
    <cellStyle name="Note 2 4 2 3 2" xfId="7358"/>
    <cellStyle name="Note 2 4 2 3 2 2" xfId="12324"/>
    <cellStyle name="Note 2 4 2 3 3" xfId="11673"/>
    <cellStyle name="Note 2 4 2 3 3 2" xfId="12328"/>
    <cellStyle name="Note 2 4 2 3 4" xfId="12331"/>
    <cellStyle name="Note 2 4 2 4" xfId="12333"/>
    <cellStyle name="Note 2 4 2 4 2" xfId="12335"/>
    <cellStyle name="Note 2 4 2 5" xfId="12338"/>
    <cellStyle name="Note 2 4 3" xfId="12341"/>
    <cellStyle name="Note 2 4 3 2" xfId="12342"/>
    <cellStyle name="Note 2 4 3 2 2" xfId="7421"/>
    <cellStyle name="Note 2 4 3 3" xfId="12343"/>
    <cellStyle name="Note 2 4 3 3 2" xfId="7439"/>
    <cellStyle name="Note 2 4 3 4" xfId="12345"/>
    <cellStyle name="Note 2 4 3 4 2" xfId="12347"/>
    <cellStyle name="Note 2 4 3 5" xfId="12350"/>
    <cellStyle name="Note 2 4 4" xfId="12351"/>
    <cellStyle name="Note 2 4 4 2" xfId="12354"/>
    <cellStyle name="Note 2 4 4 2 2" xfId="7469"/>
    <cellStyle name="Note 2 4 4 3" xfId="12356"/>
    <cellStyle name="Note 2 4 4 3 2" xfId="12357"/>
    <cellStyle name="Note 2 4 4 4" xfId="12359"/>
    <cellStyle name="Note 2 4 5" xfId="12361"/>
    <cellStyle name="Note 2 4 5 2" xfId="12363"/>
    <cellStyle name="Note 2 4 6" xfId="12364"/>
    <cellStyle name="Note 2 5" xfId="12368"/>
    <cellStyle name="Note 2 5 2" xfId="12369"/>
    <cellStyle name="Note 2 5 2 2" xfId="12371"/>
    <cellStyle name="Note 2 5 2 2 2" xfId="7615"/>
    <cellStyle name="Note 2 5 2 2 2 2" xfId="12374"/>
    <cellStyle name="Note 2 5 2 2 3" xfId="11862"/>
    <cellStyle name="Note 2 5 2 2 3 2" xfId="12377"/>
    <cellStyle name="Note 2 5 2 2 4" xfId="12380"/>
    <cellStyle name="Note 2 5 2 2 4 2" xfId="12381"/>
    <cellStyle name="Note 2 5 2 2 5" xfId="9691"/>
    <cellStyle name="Note 2 5 2 3" xfId="12382"/>
    <cellStyle name="Note 2 5 2 3 2" xfId="12384"/>
    <cellStyle name="Note 2 5 2 3 2 2" xfId="12387"/>
    <cellStyle name="Note 2 5 2 3 3" xfId="12389"/>
    <cellStyle name="Note 2 5 2 3 3 2" xfId="12393"/>
    <cellStyle name="Note 2 5 2 3 4" xfId="12394"/>
    <cellStyle name="Note 2 5 2 4" xfId="3373"/>
    <cellStyle name="Note 2 5 2 4 2" xfId="12397"/>
    <cellStyle name="Note 2 5 2 5" xfId="12399"/>
    <cellStyle name="Note 2 5 3" xfId="12400"/>
    <cellStyle name="Note 2 5 3 2" xfId="12402"/>
    <cellStyle name="Note 2 5 3 2 2" xfId="12405"/>
    <cellStyle name="Note 2 5 3 3" xfId="12406"/>
    <cellStyle name="Note 2 5 3 3 2" xfId="12408"/>
    <cellStyle name="Note 2 5 3 4" xfId="3378"/>
    <cellStyle name="Note 2 5 3 4 2" xfId="12411"/>
    <cellStyle name="Note 2 5 3 5" xfId="12413"/>
    <cellStyle name="Note 2 5 4" xfId="12414"/>
    <cellStyle name="Note 2 5 4 2" xfId="12416"/>
    <cellStyle name="Note 2 5 4 2 2" xfId="12418"/>
    <cellStyle name="Note 2 5 4 3" xfId="12421"/>
    <cellStyle name="Note 2 5 4 3 2" xfId="12422"/>
    <cellStyle name="Note 2 5 4 4" xfId="12426"/>
    <cellStyle name="Note 2 5 5" xfId="12428"/>
    <cellStyle name="Note 2 5 5 2" xfId="12430"/>
    <cellStyle name="Note 2 5 6" xfId="12431"/>
    <cellStyle name="Note 2 6" xfId="12432"/>
    <cellStyle name="Note 2 6 2" xfId="12433"/>
    <cellStyle name="Note 2 6 2 2" xfId="12434"/>
    <cellStyle name="Note 2 6 2 2 2" xfId="7697"/>
    <cellStyle name="Note 2 6 2 3" xfId="12435"/>
    <cellStyle name="Note 2 6 2 3 2" xfId="12436"/>
    <cellStyle name="Note 2 6 2 4" xfId="3397"/>
    <cellStyle name="Note 2 6 2 4 2" xfId="12438"/>
    <cellStyle name="Note 2 6 2 5" xfId="12440"/>
    <cellStyle name="Note 2 6 3" xfId="12441"/>
    <cellStyle name="Note 2 6 3 2" xfId="12442"/>
    <cellStyle name="Note 2 6 3 2 2" xfId="12443"/>
    <cellStyle name="Note 2 6 3 3" xfId="12445"/>
    <cellStyle name="Note 2 6 3 3 2" xfId="12447"/>
    <cellStyle name="Note 2 6 3 4" xfId="12449"/>
    <cellStyle name="Note 2 6 4" xfId="12452"/>
    <cellStyle name="Note 2 6 4 2" xfId="12453"/>
    <cellStyle name="Note 2 6 5" xfId="12455"/>
    <cellStyle name="Note 2 7" xfId="12456"/>
    <cellStyle name="Note 2 7 2" xfId="12457"/>
    <cellStyle name="Note 2 7 2 2" xfId="12458"/>
    <cellStyle name="Note 2 7 2 2 2" xfId="12459"/>
    <cellStyle name="Note 2 7 2 3" xfId="12460"/>
    <cellStyle name="Note 2 7 2 3 2" xfId="12461"/>
    <cellStyle name="Note 2 7 2 4" xfId="12463"/>
    <cellStyle name="Note 2 7 2 4 2" xfId="12467"/>
    <cellStyle name="Note 2 7 2 5" xfId="12469"/>
    <cellStyle name="Note 2 7 3" xfId="12470"/>
    <cellStyle name="Note 2 7 3 2" xfId="12471"/>
    <cellStyle name="Note 2 7 3 2 2" xfId="12473"/>
    <cellStyle name="Note 2 7 3 3" xfId="12474"/>
    <cellStyle name="Note 2 7 3 3 2" xfId="12479"/>
    <cellStyle name="Note 2 7 3 4" xfId="12480"/>
    <cellStyle name="Note 2 7 4" xfId="12484"/>
    <cellStyle name="Note 2 7 4 2" xfId="12488"/>
    <cellStyle name="Note 2 7 5" xfId="12489"/>
    <cellStyle name="Note 2 8" xfId="12490"/>
    <cellStyle name="Note 2 8 2" xfId="12491"/>
    <cellStyle name="Note 2 8 2 2" xfId="12492"/>
    <cellStyle name="Note 2 8 3" xfId="12493"/>
    <cellStyle name="Note 2 8 3 2" xfId="12494"/>
    <cellStyle name="Note 2 8 4" xfId="12495"/>
    <cellStyle name="Note 2 8 4 2" xfId="12496"/>
    <cellStyle name="Note 2 8 5" xfId="12497"/>
    <cellStyle name="Note 2 9" xfId="12498"/>
    <cellStyle name="Note 2 9 2" xfId="12499"/>
    <cellStyle name="Note 2 9 2 2" xfId="12500"/>
    <cellStyle name="Note 2 9 3" xfId="12503"/>
    <cellStyle name="Note 2 9 3 2" xfId="12505"/>
    <cellStyle name="Note 2 9 4" xfId="12507"/>
    <cellStyle name="Note 2 9 4 2" xfId="12509"/>
    <cellStyle name="Note 2 9 5" xfId="12511"/>
    <cellStyle name="Note 3" xfId="12512"/>
    <cellStyle name="Note 3 10" xfId="12514"/>
    <cellStyle name="Note 3 10 2" xfId="12517"/>
    <cellStyle name="Note 3 10 2 2" xfId="12519"/>
    <cellStyle name="Note 3 10 3" xfId="12521"/>
    <cellStyle name="Note 3 10 3 2" xfId="12524"/>
    <cellStyle name="Note 3 10 4" xfId="12526"/>
    <cellStyle name="Note 3 10 4 2" xfId="12528"/>
    <cellStyle name="Note 3 10 5" xfId="12530"/>
    <cellStyle name="Note 3 11" xfId="12532"/>
    <cellStyle name="Note 3 2" xfId="11072"/>
    <cellStyle name="Note 3 2 10" xfId="12536"/>
    <cellStyle name="Note 3 2 10 2" xfId="12538"/>
    <cellStyle name="Note 3 2 10 2 2" xfId="12540"/>
    <cellStyle name="Note 3 2 10 3" xfId="8724"/>
    <cellStyle name="Note 3 2 10 3 2" xfId="8726"/>
    <cellStyle name="Note 3 2 10 4" xfId="12542"/>
    <cellStyle name="Note 3 2 10 4 2" xfId="98"/>
    <cellStyle name="Note 3 2 10 5" xfId="12543"/>
    <cellStyle name="Note 3 2 11" xfId="12546"/>
    <cellStyle name="Note 3 2 2" xfId="11074"/>
    <cellStyle name="Note 3 2 2 2" xfId="12547"/>
    <cellStyle name="Note 3 2 2 2 2" xfId="12548"/>
    <cellStyle name="Note 3 2 2 2 2 2" xfId="12549"/>
    <cellStyle name="Note 3 2 2 2 2 2 2" xfId="12550"/>
    <cellStyle name="Note 3 2 2 2 2 3" xfId="6435"/>
    <cellStyle name="Note 3 2 2 2 2 3 2" xfId="1839"/>
    <cellStyle name="Note 3 2 2 2 2 4" xfId="4655"/>
    <cellStyle name="Note 3 2 2 2 2 4 2" xfId="5416"/>
    <cellStyle name="Note 3 2 2 2 2 5" xfId="6438"/>
    <cellStyle name="Note 3 2 2 2 3" xfId="8804"/>
    <cellStyle name="Note 3 2 2 2 3 2" xfId="9041"/>
    <cellStyle name="Note 3 2 2 2 3 2 2" xfId="12553"/>
    <cellStyle name="Note 3 2 2 2 3 3" xfId="6461"/>
    <cellStyle name="Note 3 2 2 2 3 3 2" xfId="6468"/>
    <cellStyle name="Note 3 2 2 2 3 4" xfId="4666"/>
    <cellStyle name="Note 3 2 2 2 4" xfId="7832"/>
    <cellStyle name="Note 3 2 2 2 4 2" xfId="9044"/>
    <cellStyle name="Note 3 2 2 2 5" xfId="9047"/>
    <cellStyle name="Note 3 2 2 3" xfId="12554"/>
    <cellStyle name="Note 3 2 2 3 2" xfId="12555"/>
    <cellStyle name="Note 3 2 2 3 2 2" xfId="12558"/>
    <cellStyle name="Note 3 2 2 3 3" xfId="8807"/>
    <cellStyle name="Note 3 2 2 3 3 2" xfId="12561"/>
    <cellStyle name="Note 3 2 2 3 4" xfId="7838"/>
    <cellStyle name="Note 3 2 2 3 4 2" xfId="12564"/>
    <cellStyle name="Note 3 2 2 3 5" xfId="12565"/>
    <cellStyle name="Note 3 2 2 4" xfId="12568"/>
    <cellStyle name="Note 3 2 2 4 2" xfId="12569"/>
    <cellStyle name="Note 3 2 2 4 2 2" xfId="12571"/>
    <cellStyle name="Note 3 2 2 4 3" xfId="12572"/>
    <cellStyle name="Note 3 2 2 4 3 2" xfId="12575"/>
    <cellStyle name="Note 3 2 2 4 4" xfId="7843"/>
    <cellStyle name="Note 3 2 2 4 4 2" xfId="12577"/>
    <cellStyle name="Note 3 2 2 4 5" xfId="12578"/>
    <cellStyle name="Note 3 2 2 5" xfId="12579"/>
    <cellStyle name="Note 3 2 2 5 2" xfId="12580"/>
    <cellStyle name="Note 3 2 2 5 2 2" xfId="12583"/>
    <cellStyle name="Note 3 2 2 5 3" xfId="12584"/>
    <cellStyle name="Note 3 2 2 5 3 2" xfId="12587"/>
    <cellStyle name="Note 3 2 2 5 4" xfId="12589"/>
    <cellStyle name="Note 3 2 2 6" xfId="12591"/>
    <cellStyle name="Note 3 2 2 6 2" xfId="12592"/>
    <cellStyle name="Note 3 2 2 7" xfId="12593"/>
    <cellStyle name="Note 3 2 3" xfId="12594"/>
    <cellStyle name="Note 3 2 3 2" xfId="12595"/>
    <cellStyle name="Note 3 2 3 2 2" xfId="12597"/>
    <cellStyle name="Note 3 2 3 2 2 2" xfId="12599"/>
    <cellStyle name="Note 3 2 3 2 2 2 2" xfId="12601"/>
    <cellStyle name="Note 3 2 3 2 2 3" xfId="12603"/>
    <cellStyle name="Note 3 2 3 2 2 3 2" xfId="2118"/>
    <cellStyle name="Note 3 2 3 2 2 4" xfId="12604"/>
    <cellStyle name="Note 3 2 3 2 2 4 2" xfId="12608"/>
    <cellStyle name="Note 3 2 3 2 2 5" xfId="12614"/>
    <cellStyle name="Note 3 2 3 2 3" xfId="8815"/>
    <cellStyle name="Note 3 2 3 2 3 2" xfId="12617"/>
    <cellStyle name="Note 3 2 3 2 3 2 2" xfId="12618"/>
    <cellStyle name="Note 3 2 3 2 3 3" xfId="1796"/>
    <cellStyle name="Note 3 2 3 2 3 3 2" xfId="12619"/>
    <cellStyle name="Note 3 2 3 2 3 4" xfId="12622"/>
    <cellStyle name="Note 3 2 3 2 4" xfId="12623"/>
    <cellStyle name="Note 3 2 3 2 4 2" xfId="12624"/>
    <cellStyle name="Note 3 2 3 2 5" xfId="12625"/>
    <cellStyle name="Note 3 2 3 3" xfId="12626"/>
    <cellStyle name="Note 3 2 3 3 2" xfId="12627"/>
    <cellStyle name="Note 3 2 3 3 2 2" xfId="12630"/>
    <cellStyle name="Note 3 2 3 3 3" xfId="8820"/>
    <cellStyle name="Note 3 2 3 3 3 2" xfId="12632"/>
    <cellStyle name="Note 3 2 3 3 4" xfId="12633"/>
    <cellStyle name="Note 3 2 3 3 4 2" xfId="12637"/>
    <cellStyle name="Note 3 2 3 3 5" xfId="12638"/>
    <cellStyle name="Note 3 2 3 4" xfId="12642"/>
    <cellStyle name="Note 3 2 3 4 2" xfId="12643"/>
    <cellStyle name="Note 3 2 3 4 2 2" xfId="12645"/>
    <cellStyle name="Note 3 2 3 4 3" xfId="12648"/>
    <cellStyle name="Note 3 2 3 4 3 2" xfId="12650"/>
    <cellStyle name="Note 3 2 3 4 4" xfId="12653"/>
    <cellStyle name="Note 3 2 3 5" xfId="12656"/>
    <cellStyle name="Note 3 2 3 5 2" xfId="12657"/>
    <cellStyle name="Note 3 2 3 6" xfId="12659"/>
    <cellStyle name="Note 3 2 4" xfId="12660"/>
    <cellStyle name="Note 3 2 4 2" xfId="4057"/>
    <cellStyle name="Note 3 2 4 2 2" xfId="5897"/>
    <cellStyle name="Note 3 2 4 2 2 2" xfId="12662"/>
    <cellStyle name="Note 3 2 4 2 2 2 2" xfId="12663"/>
    <cellStyle name="Note 3 2 4 2 2 3" xfId="12664"/>
    <cellStyle name="Note 3 2 4 2 2 3 2" xfId="12665"/>
    <cellStyle name="Note 3 2 4 2 2 4" xfId="12666"/>
    <cellStyle name="Note 3 2 4 2 2 4 2" xfId="12667"/>
    <cellStyle name="Note 3 2 4 2 2 5" xfId="12668"/>
    <cellStyle name="Note 3 2 4 2 3" xfId="12670"/>
    <cellStyle name="Note 3 2 4 2 3 2" xfId="12672"/>
    <cellStyle name="Note 3 2 4 2 3 2 2" xfId="12674"/>
    <cellStyle name="Note 3 2 4 2 3 3" xfId="2084"/>
    <cellStyle name="Note 3 2 4 2 3 3 2" xfId="12675"/>
    <cellStyle name="Note 3 2 4 2 3 4" xfId="12676"/>
    <cellStyle name="Note 3 2 4 2 4" xfId="12678"/>
    <cellStyle name="Note 3 2 4 2 4 2" xfId="12680"/>
    <cellStyle name="Note 3 2 4 2 5" xfId="12682"/>
    <cellStyle name="Note 3 2 4 3" xfId="816"/>
    <cellStyle name="Note 3 2 4 3 2" xfId="6091"/>
    <cellStyle name="Note 3 2 4 3 2 2" xfId="12686"/>
    <cellStyle name="Note 3 2 4 3 3" xfId="12688"/>
    <cellStyle name="Note 3 2 4 3 3 2" xfId="12694"/>
    <cellStyle name="Note 3 2 4 3 4" xfId="12696"/>
    <cellStyle name="Note 3 2 4 3 4 2" xfId="12698"/>
    <cellStyle name="Note 3 2 4 3 5" xfId="12700"/>
    <cellStyle name="Note 3 2 4 4" xfId="6095"/>
    <cellStyle name="Note 3 2 4 4 2" xfId="12702"/>
    <cellStyle name="Note 3 2 4 4 2 2" xfId="12705"/>
    <cellStyle name="Note 3 2 4 4 3" xfId="12707"/>
    <cellStyle name="Note 3 2 4 4 3 2" xfId="12709"/>
    <cellStyle name="Note 3 2 4 4 4" xfId="12710"/>
    <cellStyle name="Note 3 2 4 5" xfId="6627"/>
    <cellStyle name="Note 3 2 4 5 2" xfId="12711"/>
    <cellStyle name="Note 3 2 4 6" xfId="12712"/>
    <cellStyle name="Note 3 2 5" xfId="12715"/>
    <cellStyle name="Note 3 2 5 2" xfId="4075"/>
    <cellStyle name="Note 3 2 5 2 2" xfId="6099"/>
    <cellStyle name="Note 3 2 5 2 2 2" xfId="12716"/>
    <cellStyle name="Note 3 2 5 2 3" xfId="12719"/>
    <cellStyle name="Note 3 2 5 2 3 2" xfId="12720"/>
    <cellStyle name="Note 3 2 5 2 4" xfId="12723"/>
    <cellStyle name="Note 3 2 5 2 4 2" xfId="12724"/>
    <cellStyle name="Note 3 2 5 2 5" xfId="12726"/>
    <cellStyle name="Note 3 2 5 3" xfId="1071"/>
    <cellStyle name="Note 3 2 5 3 2" xfId="12728"/>
    <cellStyle name="Note 3 2 5 3 2 2" xfId="12730"/>
    <cellStyle name="Note 3 2 5 3 3" xfId="12733"/>
    <cellStyle name="Note 3 2 5 3 3 2" xfId="12735"/>
    <cellStyle name="Note 3 2 5 3 4" xfId="12738"/>
    <cellStyle name="Note 3 2 5 4" xfId="12739"/>
    <cellStyle name="Note 3 2 5 4 2" xfId="12741"/>
    <cellStyle name="Note 3 2 5 5" xfId="6635"/>
    <cellStyle name="Note 3 2 6" xfId="12742"/>
    <cellStyle name="Note 3 2 6 2" xfId="12743"/>
    <cellStyle name="Note 3 2 6 2 2" xfId="12745"/>
    <cellStyle name="Note 3 2 6 2 2 2" xfId="12746"/>
    <cellStyle name="Note 3 2 6 2 3" xfId="12750"/>
    <cellStyle name="Note 3 2 6 2 3 2" xfId="12752"/>
    <cellStyle name="Note 3 2 6 2 4" xfId="12754"/>
    <cellStyle name="Note 3 2 6 2 4 2" xfId="12756"/>
    <cellStyle name="Note 3 2 6 2 5" xfId="12757"/>
    <cellStyle name="Note 3 2 6 3" xfId="12758"/>
    <cellStyle name="Note 3 2 6 3 2" xfId="12759"/>
    <cellStyle name="Note 3 2 6 3 2 2" xfId="12763"/>
    <cellStyle name="Note 3 2 6 3 3" xfId="12766"/>
    <cellStyle name="Note 3 2 6 3 3 2" xfId="12767"/>
    <cellStyle name="Note 3 2 6 3 4" xfId="12768"/>
    <cellStyle name="Note 3 2 6 4" xfId="12769"/>
    <cellStyle name="Note 3 2 6 4 2" xfId="12770"/>
    <cellStyle name="Note 3 2 6 5" xfId="7024"/>
    <cellStyle name="Note 3 2 7" xfId="4089"/>
    <cellStyle name="Note 3 2 7 2" xfId="12771"/>
    <cellStyle name="Note 3 2 7 2 2" xfId="12772"/>
    <cellStyle name="Note 3 2 7 3" xfId="6727"/>
    <cellStyle name="Note 3 2 7 3 2" xfId="6729"/>
    <cellStyle name="Note 3 2 7 4" xfId="6738"/>
    <cellStyle name="Note 3 2 7 4 2" xfId="6741"/>
    <cellStyle name="Note 3 2 7 5" xfId="6746"/>
    <cellStyle name="Note 3 2 8" xfId="12773"/>
    <cellStyle name="Note 3 2 8 2" xfId="12774"/>
    <cellStyle name="Note 3 2 8 2 2" xfId="811"/>
    <cellStyle name="Note 3 2 8 3" xfId="6752"/>
    <cellStyle name="Note 3 2 8 3 2" xfId="6754"/>
    <cellStyle name="Note 3 2 8 4" xfId="6768"/>
    <cellStyle name="Note 3 2 8 4 2" xfId="2599"/>
    <cellStyle name="Note 3 2 8 5" xfId="6776"/>
    <cellStyle name="Note 3 2 9" xfId="12775"/>
    <cellStyle name="Note 3 2 9 2" xfId="12776"/>
    <cellStyle name="Note 3 2 9 2 2" xfId="12778"/>
    <cellStyle name="Note 3 2 9 3" xfId="4463"/>
    <cellStyle name="Note 3 2 9 3 2" xfId="4466"/>
    <cellStyle name="Note 3 2 9 4" xfId="4472"/>
    <cellStyle name="Note 3 2 9 4 2" xfId="6788"/>
    <cellStyle name="Note 3 2 9 5" xfId="4475"/>
    <cellStyle name="Note 3 3" xfId="11076"/>
    <cellStyle name="Note 3 3 2" xfId="12784"/>
    <cellStyle name="Note 3 3 2 2" xfId="12785"/>
    <cellStyle name="Note 3 3 2 2 2" xfId="12786"/>
    <cellStyle name="Note 3 3 2 2 2 2" xfId="12788"/>
    <cellStyle name="Note 3 3 2 2 3" xfId="9567"/>
    <cellStyle name="Note 3 3 2 2 3 2" xfId="9569"/>
    <cellStyle name="Note 3 3 2 2 4" xfId="7873"/>
    <cellStyle name="Note 3 3 2 2 4 2" xfId="9571"/>
    <cellStyle name="Note 3 3 2 2 5" xfId="9573"/>
    <cellStyle name="Note 3 3 2 3" xfId="12789"/>
    <cellStyle name="Note 3 3 2 3 2" xfId="12790"/>
    <cellStyle name="Note 3 3 2 3 2 2" xfId="12792"/>
    <cellStyle name="Note 3 3 2 3 3" xfId="12793"/>
    <cellStyle name="Note 3 3 2 3 3 2" xfId="12794"/>
    <cellStyle name="Note 3 3 2 3 4" xfId="7879"/>
    <cellStyle name="Note 3 3 2 4" xfId="12797"/>
    <cellStyle name="Note 3 3 2 4 2" xfId="12798"/>
    <cellStyle name="Note 3 3 2 5" xfId="12799"/>
    <cellStyle name="Note 3 3 3" xfId="12802"/>
    <cellStyle name="Note 3 3 3 2" xfId="12803"/>
    <cellStyle name="Note 3 3 3 2 2" xfId="12804"/>
    <cellStyle name="Note 3 3 3 2 2 2" xfId="8703"/>
    <cellStyle name="Note 3 3 3 2 3" xfId="12805"/>
    <cellStyle name="Note 3 3 3 2 3 2" xfId="12808"/>
    <cellStyle name="Note 3 3 3 2 4" xfId="12810"/>
    <cellStyle name="Note 3 3 3 2 4 2" xfId="12813"/>
    <cellStyle name="Note 3 3 3 2 5" xfId="12814"/>
    <cellStyle name="Note 3 3 3 3" xfId="12815"/>
    <cellStyle name="Note 3 3 3 3 2" xfId="12816"/>
    <cellStyle name="Note 3 3 3 3 2 2" xfId="12817"/>
    <cellStyle name="Note 3 3 3 3 3" xfId="12818"/>
    <cellStyle name="Note 3 3 3 3 3 2" xfId="12819"/>
    <cellStyle name="Note 3 3 3 3 4" xfId="12821"/>
    <cellStyle name="Note 3 3 3 4" xfId="12823"/>
    <cellStyle name="Note 3 3 3 4 2" xfId="12824"/>
    <cellStyle name="Note 3 3 3 5" xfId="12825"/>
    <cellStyle name="Note 3 3 4" xfId="12827"/>
    <cellStyle name="Note 3 3 4 2" xfId="12829"/>
    <cellStyle name="Note 3 3 4 2 2" xfId="12830"/>
    <cellStyle name="Note 3 3 4 3" xfId="12831"/>
    <cellStyle name="Note 3 3 4 3 2" xfId="12832"/>
    <cellStyle name="Note 3 3 4 4" xfId="12835"/>
    <cellStyle name="Note 3 3 4 4 2" xfId="12837"/>
    <cellStyle name="Note 3 3 4 5" xfId="1182"/>
    <cellStyle name="Note 3 3 5" xfId="12839"/>
    <cellStyle name="Note 3 3 5 2" xfId="12840"/>
    <cellStyle name="Note 3 3 5 2 2" xfId="12841"/>
    <cellStyle name="Note 3 3 5 3" xfId="12843"/>
    <cellStyle name="Note 3 3 5 3 2" xfId="12844"/>
    <cellStyle name="Note 3 3 5 4" xfId="12845"/>
    <cellStyle name="Note 3 3 6" xfId="12846"/>
    <cellStyle name="Note 3 3 6 2" xfId="12847"/>
    <cellStyle name="Note 3 3 7" xfId="12850"/>
    <cellStyle name="Note 3 3 8" xfId="12852"/>
    <cellStyle name="Note 3 4" xfId="12855"/>
    <cellStyle name="Note 3 4 2" xfId="12858"/>
    <cellStyle name="Note 3 4 2 2" xfId="12859"/>
    <cellStyle name="Note 3 4 2 2 2" xfId="12860"/>
    <cellStyle name="Note 3 4 2 2 2 2" xfId="12862"/>
    <cellStyle name="Note 3 4 2 2 3" xfId="12864"/>
    <cellStyle name="Note 3 4 2 2 3 2" xfId="12867"/>
    <cellStyle name="Note 3 4 2 2 4" xfId="7919"/>
    <cellStyle name="Note 3 4 2 2 4 2" xfId="12868"/>
    <cellStyle name="Note 3 4 2 2 5" xfId="12869"/>
    <cellStyle name="Note 3 4 2 3" xfId="12871"/>
    <cellStyle name="Note 3 4 2 3 2" xfId="12873"/>
    <cellStyle name="Note 3 4 2 3 2 2" xfId="12875"/>
    <cellStyle name="Note 3 4 2 3 3" xfId="12877"/>
    <cellStyle name="Note 3 4 2 3 3 2" xfId="12880"/>
    <cellStyle name="Note 3 4 2 3 4" xfId="7926"/>
    <cellStyle name="Note 3 4 2 4" xfId="12884"/>
    <cellStyle name="Note 3 4 2 4 2" xfId="12889"/>
    <cellStyle name="Note 3 4 2 5" xfId="12894"/>
    <cellStyle name="Note 3 4 3" xfId="12897"/>
    <cellStyle name="Note 3 4 3 2" xfId="12899"/>
    <cellStyle name="Note 3 4 3 2 2" xfId="12902"/>
    <cellStyle name="Note 3 4 3 3" xfId="12906"/>
    <cellStyle name="Note 3 4 3 3 2" xfId="12911"/>
    <cellStyle name="Note 3 4 3 4" xfId="12916"/>
    <cellStyle name="Note 3 4 3 4 2" xfId="12923"/>
    <cellStyle name="Note 3 4 3 5" xfId="12928"/>
    <cellStyle name="Note 3 4 4" xfId="12930"/>
    <cellStyle name="Note 3 4 4 2" xfId="12932"/>
    <cellStyle name="Note 3 4 4 2 2" xfId="12933"/>
    <cellStyle name="Note 3 4 4 3" xfId="12936"/>
    <cellStyle name="Note 3 4 4 3 2" xfId="12939"/>
    <cellStyle name="Note 3 4 4 4" xfId="12943"/>
    <cellStyle name="Note 3 4 5" xfId="12944"/>
    <cellStyle name="Note 3 4 5 2" xfId="12945"/>
    <cellStyle name="Note 3 4 6" xfId="12946"/>
    <cellStyle name="Note 3 5" xfId="12950"/>
    <cellStyle name="Note 3 5 2" xfId="12951"/>
    <cellStyle name="Note 3 5 2 2" xfId="12952"/>
    <cellStyle name="Note 3 5 2 2 2" xfId="12953"/>
    <cellStyle name="Note 3 5 2 2 2 2" xfId="12956"/>
    <cellStyle name="Note 3 5 2 2 3" xfId="12957"/>
    <cellStyle name="Note 3 5 2 2 3 2" xfId="12959"/>
    <cellStyle name="Note 3 5 2 2 4" xfId="7956"/>
    <cellStyle name="Note 3 5 2 2 4 2" xfId="12961"/>
    <cellStyle name="Note 3 5 2 2 5" xfId="12962"/>
    <cellStyle name="Note 3 5 2 3" xfId="12964"/>
    <cellStyle name="Note 3 5 2 3 2" xfId="12966"/>
    <cellStyle name="Note 3 5 2 3 2 2" xfId="12969"/>
    <cellStyle name="Note 3 5 2 3 3" xfId="12972"/>
    <cellStyle name="Note 3 5 2 3 3 2" xfId="12976"/>
    <cellStyle name="Note 3 5 2 3 4" xfId="7963"/>
    <cellStyle name="Note 3 5 2 4" xfId="12981"/>
    <cellStyle name="Note 3 5 2 4 2" xfId="12985"/>
    <cellStyle name="Note 3 5 2 5" xfId="12989"/>
    <cellStyle name="Note 3 5 3" xfId="12991"/>
    <cellStyle name="Note 3 5 3 2" xfId="12992"/>
    <cellStyle name="Note 3 5 3 2 2" xfId="12994"/>
    <cellStyle name="Note 3 5 3 3" xfId="12997"/>
    <cellStyle name="Note 3 5 3 3 2" xfId="13001"/>
    <cellStyle name="Note 3 5 3 4" xfId="13006"/>
    <cellStyle name="Note 3 5 3 4 2" xfId="13010"/>
    <cellStyle name="Note 3 5 3 5" xfId="13015"/>
    <cellStyle name="Note 3 5 4" xfId="13016"/>
    <cellStyle name="Note 3 5 4 2" xfId="13017"/>
    <cellStyle name="Note 3 5 4 2 2" xfId="13018"/>
    <cellStyle name="Note 3 5 4 3" xfId="13021"/>
    <cellStyle name="Note 3 5 4 3 2" xfId="13024"/>
    <cellStyle name="Note 3 5 4 4" xfId="13025"/>
    <cellStyle name="Note 3 5 5" xfId="13030"/>
    <cellStyle name="Note 3 5 5 2" xfId="13031"/>
    <cellStyle name="Note 3 5 6" xfId="13032"/>
    <cellStyle name="Note 3 6" xfId="13034"/>
    <cellStyle name="Note 3 6 2" xfId="13037"/>
    <cellStyle name="Note 3 6 2 2" xfId="13040"/>
    <cellStyle name="Note 3 6 2 2 2" xfId="13043"/>
    <cellStyle name="Note 3 6 2 3" xfId="13046"/>
    <cellStyle name="Note 3 6 2 3 2" xfId="13049"/>
    <cellStyle name="Note 3 6 2 4" xfId="13051"/>
    <cellStyle name="Note 3 6 2 4 2" xfId="13063"/>
    <cellStyle name="Note 3 6 2 5" xfId="13067"/>
    <cellStyle name="Note 3 6 3" xfId="13070"/>
    <cellStyle name="Note 3 6 3 2" xfId="13071"/>
    <cellStyle name="Note 3 6 3 2 2" xfId="13077"/>
    <cellStyle name="Note 3 6 3 3" xfId="13078"/>
    <cellStyle name="Note 3 6 3 3 2" xfId="13085"/>
    <cellStyle name="Note 3 6 3 4" xfId="13087"/>
    <cellStyle name="Note 3 6 4" xfId="13096"/>
    <cellStyle name="Note 3 6 4 2" xfId="13098"/>
    <cellStyle name="Note 3 6 5" xfId="13101"/>
    <cellStyle name="Note 3 7" xfId="13103"/>
    <cellStyle name="Note 3 7 2" xfId="13105"/>
    <cellStyle name="Note 3 7 2 2" xfId="13107"/>
    <cellStyle name="Note 3 7 2 2 2" xfId="13108"/>
    <cellStyle name="Note 3 7 2 3" xfId="13110"/>
    <cellStyle name="Note 3 7 2 3 2" xfId="13112"/>
    <cellStyle name="Note 3 7 2 4" xfId="13114"/>
    <cellStyle name="Note 3 7 2 4 2" xfId="13122"/>
    <cellStyle name="Note 3 7 2 5" xfId="13124"/>
    <cellStyle name="Note 3 7 3" xfId="13126"/>
    <cellStyle name="Note 3 7 3 2" xfId="13128"/>
    <cellStyle name="Note 3 7 3 2 2" xfId="13129"/>
    <cellStyle name="Note 3 7 3 3" xfId="13132"/>
    <cellStyle name="Note 3 7 3 3 2" xfId="13136"/>
    <cellStyle name="Note 3 7 3 4" xfId="13137"/>
    <cellStyle name="Note 3 7 4" xfId="13145"/>
    <cellStyle name="Note 3 7 4 2" xfId="13147"/>
    <cellStyle name="Note 3 7 5" xfId="13149"/>
    <cellStyle name="Note 3 8" xfId="13151"/>
    <cellStyle name="Note 3 8 2" xfId="13153"/>
    <cellStyle name="Note 3 8 2 2" xfId="13154"/>
    <cellStyle name="Note 3 8 3" xfId="13155"/>
    <cellStyle name="Note 3 8 3 2" xfId="13156"/>
    <cellStyle name="Note 3 8 4" xfId="13157"/>
    <cellStyle name="Note 3 8 4 2" xfId="13158"/>
    <cellStyle name="Note 3 8 5" xfId="13159"/>
    <cellStyle name="Note 3 9" xfId="13161"/>
    <cellStyle name="Note 3 9 2" xfId="13164"/>
    <cellStyle name="Note 3 9 2 2" xfId="13167"/>
    <cellStyle name="Note 3 9 3" xfId="13170"/>
    <cellStyle name="Note 3 9 3 2" xfId="13173"/>
    <cellStyle name="Note 3 9 4" xfId="13176"/>
    <cellStyle name="Note 3 9 4 2" xfId="13180"/>
    <cellStyle name="Note 3 9 5" xfId="13183"/>
    <cellStyle name="Note 4" xfId="13184"/>
    <cellStyle name="Note 4 10" xfId="1456"/>
    <cellStyle name="Note 4 10 2" xfId="13185"/>
    <cellStyle name="Note 4 10 2 2" xfId="13186"/>
    <cellStyle name="Note 4 10 3" xfId="13187"/>
    <cellStyle name="Note 4 10 3 2" xfId="13190"/>
    <cellStyle name="Note 4 10 4" xfId="13193"/>
    <cellStyle name="Note 4 10 4 2" xfId="13194"/>
    <cellStyle name="Note 4 10 5" xfId="13195"/>
    <cellStyle name="Note 4 11" xfId="13196"/>
    <cellStyle name="Note 4 2" xfId="11087"/>
    <cellStyle name="Note 4 2 2" xfId="5997"/>
    <cellStyle name="Note 4 2 2 2" xfId="3671"/>
    <cellStyle name="Note 4 2 2 2 2" xfId="3676"/>
    <cellStyle name="Note 4 2 2 2 2 2" xfId="13197"/>
    <cellStyle name="Note 4 2 2 2 3" xfId="13198"/>
    <cellStyle name="Note 4 2 2 2 3 2" xfId="13199"/>
    <cellStyle name="Note 4 2 2 2 4" xfId="13201"/>
    <cellStyle name="Note 4 2 2 2 4 2" xfId="13202"/>
    <cellStyle name="Note 4 2 2 2 5" xfId="13204"/>
    <cellStyle name="Note 4 2 2 3" xfId="3683"/>
    <cellStyle name="Note 4 2 2 3 2" xfId="3688"/>
    <cellStyle name="Note 4 2 2 3 2 2" xfId="13205"/>
    <cellStyle name="Note 4 2 2 3 3" xfId="13207"/>
    <cellStyle name="Note 4 2 2 3 3 2" xfId="13209"/>
    <cellStyle name="Note 4 2 2 3 4" xfId="13212"/>
    <cellStyle name="Note 4 2 2 4" xfId="3696"/>
    <cellStyle name="Note 4 2 2 4 2" xfId="6002"/>
    <cellStyle name="Note 4 2 2 5" xfId="6006"/>
    <cellStyle name="Note 4 2 3" xfId="5260"/>
    <cellStyle name="Note 4 2 3 2" xfId="13213"/>
    <cellStyle name="Note 4 2 3 2 2" xfId="10980"/>
    <cellStyle name="Note 4 2 3 3" xfId="13217"/>
    <cellStyle name="Note 4 2 3 3 2" xfId="10991"/>
    <cellStyle name="Note 4 2 3 4" xfId="13218"/>
    <cellStyle name="Note 4 2 3 4 2" xfId="13220"/>
    <cellStyle name="Note 4 2 3 5" xfId="13222"/>
    <cellStyle name="Note 4 2 4" xfId="13223"/>
    <cellStyle name="Note 4 2 4 2" xfId="5528"/>
    <cellStyle name="Note 4 2 4 2 2" xfId="4707"/>
    <cellStyle name="Note 4 2 4 3" xfId="6143"/>
    <cellStyle name="Note 4 2 4 3 2" xfId="4725"/>
    <cellStyle name="Note 4 2 4 4" xfId="6145"/>
    <cellStyle name="Note 4 2 4 4 2" xfId="13225"/>
    <cellStyle name="Note 4 2 4 5" xfId="7041"/>
    <cellStyle name="Note 4 2 5" xfId="13227"/>
    <cellStyle name="Note 4 2 5 2" xfId="6149"/>
    <cellStyle name="Note 4 2 5 2 2" xfId="4773"/>
    <cellStyle name="Note 4 2 5 3" xfId="6154"/>
    <cellStyle name="Note 4 2 5 3 2" xfId="13229"/>
    <cellStyle name="Note 4 2 5 4" xfId="8483"/>
    <cellStyle name="Note 4 2 6" xfId="13230"/>
    <cellStyle name="Note 4 2 6 2" xfId="8518"/>
    <cellStyle name="Note 4 2 7" xfId="13231"/>
    <cellStyle name="Note 4 3" xfId="13232"/>
    <cellStyle name="Note 4 3 2" xfId="13235"/>
    <cellStyle name="Note 4 3 2 2" xfId="13237"/>
    <cellStyle name="Note 4 3 2 2 2" xfId="13241"/>
    <cellStyle name="Note 4 3 2 2 2 2" xfId="13243"/>
    <cellStyle name="Note 4 3 2 2 3" xfId="13245"/>
    <cellStyle name="Note 4 3 2 2 3 2" xfId="13246"/>
    <cellStyle name="Note 4 3 2 2 4" xfId="13247"/>
    <cellStyle name="Note 4 3 2 2 4 2" xfId="13248"/>
    <cellStyle name="Note 4 3 2 2 5" xfId="13250"/>
    <cellStyle name="Note 4 3 2 3" xfId="13252"/>
    <cellStyle name="Note 4 3 2 3 2" xfId="13253"/>
    <cellStyle name="Note 4 3 2 3 2 2" xfId="13254"/>
    <cellStyle name="Note 4 3 2 3 3" xfId="13255"/>
    <cellStyle name="Note 4 3 2 3 3 2" xfId="13256"/>
    <cellStyle name="Note 4 3 2 3 4" xfId="13257"/>
    <cellStyle name="Note 4 3 2 4" xfId="13260"/>
    <cellStyle name="Note 4 3 2 4 2" xfId="13262"/>
    <cellStyle name="Note 4 3 2 5" xfId="13265"/>
    <cellStyle name="Note 4 3 3" xfId="13268"/>
    <cellStyle name="Note 4 3 3 2" xfId="13269"/>
    <cellStyle name="Note 4 3 3 2 2" xfId="11047"/>
    <cellStyle name="Note 4 3 3 3" xfId="13270"/>
    <cellStyle name="Note 4 3 3 3 2" xfId="11057"/>
    <cellStyle name="Note 4 3 3 4" xfId="13272"/>
    <cellStyle name="Note 4 3 3 4 2" xfId="12182"/>
    <cellStyle name="Note 4 3 3 5" xfId="13276"/>
    <cellStyle name="Note 4 3 4" xfId="13277"/>
    <cellStyle name="Note 4 3 4 2" xfId="13279"/>
    <cellStyle name="Note 4 3 4 2 2" xfId="13280"/>
    <cellStyle name="Note 4 3 4 3" xfId="13281"/>
    <cellStyle name="Note 4 3 4 3 2" xfId="13283"/>
    <cellStyle name="Note 4 3 4 4" xfId="13285"/>
    <cellStyle name="Note 4 3 5" xfId="13286"/>
    <cellStyle name="Note 4 3 5 2" xfId="13288"/>
    <cellStyle name="Note 4 3 6" xfId="13289"/>
    <cellStyle name="Note 4 4" xfId="13292"/>
    <cellStyle name="Note 4 4 2" xfId="13295"/>
    <cellStyle name="Note 4 4 2 2" xfId="13296"/>
    <cellStyle name="Note 4 4 2 2 2" xfId="13298"/>
    <cellStyle name="Note 4 4 2 2 2 2" xfId="13299"/>
    <cellStyle name="Note 4 4 2 2 3" xfId="13301"/>
    <cellStyle name="Note 4 4 2 2 3 2" xfId="13302"/>
    <cellStyle name="Note 4 4 2 2 4" xfId="13304"/>
    <cellStyle name="Note 4 4 2 2 4 2" xfId="13306"/>
    <cellStyle name="Note 4 4 2 2 5" xfId="13308"/>
    <cellStyle name="Note 4 4 2 3" xfId="13309"/>
    <cellStyle name="Note 4 4 2 3 2" xfId="13310"/>
    <cellStyle name="Note 4 4 2 3 2 2" xfId="13311"/>
    <cellStyle name="Note 4 4 2 3 3" xfId="13312"/>
    <cellStyle name="Note 4 4 2 3 3 2" xfId="13313"/>
    <cellStyle name="Note 4 4 2 3 4" xfId="13314"/>
    <cellStyle name="Note 4 4 2 4" xfId="13318"/>
    <cellStyle name="Note 4 4 2 4 2" xfId="13321"/>
    <cellStyle name="Note 4 4 2 5" xfId="13325"/>
    <cellStyle name="Note 4 4 3" xfId="13330"/>
    <cellStyle name="Note 4 4 3 2" xfId="13332"/>
    <cellStyle name="Note 4 4 3 2 2" xfId="13335"/>
    <cellStyle name="Note 4 4 3 3" xfId="13338"/>
    <cellStyle name="Note 4 4 3 3 2" xfId="13341"/>
    <cellStyle name="Note 4 4 3 4" xfId="13346"/>
    <cellStyle name="Note 4 4 3 4 2" xfId="13351"/>
    <cellStyle name="Note 4 4 3 5" xfId="13358"/>
    <cellStyle name="Note 4 4 4" xfId="13359"/>
    <cellStyle name="Note 4 4 4 2" xfId="13361"/>
    <cellStyle name="Note 4 4 4 2 2" xfId="13362"/>
    <cellStyle name="Note 4 4 4 3" xfId="13365"/>
    <cellStyle name="Note 4 4 4 3 2" xfId="13368"/>
    <cellStyle name="Note 4 4 4 4" xfId="13374"/>
    <cellStyle name="Note 4 4 5" xfId="13375"/>
    <cellStyle name="Note 4 4 5 2" xfId="13377"/>
    <cellStyle name="Note 4 4 6" xfId="13378"/>
    <cellStyle name="Note 4 5" xfId="13382"/>
    <cellStyle name="Note 4 5 2" xfId="13383"/>
    <cellStyle name="Note 4 5 2 2" xfId="13384"/>
    <cellStyle name="Note 4 5 2 2 2" xfId="13387"/>
    <cellStyle name="Note 4 5 2 3" xfId="13388"/>
    <cellStyle name="Note 4 5 2 3 2" xfId="13393"/>
    <cellStyle name="Note 4 5 2 4" xfId="13396"/>
    <cellStyle name="Note 4 5 2 4 2" xfId="13399"/>
    <cellStyle name="Note 4 5 2 5" xfId="13403"/>
    <cellStyle name="Note 4 5 3" xfId="13404"/>
    <cellStyle name="Note 4 5 3 2" xfId="3003"/>
    <cellStyle name="Note 4 5 3 2 2" xfId="3008"/>
    <cellStyle name="Note 4 5 3 3" xfId="3098"/>
    <cellStyle name="Note 4 5 3 3 2" xfId="3104"/>
    <cellStyle name="Note 4 5 3 4" xfId="649"/>
    <cellStyle name="Note 4 5 4" xfId="13405"/>
    <cellStyle name="Note 4 5 4 2" xfId="3414"/>
    <cellStyle name="Note 4 5 5" xfId="13406"/>
    <cellStyle name="Note 4 6" xfId="13407"/>
    <cellStyle name="Note 4 6 2" xfId="13408"/>
    <cellStyle name="Note 4 6 2 2" xfId="13409"/>
    <cellStyle name="Note 4 6 2 2 2" xfId="13410"/>
    <cellStyle name="Note 4 6 2 3" xfId="13411"/>
    <cellStyle name="Note 4 6 2 3 2" xfId="13412"/>
    <cellStyle name="Note 4 6 2 4" xfId="13415"/>
    <cellStyle name="Note 4 6 2 4 2" xfId="13417"/>
    <cellStyle name="Note 4 6 2 5" xfId="13421"/>
    <cellStyle name="Note 4 6 3" xfId="13422"/>
    <cellStyle name="Note 4 6 3 2" xfId="3900"/>
    <cellStyle name="Note 4 6 3 2 2" xfId="3904"/>
    <cellStyle name="Note 4 6 3 3" xfId="333"/>
    <cellStyle name="Note 4 6 3 3 2" xfId="3932"/>
    <cellStyle name="Note 4 6 3 4" xfId="341"/>
    <cellStyle name="Note 4 6 4" xfId="13423"/>
    <cellStyle name="Note 4 6 4 2" xfId="3964"/>
    <cellStyle name="Note 4 6 5" xfId="13424"/>
    <cellStyle name="Note 4 7" xfId="13425"/>
    <cellStyle name="Note 4 7 2" xfId="4026"/>
    <cellStyle name="Note 4 7 2 2" xfId="6502"/>
    <cellStyle name="Note 4 7 3" xfId="6516"/>
    <cellStyle name="Note 4 7 3 2" xfId="1001"/>
    <cellStyle name="Note 4 7 4" xfId="13426"/>
    <cellStyle name="Note 4 7 4 2" xfId="4189"/>
    <cellStyle name="Note 4 7 5" xfId="13427"/>
    <cellStyle name="Note 4 8" xfId="13429"/>
    <cellStyle name="Note 4 8 2" xfId="13433"/>
    <cellStyle name="Note 4 8 2 2" xfId="13437"/>
    <cellStyle name="Note 4 8 3" xfId="13439"/>
    <cellStyle name="Note 4 8 3 2" xfId="4263"/>
    <cellStyle name="Note 4 8 4" xfId="13440"/>
    <cellStyle name="Note 4 8 4 2" xfId="4275"/>
    <cellStyle name="Note 4 8 5" xfId="13441"/>
    <cellStyle name="Note 4 9" xfId="13444"/>
    <cellStyle name="Note 4 9 2" xfId="13446"/>
    <cellStyle name="Note 4 9 2 2" xfId="13448"/>
    <cellStyle name="Note 4 9 3" xfId="13450"/>
    <cellStyle name="Note 4 9 3 2" xfId="4319"/>
    <cellStyle name="Note 4 9 4" xfId="13452"/>
    <cellStyle name="Note 4 9 4 2" xfId="4333"/>
    <cellStyle name="Note 4 9 5" xfId="13454"/>
    <cellStyle name="Note 5" xfId="13455"/>
    <cellStyle name="Note 5 2" xfId="13458"/>
    <cellStyle name="Note 5 2 2" xfId="13459"/>
    <cellStyle name="Note 5 2 2 2" xfId="13460"/>
    <cellStyle name="Note 5 2 2 2 2" xfId="13461"/>
    <cellStyle name="Note 5 2 2 3" xfId="13462"/>
    <cellStyle name="Note 5 2 2 3 2" xfId="13463"/>
    <cellStyle name="Note 5 2 2 4" xfId="13464"/>
    <cellStyle name="Note 5 2 2 4 2" xfId="13465"/>
    <cellStyle name="Note 5 2 2 5" xfId="13466"/>
    <cellStyle name="Note 5 2 3" xfId="13468"/>
    <cellStyle name="Note 5 2 3 2" xfId="13469"/>
    <cellStyle name="Note 5 2 3 2 2" xfId="11197"/>
    <cellStyle name="Note 5 2 3 3" xfId="13470"/>
    <cellStyle name="Note 5 2 3 3 2" xfId="11213"/>
    <cellStyle name="Note 5 2 3 4" xfId="13471"/>
    <cellStyle name="Note 5 2 4" xfId="13472"/>
    <cellStyle name="Note 5 2 4 2" xfId="13473"/>
    <cellStyle name="Note 5 2 5" xfId="13474"/>
    <cellStyle name="Note 5 3" xfId="13475"/>
    <cellStyle name="Note 5 3 2" xfId="13477"/>
    <cellStyle name="Note 5 3 2 2" xfId="13478"/>
    <cellStyle name="Note 5 3 2 2 2" xfId="13480"/>
    <cellStyle name="Note 5 3 2 3" xfId="13481"/>
    <cellStyle name="Note 5 3 2 3 2" xfId="13483"/>
    <cellStyle name="Note 5 3 2 4" xfId="13486"/>
    <cellStyle name="Note 5 3 2 4 2" xfId="13489"/>
    <cellStyle name="Note 5 3 2 5" xfId="13491"/>
    <cellStyle name="Note 5 3 3" xfId="13493"/>
    <cellStyle name="Note 5 3 3 2" xfId="13494"/>
    <cellStyle name="Note 5 3 3 2 2" xfId="13495"/>
    <cellStyle name="Note 5 3 3 3" xfId="13497"/>
    <cellStyle name="Note 5 3 3 3 2" xfId="13498"/>
    <cellStyle name="Note 5 3 3 4" xfId="13501"/>
    <cellStyle name="Note 5 3 4" xfId="13503"/>
    <cellStyle name="Note 5 3 4 2" xfId="13504"/>
    <cellStyle name="Note 5 3 5" xfId="13505"/>
    <cellStyle name="Note 5 4" xfId="13508"/>
    <cellStyle name="Note 5 4 2" xfId="13510"/>
    <cellStyle name="Note 5 4 2 2" xfId="13511"/>
    <cellStyle name="Note 5 4 3" xfId="13513"/>
    <cellStyle name="Note 5 4 3 2" xfId="13514"/>
    <cellStyle name="Note 5 4 4" xfId="13515"/>
    <cellStyle name="Note 5 4 4 2" xfId="13516"/>
    <cellStyle name="Note 5 4 5" xfId="13517"/>
    <cellStyle name="Note 5 5" xfId="12781"/>
    <cellStyle name="Note 5 5 2" xfId="13519"/>
    <cellStyle name="Note 5 5 2 2" xfId="13521"/>
    <cellStyle name="Note 5 5 3" xfId="13522"/>
    <cellStyle name="Note 5 5 3 2" xfId="13524"/>
    <cellStyle name="Note 5 5 4" xfId="13525"/>
    <cellStyle name="Note 5 6" xfId="13526"/>
    <cellStyle name="Note 5 6 2" xfId="13527"/>
    <cellStyle name="Note 5 7" xfId="13528"/>
    <cellStyle name="Note 5 8" xfId="13529"/>
    <cellStyle name="Note 6" xfId="13530"/>
    <cellStyle name="Note 6 2" xfId="13531"/>
    <cellStyle name="Note 6 2 2" xfId="13533"/>
    <cellStyle name="Note 6 2 2 2" xfId="13538"/>
    <cellStyle name="Note 6 2 2 2 2" xfId="13540"/>
    <cellStyle name="Note 6 2 2 3" xfId="13541"/>
    <cellStyle name="Note 6 2 2 3 2" xfId="13542"/>
    <cellStyle name="Note 6 2 2 4" xfId="13544"/>
    <cellStyle name="Note 6 2 2 4 2" xfId="13546"/>
    <cellStyle name="Note 6 2 2 5" xfId="13549"/>
    <cellStyle name="Note 6 2 3" xfId="13551"/>
    <cellStyle name="Note 6 2 3 2" xfId="13554"/>
    <cellStyle name="Note 6 2 3 2 2" xfId="13557"/>
    <cellStyle name="Note 6 2 3 3" xfId="13559"/>
    <cellStyle name="Note 6 2 3 3 2" xfId="13561"/>
    <cellStyle name="Note 6 2 3 4" xfId="13565"/>
    <cellStyle name="Note 6 2 4" xfId="6040"/>
    <cellStyle name="Note 6 2 4 2" xfId="7152"/>
    <cellStyle name="Note 6 2 5" xfId="7155"/>
    <cellStyle name="Note 6 3" xfId="13566"/>
    <cellStyle name="Note 6 3 2" xfId="13568"/>
    <cellStyle name="Note 6 3 2 2" xfId="13569"/>
    <cellStyle name="Note 6 3 3" xfId="13571"/>
    <cellStyle name="Note 6 3 3 2" xfId="13573"/>
    <cellStyle name="Note 6 3 4" xfId="7164"/>
    <cellStyle name="Note 6 3 4 2" xfId="13575"/>
    <cellStyle name="Note 6 3 5" xfId="13577"/>
    <cellStyle name="Note 6 4" xfId="13580"/>
    <cellStyle name="Note 6 4 2" xfId="13582"/>
    <cellStyle name="Note 6 4 2 2" xfId="13583"/>
    <cellStyle name="Note 6 4 3" xfId="13584"/>
    <cellStyle name="Note 6 4 3 2" xfId="13586"/>
    <cellStyle name="Note 6 4 4" xfId="11446"/>
    <cellStyle name="Note 6 5" xfId="4469"/>
    <cellStyle name="Note 6 5 2" xfId="13588"/>
    <cellStyle name="Note 6 6" xfId="13589"/>
    <cellStyle name="Note 7" xfId="13591"/>
    <cellStyle name="Note 7 2" xfId="13593"/>
    <cellStyle name="Note 7 2 2" xfId="13597"/>
    <cellStyle name="Note 7 2 2 2" xfId="13599"/>
    <cellStyle name="Note 7 2 2 2 2" xfId="13601"/>
    <cellStyle name="Note 7 2 2 3" xfId="13602"/>
    <cellStyle name="Note 7 2 2 3 2" xfId="13604"/>
    <cellStyle name="Note 7 2 2 4" xfId="12861"/>
    <cellStyle name="Note 7 2 2 4 2" xfId="13606"/>
    <cellStyle name="Note 7 2 2 5" xfId="13607"/>
    <cellStyle name="Note 7 2 3" xfId="13610"/>
    <cellStyle name="Note 7 2 3 2" xfId="13612"/>
    <cellStyle name="Note 7 2 3 2 2" xfId="13614"/>
    <cellStyle name="Note 7 2 3 3" xfId="13615"/>
    <cellStyle name="Note 7 2 3 3 2" xfId="13618"/>
    <cellStyle name="Note 7 2 3 4" xfId="12866"/>
    <cellStyle name="Note 7 2 4" xfId="6061"/>
    <cellStyle name="Note 7 2 4 2" xfId="13620"/>
    <cellStyle name="Note 7 2 5" xfId="13622"/>
    <cellStyle name="Note 7 3" xfId="13624"/>
    <cellStyle name="Note 7 3 2" xfId="7835"/>
    <cellStyle name="Note 7 3 2 2" xfId="7837"/>
    <cellStyle name="Note 7 3 3" xfId="7840"/>
    <cellStyle name="Note 7 3 3 2" xfId="7842"/>
    <cellStyle name="Note 7 3 4" xfId="1831"/>
    <cellStyle name="Note 7 3 4 2" xfId="12588"/>
    <cellStyle name="Note 7 3 5" xfId="7845"/>
    <cellStyle name="Note 7 4" xfId="13627"/>
    <cellStyle name="Note 7 4 2" xfId="13628"/>
    <cellStyle name="Note 7 4 2 2" xfId="12635"/>
    <cellStyle name="Note 7 4 3" xfId="13629"/>
    <cellStyle name="Note 7 4 3 2" xfId="12655"/>
    <cellStyle name="Note 7 4 4" xfId="11456"/>
    <cellStyle name="Note 7 5" xfId="6791"/>
    <cellStyle name="Note 7 5 2" xfId="13630"/>
    <cellStyle name="Note 7 6" xfId="13631"/>
    <cellStyle name="Note 8" xfId="13632"/>
    <cellStyle name="Note 8 2" xfId="13634"/>
    <cellStyle name="Note 8 2 2" xfId="13635"/>
    <cellStyle name="Note 8 2 2 2" xfId="4798"/>
    <cellStyle name="Note 8 2 3" xfId="13636"/>
    <cellStyle name="Note 8 2 3 2" xfId="4841"/>
    <cellStyle name="Note 8 2 4" xfId="7168"/>
    <cellStyle name="Note 8 2 4 2" xfId="4870"/>
    <cellStyle name="Note 8 2 5" xfId="13638"/>
    <cellStyle name="Note 8 3" xfId="13639"/>
    <cellStyle name="Note 8 3 2" xfId="7876"/>
    <cellStyle name="Note 8 3 2 2" xfId="7878"/>
    <cellStyle name="Note 8 3 3" xfId="7881"/>
    <cellStyle name="Note 8 3 3 2" xfId="7883"/>
    <cellStyle name="Note 8 3 4" xfId="7885"/>
    <cellStyle name="Note 8 4" xfId="13643"/>
    <cellStyle name="Note 8 4 2" xfId="13645"/>
    <cellStyle name="Note 8 5" xfId="106"/>
    <cellStyle name="Note 9" xfId="13647"/>
    <cellStyle name="Note 9 2" xfId="13649"/>
    <cellStyle name="Note 9 2 2" xfId="13650"/>
    <cellStyle name="Note 9 2 2 2" xfId="13651"/>
    <cellStyle name="Note 9 2 3" xfId="13653"/>
    <cellStyle name="Note 9 2 3 2" xfId="13657"/>
    <cellStyle name="Note 9 2 4" xfId="13659"/>
    <cellStyle name="Note 9 2 4 2" xfId="13661"/>
    <cellStyle name="Note 9 2 5" xfId="13664"/>
    <cellStyle name="Note 9 3" xfId="13665"/>
    <cellStyle name="Note 9 3 2" xfId="7922"/>
    <cellStyle name="Note 9 3 2 2" xfId="7924"/>
    <cellStyle name="Note 9 3 3" xfId="1881"/>
    <cellStyle name="Note 9 3 3 2" xfId="1229"/>
    <cellStyle name="Note 9 3 4" xfId="4365"/>
    <cellStyle name="Note 9 4" xfId="13669"/>
    <cellStyle name="Note 9 4 2" xfId="13670"/>
    <cellStyle name="Note 9 5" xfId="7743"/>
    <cellStyle name="Output" xfId="13672"/>
    <cellStyle name="Output 10" xfId="13673"/>
    <cellStyle name="Output 10 2" xfId="13674"/>
    <cellStyle name="Output 10 2 2" xfId="13675"/>
    <cellStyle name="Output 10 3" xfId="13676"/>
    <cellStyle name="Output 10 3 2" xfId="13677"/>
    <cellStyle name="Output 10 4" xfId="13678"/>
    <cellStyle name="Output 10 4 2" xfId="13680"/>
    <cellStyle name="Output 10 5" xfId="13681"/>
    <cellStyle name="Output 11" xfId="13682"/>
    <cellStyle name="Output 11 2" xfId="13684"/>
    <cellStyle name="Output 11 2 2" xfId="13685"/>
    <cellStyle name="Output 11 3" xfId="13686"/>
    <cellStyle name="Output 11 3 2" xfId="13687"/>
    <cellStyle name="Output 11 4" xfId="13689"/>
    <cellStyle name="Output 11 4 2" xfId="13692"/>
    <cellStyle name="Output 11 5" xfId="13694"/>
    <cellStyle name="Output 12" xfId="9439"/>
    <cellStyle name="Output 12 2" xfId="13695"/>
    <cellStyle name="Output 12 2 2" xfId="13698"/>
    <cellStyle name="Output 12 3" xfId="13699"/>
    <cellStyle name="Output 12 3 2" xfId="13702"/>
    <cellStyle name="Output 12 4" xfId="13703"/>
    <cellStyle name="Output 12 4 2" xfId="13706"/>
    <cellStyle name="Output 12 5" xfId="13707"/>
    <cellStyle name="Output 13" xfId="13708"/>
    <cellStyle name="Output 2" xfId="13709"/>
    <cellStyle name="Output 2 10" xfId="13711"/>
    <cellStyle name="Output 2 10 2" xfId="13712"/>
    <cellStyle name="Output 2 10 2 2" xfId="13714"/>
    <cellStyle name="Output 2 10 3" xfId="13717"/>
    <cellStyle name="Output 2 10 3 2" xfId="13718"/>
    <cellStyle name="Output 2 10 4" xfId="13721"/>
    <cellStyle name="Output 2 10 4 2" xfId="13722"/>
    <cellStyle name="Output 2 10 5" xfId="5142"/>
    <cellStyle name="Output 2 11" xfId="13725"/>
    <cellStyle name="Output 2 11 2" xfId="13727"/>
    <cellStyle name="Output 2 11 2 2" xfId="7828"/>
    <cellStyle name="Output 2 11 3" xfId="13731"/>
    <cellStyle name="Output 2 11 3 2" xfId="7851"/>
    <cellStyle name="Output 2 11 4" xfId="13736"/>
    <cellStyle name="Output 2 11 4 2" xfId="13740"/>
    <cellStyle name="Output 2 11 5" xfId="13747"/>
    <cellStyle name="Output 2 12" xfId="13748"/>
    <cellStyle name="Output 2 2" xfId="13749"/>
    <cellStyle name="Output 2 2 10" xfId="13750"/>
    <cellStyle name="Output 2 2 2" xfId="13751"/>
    <cellStyle name="Output 2 2 2 2" xfId="13752"/>
    <cellStyle name="Output 2 2 2 2 2" xfId="13259"/>
    <cellStyle name="Output 2 2 2 2 2 2" xfId="13261"/>
    <cellStyle name="Output 2 2 2 2 2 2 2" xfId="13753"/>
    <cellStyle name="Output 2 2 2 2 2 3" xfId="13755"/>
    <cellStyle name="Output 2 2 2 2 2 3 2" xfId="13756"/>
    <cellStyle name="Output 2 2 2 2 2 4" xfId="13757"/>
    <cellStyle name="Output 2 2 2 2 2 4 2" xfId="13759"/>
    <cellStyle name="Output 2 2 2 2 2 5" xfId="13760"/>
    <cellStyle name="Output 2 2 2 2 3" xfId="13263"/>
    <cellStyle name="Output 2 2 2 2 3 2" xfId="13762"/>
    <cellStyle name="Output 2 2 2 2 3 2 2" xfId="13763"/>
    <cellStyle name="Output 2 2 2 2 3 3" xfId="13766"/>
    <cellStyle name="Output 2 2 2 2 3 3 2" xfId="13768"/>
    <cellStyle name="Output 2 2 2 2 3 4" xfId="13771"/>
    <cellStyle name="Output 2 2 2 2 4" xfId="13772"/>
    <cellStyle name="Output 2 2 2 2 4 2" xfId="13773"/>
    <cellStyle name="Output 2 2 2 2 5" xfId="12717"/>
    <cellStyle name="Output 2 2 2 3" xfId="13774"/>
    <cellStyle name="Output 2 2 2 3 2" xfId="13271"/>
    <cellStyle name="Output 2 2 2 3 2 2" xfId="12181"/>
    <cellStyle name="Output 2 2 2 3 3" xfId="13273"/>
    <cellStyle name="Output 2 2 2 3 3 2" xfId="12281"/>
    <cellStyle name="Output 2 2 2 3 4" xfId="13775"/>
    <cellStyle name="Output 2 2 2 3 4 2" xfId="12352"/>
    <cellStyle name="Output 2 2 2 3 5" xfId="12721"/>
    <cellStyle name="Output 2 2 2 4" xfId="13776"/>
    <cellStyle name="Output 2 2 2 4 2" xfId="13284"/>
    <cellStyle name="Output 2 2 2 4 2 2" xfId="12661"/>
    <cellStyle name="Output 2 2 2 4 3" xfId="533"/>
    <cellStyle name="Output 2 2 2 4 3 2" xfId="12828"/>
    <cellStyle name="Output 2 2 2 4 4" xfId="13777"/>
    <cellStyle name="Output 2 2 2 4 4 2" xfId="12931"/>
    <cellStyle name="Output 2 2 2 4 5" xfId="12725"/>
    <cellStyle name="Output 2 2 2 5" xfId="980"/>
    <cellStyle name="Output 2 2 2 5 2" xfId="13778"/>
    <cellStyle name="Output 2 2 2 5 2 2" xfId="13224"/>
    <cellStyle name="Output 2 2 2 5 3" xfId="4111"/>
    <cellStyle name="Output 2 2 2 5 3 2" xfId="13278"/>
    <cellStyle name="Output 2 2 2 5 4" xfId="13779"/>
    <cellStyle name="Output 2 2 2 6" xfId="991"/>
    <cellStyle name="Output 2 2 2 6 2" xfId="13780"/>
    <cellStyle name="Output 2 2 2 7" xfId="1005"/>
    <cellStyle name="Output 2 2 3" xfId="13782"/>
    <cellStyle name="Output 2 2 3 2" xfId="13784"/>
    <cellStyle name="Output 2 2 3 2 2" xfId="13317"/>
    <cellStyle name="Output 2 2 3 2 2 2" xfId="13320"/>
    <cellStyle name="Output 2 2 3 2 2 2 2" xfId="13785"/>
    <cellStyle name="Output 2 2 3 2 2 3" xfId="13786"/>
    <cellStyle name="Output 2 2 3 2 2 3 2" xfId="13787"/>
    <cellStyle name="Output 2 2 3 2 2 4" xfId="1038"/>
    <cellStyle name="Output 2 2 3 2 2 4 2" xfId="13789"/>
    <cellStyle name="Output 2 2 3 2 2 5" xfId="13791"/>
    <cellStyle name="Output 2 2 3 2 3" xfId="13322"/>
    <cellStyle name="Output 2 2 3 2 3 2" xfId="13793"/>
    <cellStyle name="Output 2 2 3 2 3 2 2" xfId="261"/>
    <cellStyle name="Output 2 2 3 2 3 3" xfId="13794"/>
    <cellStyle name="Output 2 2 3 2 3 3 2" xfId="6704"/>
    <cellStyle name="Output 2 2 3 2 3 4" xfId="346"/>
    <cellStyle name="Output 2 2 3 2 4" xfId="13796"/>
    <cellStyle name="Output 2 2 3 2 4 2" xfId="13797"/>
    <cellStyle name="Output 2 2 3 2 5" xfId="12731"/>
    <cellStyle name="Output 2 2 3 3" xfId="13801"/>
    <cellStyle name="Output 2 2 3 3 2" xfId="13345"/>
    <cellStyle name="Output 2 2 3 3 2 2" xfId="13350"/>
    <cellStyle name="Output 2 2 3 3 3" xfId="13353"/>
    <cellStyle name="Output 2 2 3 3 3 2" xfId="13805"/>
    <cellStyle name="Output 2 2 3 3 4" xfId="13809"/>
    <cellStyle name="Output 2 2 3 3 4 2" xfId="13810"/>
    <cellStyle name="Output 2 2 3 3 5" xfId="12736"/>
    <cellStyle name="Output 2 2 3 4" xfId="13813"/>
    <cellStyle name="Output 2 2 3 4 2" xfId="13373"/>
    <cellStyle name="Output 2 2 3 4 2 2" xfId="13816"/>
    <cellStyle name="Output 2 2 3 4 3" xfId="13821"/>
    <cellStyle name="Output 2 2 3 4 3 2" xfId="13824"/>
    <cellStyle name="Output 2 2 3 4 4" xfId="13828"/>
    <cellStyle name="Output 2 2 3 5" xfId="13830"/>
    <cellStyle name="Output 2 2 3 5 2" xfId="13832"/>
    <cellStyle name="Output 2 2 3 6" xfId="13833"/>
    <cellStyle name="Output 2 2 4" xfId="13837"/>
    <cellStyle name="Output 2 2 4 2" xfId="13839"/>
    <cellStyle name="Output 2 2 4 2 2" xfId="13395"/>
    <cellStyle name="Output 2 2 4 2 2 2" xfId="13398"/>
    <cellStyle name="Output 2 2 4 2 3" xfId="13400"/>
    <cellStyle name="Output 2 2 4 2 3 2" xfId="13842"/>
    <cellStyle name="Output 2 2 4 2 4" xfId="13845"/>
    <cellStyle name="Output 2 2 4 2 4 2" xfId="13846"/>
    <cellStyle name="Output 2 2 4 2 5" xfId="13850"/>
    <cellStyle name="Output 2 2 4 3" xfId="13853"/>
    <cellStyle name="Output 2 2 4 3 2" xfId="648"/>
    <cellStyle name="Output 2 2 4 3 2 2" xfId="1476"/>
    <cellStyle name="Output 2 2 4 3 3" xfId="663"/>
    <cellStyle name="Output 2 2 4 3 3 2" xfId="1486"/>
    <cellStyle name="Output 2 2 4 3 4" xfId="1493"/>
    <cellStyle name="Output 2 2 4 4" xfId="13856"/>
    <cellStyle name="Output 2 2 4 4 2" xfId="1501"/>
    <cellStyle name="Output 2 2 4 5" xfId="13859"/>
    <cellStyle name="Output 2 2 5" xfId="13862"/>
    <cellStyle name="Output 2 2 5 2" xfId="13865"/>
    <cellStyle name="Output 2 2 5 2 2" xfId="13414"/>
    <cellStyle name="Output 2 2 5 2 2 2" xfId="13416"/>
    <cellStyle name="Output 2 2 5 2 3" xfId="13418"/>
    <cellStyle name="Output 2 2 5 2 3 2" xfId="13866"/>
    <cellStyle name="Output 2 2 5 2 4" xfId="13867"/>
    <cellStyle name="Output 2 2 5 2 4 2" xfId="13868"/>
    <cellStyle name="Output 2 2 5 2 5" xfId="13870"/>
    <cellStyle name="Output 2 2 5 3" xfId="13872"/>
    <cellStyle name="Output 2 2 5 3 2" xfId="340"/>
    <cellStyle name="Output 2 2 5 3 2 2" xfId="13873"/>
    <cellStyle name="Output 2 2 5 3 3" xfId="13876"/>
    <cellStyle name="Output 2 2 5 3 3 2" xfId="13881"/>
    <cellStyle name="Output 2 2 5 3 4" xfId="13883"/>
    <cellStyle name="Output 2 2 5 4" xfId="13885"/>
    <cellStyle name="Output 2 2 5 4 2" xfId="13887"/>
    <cellStyle name="Output 2 2 5 5" xfId="905"/>
    <cellStyle name="Output 2 2 6" xfId="13890"/>
    <cellStyle name="Output 2 2 6 2" xfId="13893"/>
    <cellStyle name="Output 2 2 6 2 2" xfId="1521"/>
    <cellStyle name="Output 2 2 6 3" xfId="13894"/>
    <cellStyle name="Output 2 2 6 3 2" xfId="13895"/>
    <cellStyle name="Output 2 2 6 4" xfId="13896"/>
    <cellStyle name="Output 2 2 6 4 2" xfId="13897"/>
    <cellStyle name="Output 2 2 6 5" xfId="13898"/>
    <cellStyle name="Output 2 2 7" xfId="13901"/>
    <cellStyle name="Output 2 2 7 2" xfId="13903"/>
    <cellStyle name="Output 2 2 7 2 2" xfId="13906"/>
    <cellStyle name="Output 2 2 7 3" xfId="13909"/>
    <cellStyle name="Output 2 2 7 3 2" xfId="13910"/>
    <cellStyle name="Output 2 2 7 4" xfId="13911"/>
    <cellStyle name="Output 2 2 7 4 2" xfId="13912"/>
    <cellStyle name="Output 2 2 7 5" xfId="13913"/>
    <cellStyle name="Output 2 2 8" xfId="13915"/>
    <cellStyle name="Output 2 2 8 2" xfId="13916"/>
    <cellStyle name="Output 2 2 8 2 2" xfId="13917"/>
    <cellStyle name="Output 2 2 8 3" xfId="13918"/>
    <cellStyle name="Output 2 2 8 3 2" xfId="13919"/>
    <cellStyle name="Output 2 2 8 4" xfId="13920"/>
    <cellStyle name="Output 2 2 8 4 2" xfId="13921"/>
    <cellStyle name="Output 2 2 8 5" xfId="13922"/>
    <cellStyle name="Output 2 2 9" xfId="13924"/>
    <cellStyle name="Output 2 2 9 2" xfId="2703"/>
    <cellStyle name="Output 2 2 9 2 2" xfId="13925"/>
    <cellStyle name="Output 2 2 9 3" xfId="13926"/>
    <cellStyle name="Output 2 2 9 3 2" xfId="13927"/>
    <cellStyle name="Output 2 2 9 4" xfId="13928"/>
    <cellStyle name="Output 2 2 9 4 2" xfId="13929"/>
    <cellStyle name="Output 2 2 9 5" xfId="13930"/>
    <cellStyle name="Output 2 3" xfId="13932"/>
    <cellStyle name="Output 2 3 2" xfId="13935"/>
    <cellStyle name="Output 2 3 2 2" xfId="13937"/>
    <cellStyle name="Output 2 3 2 2 2" xfId="13485"/>
    <cellStyle name="Output 2 3 2 2 2 2" xfId="13488"/>
    <cellStyle name="Output 2 3 2 2 2 2 2" xfId="13939"/>
    <cellStyle name="Output 2 3 2 2 2 3" xfId="13942"/>
    <cellStyle name="Output 2 3 2 2 2 3 2" xfId="13944"/>
    <cellStyle name="Output 2 3 2 2 2 4" xfId="13946"/>
    <cellStyle name="Output 2 3 2 2 2 4 2" xfId="13948"/>
    <cellStyle name="Output 2 3 2 2 2 5" xfId="13953"/>
    <cellStyle name="Output 2 3 2 2 3" xfId="13490"/>
    <cellStyle name="Output 2 3 2 2 3 2" xfId="13956"/>
    <cellStyle name="Output 2 3 2 2 3 2 2" xfId="13960"/>
    <cellStyle name="Output 2 3 2 2 3 3" xfId="13963"/>
    <cellStyle name="Output 2 3 2 2 3 3 2" xfId="13966"/>
    <cellStyle name="Output 2 3 2 2 3 4" xfId="13970"/>
    <cellStyle name="Output 2 3 2 2 4" xfId="13971"/>
    <cellStyle name="Output 2 3 2 2 4 2" xfId="13973"/>
    <cellStyle name="Output 2 3 2 2 5" xfId="12747"/>
    <cellStyle name="Output 2 3 2 3" xfId="13975"/>
    <cellStyle name="Output 2 3 2 3 2" xfId="13500"/>
    <cellStyle name="Output 2 3 2 3 2 2" xfId="13976"/>
    <cellStyle name="Output 2 3 2 3 3" xfId="13977"/>
    <cellStyle name="Output 2 3 2 3 3 2" xfId="13978"/>
    <cellStyle name="Output 2 3 2 3 4" xfId="13979"/>
    <cellStyle name="Output 2 3 2 3 4 2" xfId="13980"/>
    <cellStyle name="Output 2 3 2 3 5" xfId="12753"/>
    <cellStyle name="Output 2 3 2 4" xfId="13982"/>
    <cellStyle name="Output 2 3 2 4 2" xfId="13984"/>
    <cellStyle name="Output 2 3 2 4 2 2" xfId="13985"/>
    <cellStyle name="Output 2 3 2 4 3" xfId="13986"/>
    <cellStyle name="Output 2 3 2 4 3 2" xfId="13988"/>
    <cellStyle name="Output 2 3 2 4 4" xfId="13990"/>
    <cellStyle name="Output 2 3 2 5" xfId="13993"/>
    <cellStyle name="Output 2 3 2 5 2" xfId="13996"/>
    <cellStyle name="Output 2 3 2 6" xfId="13999"/>
    <cellStyle name="Output 2 3 3" xfId="14001"/>
    <cellStyle name="Output 2 3 3 2" xfId="14005"/>
    <cellStyle name="Output 2 3 3 2 2" xfId="14009"/>
    <cellStyle name="Output 2 3 3 2 2 2" xfId="14012"/>
    <cellStyle name="Output 2 3 3 2 3" xfId="14017"/>
    <cellStyle name="Output 2 3 3 2 3 2" xfId="14020"/>
    <cellStyle name="Output 2 3 3 2 4" xfId="14024"/>
    <cellStyle name="Output 2 3 3 2 4 2" xfId="14025"/>
    <cellStyle name="Output 2 3 3 2 5" xfId="12764"/>
    <cellStyle name="Output 2 3 3 3" xfId="14032"/>
    <cellStyle name="Output 2 3 3 3 2" xfId="14036"/>
    <cellStyle name="Output 2 3 3 3 2 2" xfId="14039"/>
    <cellStyle name="Output 2 3 3 3 3" xfId="14043"/>
    <cellStyle name="Output 2 3 3 3 3 2" xfId="14047"/>
    <cellStyle name="Output 2 3 3 3 4" xfId="14050"/>
    <cellStyle name="Output 2 3 3 4" xfId="14053"/>
    <cellStyle name="Output 2 3 3 4 2" xfId="14057"/>
    <cellStyle name="Output 2 3 3 5" xfId="14061"/>
    <cellStyle name="Output 2 3 4" xfId="14066"/>
    <cellStyle name="Output 2 3 4 2" xfId="14069"/>
    <cellStyle name="Output 2 3 4 2 2" xfId="14070"/>
    <cellStyle name="Output 2 3 4 2 2 2" xfId="14074"/>
    <cellStyle name="Output 2 3 4 2 3" xfId="14076"/>
    <cellStyle name="Output 2 3 4 2 3 2" xfId="14077"/>
    <cellStyle name="Output 2 3 4 2 4" xfId="14078"/>
    <cellStyle name="Output 2 3 4 2 4 2" xfId="14079"/>
    <cellStyle name="Output 2 3 4 2 5" xfId="14082"/>
    <cellStyle name="Output 2 3 4 3" xfId="14085"/>
    <cellStyle name="Output 2 3 4 3 2" xfId="14088"/>
    <cellStyle name="Output 2 3 4 3 2 2" xfId="14089"/>
    <cellStyle name="Output 2 3 4 3 3" xfId="14091"/>
    <cellStyle name="Output 2 3 4 3 3 2" xfId="14092"/>
    <cellStyle name="Output 2 3 4 3 4" xfId="14093"/>
    <cellStyle name="Output 2 3 4 4" xfId="14094"/>
    <cellStyle name="Output 2 3 4 4 2" xfId="14100"/>
    <cellStyle name="Output 2 3 4 5" xfId="14104"/>
    <cellStyle name="Output 2 3 5" xfId="14107"/>
    <cellStyle name="Output 2 3 5 2" xfId="14111"/>
    <cellStyle name="Output 2 3 5 2 2" xfId="14114"/>
    <cellStyle name="Output 2 3 5 3" xfId="14118"/>
    <cellStyle name="Output 2 3 5 3 2" xfId="14121"/>
    <cellStyle name="Output 2 3 5 4" xfId="14124"/>
    <cellStyle name="Output 2 3 5 4 2" xfId="14126"/>
    <cellStyle name="Output 2 3 5 5" xfId="14129"/>
    <cellStyle name="Output 2 3 6" xfId="14132"/>
    <cellStyle name="Output 2 3 6 2" xfId="14137"/>
    <cellStyle name="Output 2 3 6 2 2" xfId="14140"/>
    <cellStyle name="Output 2 3 6 3" xfId="14143"/>
    <cellStyle name="Output 2 3 6 3 2" xfId="14146"/>
    <cellStyle name="Output 2 3 6 4" xfId="14150"/>
    <cellStyle name="Output 2 3 7" xfId="14153"/>
    <cellStyle name="Output 2 3 7 2" xfId="14155"/>
    <cellStyle name="Output 2 3 8" xfId="14157"/>
    <cellStyle name="Output 2 3 9" xfId="14159"/>
    <cellStyle name="Output 2 4" xfId="14161"/>
    <cellStyle name="Output 2 4 2" xfId="14162"/>
    <cellStyle name="Output 2 4 2 2" xfId="14163"/>
    <cellStyle name="Output 2 4 2 2 2" xfId="14164"/>
    <cellStyle name="Output 2 4 2 2 2 2" xfId="14166"/>
    <cellStyle name="Output 2 4 2 2 2 2 2" xfId="14168"/>
    <cellStyle name="Output 2 4 2 2 2 3" xfId="14169"/>
    <cellStyle name="Output 2 4 2 2 2 3 2" xfId="14170"/>
    <cellStyle name="Output 2 4 2 2 2 4" xfId="14171"/>
    <cellStyle name="Output 2 4 2 2 2 4 2" xfId="806"/>
    <cellStyle name="Output 2 4 2 2 2 5" xfId="14172"/>
    <cellStyle name="Output 2 4 2 2 3" xfId="14173"/>
    <cellStyle name="Output 2 4 2 2 3 2" xfId="14175"/>
    <cellStyle name="Output 2 4 2 2 3 2 2" xfId="14178"/>
    <cellStyle name="Output 2 4 2 2 3 3" xfId="14180"/>
    <cellStyle name="Output 2 4 2 2 3 3 2" xfId="14182"/>
    <cellStyle name="Output 2 4 2 2 3 4" xfId="14183"/>
    <cellStyle name="Output 2 4 2 2 4" xfId="14185"/>
    <cellStyle name="Output 2 4 2 2 4 2" xfId="14187"/>
    <cellStyle name="Output 2 4 2 2 5" xfId="14188"/>
    <cellStyle name="Output 2 4 2 3" xfId="14189"/>
    <cellStyle name="Output 2 4 2 3 2" xfId="14191"/>
    <cellStyle name="Output 2 4 2 3 2 2" xfId="14192"/>
    <cellStyle name="Output 2 4 2 3 3" xfId="14194"/>
    <cellStyle name="Output 2 4 2 3 3 2" xfId="14195"/>
    <cellStyle name="Output 2 4 2 3 4" xfId="14196"/>
    <cellStyle name="Output 2 4 2 3 4 2" xfId="14197"/>
    <cellStyle name="Output 2 4 2 3 5" xfId="14198"/>
    <cellStyle name="Output 2 4 2 4" xfId="13652"/>
    <cellStyle name="Output 2 4 2 4 2" xfId="14200"/>
    <cellStyle name="Output 2 4 2 4 2 2" xfId="14201"/>
    <cellStyle name="Output 2 4 2 4 3" xfId="14204"/>
    <cellStyle name="Output 2 4 2 4 3 2" xfId="14206"/>
    <cellStyle name="Output 2 4 2 4 4" xfId="14207"/>
    <cellStyle name="Output 2 4 2 5" xfId="14208"/>
    <cellStyle name="Output 2 4 2 5 2" xfId="14211"/>
    <cellStyle name="Output 2 4 2 6" xfId="14212"/>
    <cellStyle name="Output 2 4 3" xfId="14215"/>
    <cellStyle name="Output 2 4 3 2" xfId="14218"/>
    <cellStyle name="Output 2 4 3 2 2" xfId="14221"/>
    <cellStyle name="Output 2 4 3 2 2 2" xfId="14222"/>
    <cellStyle name="Output 2 4 3 2 3" xfId="14223"/>
    <cellStyle name="Output 2 4 3 2 3 2" xfId="14224"/>
    <cellStyle name="Output 2 4 3 2 4" xfId="14225"/>
    <cellStyle name="Output 2 4 3 2 4 2" xfId="14226"/>
    <cellStyle name="Output 2 4 3 2 5" xfId="6731"/>
    <cellStyle name="Output 2 4 3 3" xfId="14230"/>
    <cellStyle name="Output 2 4 3 3 2" xfId="14235"/>
    <cellStyle name="Output 2 4 3 3 2 2" xfId="14238"/>
    <cellStyle name="Output 2 4 3 3 3" xfId="14240"/>
    <cellStyle name="Output 2 4 3 3 3 2" xfId="14242"/>
    <cellStyle name="Output 2 4 3 3 4" xfId="14245"/>
    <cellStyle name="Output 2 4 3 4" xfId="13658"/>
    <cellStyle name="Output 2 4 3 4 2" xfId="14249"/>
    <cellStyle name="Output 2 4 3 5" xfId="14252"/>
    <cellStyle name="Output 2 4 4" xfId="14255"/>
    <cellStyle name="Output 2 4 4 2" xfId="14257"/>
    <cellStyle name="Output 2 4 4 2 2" xfId="14258"/>
    <cellStyle name="Output 2 4 4 2 2 2" xfId="14261"/>
    <cellStyle name="Output 2 4 4 2 3" xfId="13679"/>
    <cellStyle name="Output 2 4 4 2 3 2" xfId="14262"/>
    <cellStyle name="Output 2 4 4 2 4" xfId="265"/>
    <cellStyle name="Output 2 4 4 2 4 2" xfId="14263"/>
    <cellStyle name="Output 2 4 4 2 5" xfId="283"/>
    <cellStyle name="Output 2 4 4 3" xfId="14266"/>
    <cellStyle name="Output 2 4 4 3 2" xfId="14268"/>
    <cellStyle name="Output 2 4 4 3 2 2" xfId="14269"/>
    <cellStyle name="Output 2 4 4 3 3" xfId="14270"/>
    <cellStyle name="Output 2 4 4 3 3 2" xfId="14271"/>
    <cellStyle name="Output 2 4 4 3 4" xfId="14272"/>
    <cellStyle name="Output 2 4 4 4" xfId="13662"/>
    <cellStyle name="Output 2 4 4 4 2" xfId="14273"/>
    <cellStyle name="Output 2 4 4 5" xfId="14275"/>
    <cellStyle name="Output 2 4 5" xfId="14279"/>
    <cellStyle name="Output 2 4 5 2" xfId="14283"/>
    <cellStyle name="Output 2 4 5 2 2" xfId="14285"/>
    <cellStyle name="Output 2 4 5 3" xfId="14287"/>
    <cellStyle name="Output 2 4 5 3 2" xfId="14290"/>
    <cellStyle name="Output 2 4 5 4" xfId="14292"/>
    <cellStyle name="Output 2 4 5 4 2" xfId="14294"/>
    <cellStyle name="Output 2 4 5 5" xfId="14296"/>
    <cellStyle name="Output 2 4 6" xfId="14300"/>
    <cellStyle name="Output 2 4 6 2" xfId="14304"/>
    <cellStyle name="Output 2 4 6 2 2" xfId="14307"/>
    <cellStyle name="Output 2 4 6 3" xfId="14310"/>
    <cellStyle name="Output 2 4 6 3 2" xfId="14313"/>
    <cellStyle name="Output 2 4 6 4" xfId="14316"/>
    <cellStyle name="Output 2 4 7" xfId="14318"/>
    <cellStyle name="Output 2 4 7 2" xfId="14320"/>
    <cellStyle name="Output 2 4 8" xfId="10974"/>
    <cellStyle name="Output 2 5" xfId="14323"/>
    <cellStyle name="Output 2 5 2" xfId="12870"/>
    <cellStyle name="Output 2 5 2 2" xfId="12872"/>
    <cellStyle name="Output 2 5 2 2 2" xfId="12874"/>
    <cellStyle name="Output 2 5 2 2 2 2" xfId="14325"/>
    <cellStyle name="Output 2 5 2 2 3" xfId="14326"/>
    <cellStyle name="Output 2 5 2 2 3 2" xfId="14328"/>
    <cellStyle name="Output 2 5 2 2 4" xfId="14329"/>
    <cellStyle name="Output 2 5 2 2 4 2" xfId="14332"/>
    <cellStyle name="Output 2 5 2 2 5" xfId="14333"/>
    <cellStyle name="Output 2 5 2 3" xfId="12876"/>
    <cellStyle name="Output 2 5 2 3 2" xfId="12879"/>
    <cellStyle name="Output 2 5 2 3 2 2" xfId="14335"/>
    <cellStyle name="Output 2 5 2 3 3" xfId="14336"/>
    <cellStyle name="Output 2 5 2 3 3 2" xfId="14338"/>
    <cellStyle name="Output 2 5 2 3 4" xfId="14339"/>
    <cellStyle name="Output 2 5 2 4" xfId="7925"/>
    <cellStyle name="Output 2 5 2 4 2" xfId="14340"/>
    <cellStyle name="Output 2 5 2 5" xfId="14341"/>
    <cellStyle name="Output 2 5 3" xfId="12883"/>
    <cellStyle name="Output 2 5 3 2" xfId="12888"/>
    <cellStyle name="Output 2 5 3 2 2" xfId="14342"/>
    <cellStyle name="Output 2 5 3 3" xfId="14348"/>
    <cellStyle name="Output 2 5 3 3 2" xfId="14349"/>
    <cellStyle name="Output 2 5 3 4" xfId="1230"/>
    <cellStyle name="Output 2 5 3 4 2" xfId="14355"/>
    <cellStyle name="Output 2 5 3 5" xfId="14358"/>
    <cellStyle name="Output 2 5 4" xfId="12893"/>
    <cellStyle name="Output 2 5 4 2" xfId="14362"/>
    <cellStyle name="Output 2 5 4 2 2" xfId="14365"/>
    <cellStyle name="Output 2 5 4 3" xfId="14369"/>
    <cellStyle name="Output 2 5 4 3 2" xfId="14372"/>
    <cellStyle name="Output 2 5 4 4" xfId="1254"/>
    <cellStyle name="Output 2 5 5" xfId="14378"/>
    <cellStyle name="Output 2 5 5 2" xfId="14383"/>
    <cellStyle name="Output 2 5 6" xfId="12685"/>
    <cellStyle name="Output 2 6" xfId="14385"/>
    <cellStyle name="Output 2 6 2" xfId="12905"/>
    <cellStyle name="Output 2 6 2 2" xfId="12910"/>
    <cellStyle name="Output 2 6 2 2 2" xfId="14387"/>
    <cellStyle name="Output 2 6 2 2 2 2" xfId="14388"/>
    <cellStyle name="Output 2 6 2 2 3" xfId="14389"/>
    <cellStyle name="Output 2 6 2 2 3 2" xfId="14390"/>
    <cellStyle name="Output 2 6 2 2 4" xfId="14391"/>
    <cellStyle name="Output 2 6 2 2 4 2" xfId="14392"/>
    <cellStyle name="Output 2 6 2 2 5" xfId="13518"/>
    <cellStyle name="Output 2 6 2 3" xfId="14397"/>
    <cellStyle name="Output 2 6 2 3 2" xfId="14400"/>
    <cellStyle name="Output 2 6 2 3 2 2" xfId="14401"/>
    <cellStyle name="Output 2 6 2 3 3" xfId="14402"/>
    <cellStyle name="Output 2 6 2 3 3 2" xfId="14405"/>
    <cellStyle name="Output 2 6 2 3 4" xfId="14406"/>
    <cellStyle name="Output 2 6 2 4" xfId="14409"/>
    <cellStyle name="Output 2 6 2 4 2" xfId="14414"/>
    <cellStyle name="Output 2 6 2 5" xfId="1766"/>
    <cellStyle name="Output 2 6 3" xfId="12915"/>
    <cellStyle name="Output 2 6 3 2" xfId="12922"/>
    <cellStyle name="Output 2 6 3 2 2" xfId="14416"/>
    <cellStyle name="Output 2 6 3 3" xfId="14422"/>
    <cellStyle name="Output 2 6 3 3 2" xfId="14426"/>
    <cellStyle name="Output 2 6 3 4" xfId="1781"/>
    <cellStyle name="Output 2 6 3 4 2" xfId="14432"/>
    <cellStyle name="Output 2 6 3 5" xfId="4395"/>
    <cellStyle name="Output 2 6 4" xfId="12927"/>
    <cellStyle name="Output 2 6 4 2" xfId="14438"/>
    <cellStyle name="Output 2 6 4 2 2" xfId="14439"/>
    <cellStyle name="Output 2 6 4 3" xfId="14443"/>
    <cellStyle name="Output 2 6 4 3 2" xfId="14445"/>
    <cellStyle name="Output 2 6 4 4" xfId="4404"/>
    <cellStyle name="Output 2 6 5" xfId="14450"/>
    <cellStyle name="Output 2 6 5 2" xfId="14456"/>
    <cellStyle name="Output 2 6 6" xfId="12693"/>
    <cellStyle name="Output 2 7" xfId="14458"/>
    <cellStyle name="Output 2 7 2" xfId="12935"/>
    <cellStyle name="Output 2 7 2 2" xfId="12938"/>
    <cellStyle name="Output 2 7 2 2 2" xfId="14459"/>
    <cellStyle name="Output 2 7 2 3" xfId="14462"/>
    <cellStyle name="Output 2 7 2 3 2" xfId="14463"/>
    <cellStyle name="Output 2 7 2 4" xfId="14464"/>
    <cellStyle name="Output 2 7 2 4 2" xfId="14466"/>
    <cellStyle name="Output 2 7 2 5" xfId="1646"/>
    <cellStyle name="Output 2 7 3" xfId="12942"/>
    <cellStyle name="Output 2 7 3 2" xfId="14470"/>
    <cellStyle name="Output 2 7 3 2 2" xfId="14472"/>
    <cellStyle name="Output 2 7 3 3" xfId="14476"/>
    <cellStyle name="Output 2 7 3 3 2" xfId="14478"/>
    <cellStyle name="Output 2 7 3 4" xfId="14482"/>
    <cellStyle name="Output 2 7 4" xfId="14485"/>
    <cellStyle name="Output 2 7 4 2" xfId="14488"/>
    <cellStyle name="Output 2 7 5" xfId="14492"/>
    <cellStyle name="Output 2 8" xfId="14494"/>
    <cellStyle name="Output 2 8 2" xfId="14496"/>
    <cellStyle name="Output 2 8 2 2" xfId="14498"/>
    <cellStyle name="Output 2 8 2 2 2" xfId="14499"/>
    <cellStyle name="Output 2 8 2 3" xfId="14502"/>
    <cellStyle name="Output 2 8 2 3 2" xfId="14503"/>
    <cellStyle name="Output 2 8 2 4" xfId="14504"/>
    <cellStyle name="Output 2 8 2 4 2" xfId="14506"/>
    <cellStyle name="Output 2 8 2 5" xfId="14507"/>
    <cellStyle name="Output 2 8 3" xfId="14511"/>
    <cellStyle name="Output 2 8 3 2" xfId="14513"/>
    <cellStyle name="Output 2 8 3 2 2" xfId="14516"/>
    <cellStyle name="Output 2 8 3 3" xfId="14517"/>
    <cellStyle name="Output 2 8 3 3 2" xfId="14519"/>
    <cellStyle name="Output 2 8 3 4" xfId="14520"/>
    <cellStyle name="Output 2 8 4" xfId="14522"/>
    <cellStyle name="Output 2 8 4 2" xfId="14526"/>
    <cellStyle name="Output 2 8 5" xfId="14529"/>
    <cellStyle name="Output 2 9" xfId="12557"/>
    <cellStyle name="Output 2 9 2" xfId="14530"/>
    <cellStyle name="Output 2 9 2 2" xfId="14534"/>
    <cellStyle name="Output 2 9 3" xfId="14536"/>
    <cellStyle name="Output 2 9 3 2" xfId="14538"/>
    <cellStyle name="Output 2 9 4" xfId="14541"/>
    <cellStyle name="Output 2 9 4 2" xfId="14543"/>
    <cellStyle name="Output 2 9 5" xfId="14545"/>
    <cellStyle name="Output 3" xfId="14547"/>
    <cellStyle name="Output 3 10" xfId="12370"/>
    <cellStyle name="Output 3 2" xfId="14548"/>
    <cellStyle name="Output 3 2 2" xfId="14549"/>
    <cellStyle name="Output 3 2 2 2" xfId="11844"/>
    <cellStyle name="Output 3 2 2 2 2" xfId="11847"/>
    <cellStyle name="Output 3 2 2 2 2 2" xfId="14551"/>
    <cellStyle name="Output 3 2 2 2 3" xfId="14552"/>
    <cellStyle name="Output 3 2 2 2 3 2" xfId="14553"/>
    <cellStyle name="Output 3 2 2 2 4" xfId="9605"/>
    <cellStyle name="Output 3 2 2 2 4 2" xfId="9607"/>
    <cellStyle name="Output 3 2 2 2 5" xfId="9616"/>
    <cellStyle name="Output 3 2 2 3" xfId="11849"/>
    <cellStyle name="Output 3 2 2 3 2" xfId="14554"/>
    <cellStyle name="Output 3 2 2 3 2 2" xfId="14556"/>
    <cellStyle name="Output 3 2 2 3 3" xfId="14557"/>
    <cellStyle name="Output 3 2 2 3 3 2" xfId="14559"/>
    <cellStyle name="Output 3 2 2 3 4" xfId="9630"/>
    <cellStyle name="Output 3 2 2 4" xfId="14560"/>
    <cellStyle name="Output 3 2 2 4 2" xfId="14561"/>
    <cellStyle name="Output 3 2 2 5" xfId="14562"/>
    <cellStyle name="Output 3 2 3" xfId="14563"/>
    <cellStyle name="Output 3 2 3 2" xfId="11864"/>
    <cellStyle name="Output 3 2 3 2 2" xfId="12388"/>
    <cellStyle name="Output 3 2 3 3" xfId="14564"/>
    <cellStyle name="Output 3 2 3 3 2" xfId="14566"/>
    <cellStyle name="Output 3 2 3 4" xfId="14567"/>
    <cellStyle name="Output 3 2 3 4 2" xfId="14569"/>
    <cellStyle name="Output 3 2 3 5" xfId="14570"/>
    <cellStyle name="Output 3 2 4" xfId="14573"/>
    <cellStyle name="Output 3 2 4 2" xfId="14574"/>
    <cellStyle name="Output 3 2 4 2 2" xfId="14575"/>
    <cellStyle name="Output 3 2 4 3" xfId="14577"/>
    <cellStyle name="Output 3 2 4 3 2" xfId="14578"/>
    <cellStyle name="Output 3 2 4 4" xfId="14579"/>
    <cellStyle name="Output 3 2 4 4 2" xfId="14580"/>
    <cellStyle name="Output 3 2 4 5" xfId="14581"/>
    <cellStyle name="Output 3 2 5" xfId="14583"/>
    <cellStyle name="Output 3 2 5 2" xfId="14585"/>
    <cellStyle name="Output 3 2 5 2 2" xfId="14587"/>
    <cellStyle name="Output 3 2 5 3" xfId="14588"/>
    <cellStyle name="Output 3 2 5 3 2" xfId="14590"/>
    <cellStyle name="Output 3 2 5 4" xfId="14591"/>
    <cellStyle name="Output 3 2 6" xfId="14594"/>
    <cellStyle name="Output 3 2 6 2" xfId="14597"/>
    <cellStyle name="Output 3 2 7" xfId="14599"/>
    <cellStyle name="Output 3 3" xfId="14600"/>
    <cellStyle name="Output 3 3 2" xfId="14601"/>
    <cellStyle name="Output 3 3 2 2" xfId="14602"/>
    <cellStyle name="Output 3 3 2 2 2" xfId="14603"/>
    <cellStyle name="Output 3 3 2 2 2 2" xfId="14605"/>
    <cellStyle name="Output 3 3 2 2 3" xfId="14606"/>
    <cellStyle name="Output 3 3 2 2 3 2" xfId="14608"/>
    <cellStyle name="Output 3 3 2 2 4" xfId="9955"/>
    <cellStyle name="Output 3 3 2 2 4 2" xfId="9960"/>
    <cellStyle name="Output 3 3 2 2 5" xfId="9962"/>
    <cellStyle name="Output 3 3 2 3" xfId="14609"/>
    <cellStyle name="Output 3 3 2 3 2" xfId="14610"/>
    <cellStyle name="Output 3 3 2 3 2 2" xfId="14614"/>
    <cellStyle name="Output 3 3 2 3 3" xfId="14615"/>
    <cellStyle name="Output 3 3 2 3 3 2" xfId="14620"/>
    <cellStyle name="Output 3 3 2 3 4" xfId="9974"/>
    <cellStyle name="Output 3 3 2 4" xfId="14621"/>
    <cellStyle name="Output 3 3 2 4 2" xfId="14623"/>
    <cellStyle name="Output 3 3 2 5" xfId="14625"/>
    <cellStyle name="Output 3 3 3" xfId="14626"/>
    <cellStyle name="Output 3 3 3 2" xfId="14628"/>
    <cellStyle name="Output 3 3 3 2 2" xfId="14629"/>
    <cellStyle name="Output 3 3 3 3" xfId="14630"/>
    <cellStyle name="Output 3 3 3 3 2" xfId="14631"/>
    <cellStyle name="Output 3 3 3 4" xfId="14632"/>
    <cellStyle name="Output 3 3 3 4 2" xfId="14633"/>
    <cellStyle name="Output 3 3 3 5" xfId="14635"/>
    <cellStyle name="Output 3 3 4" xfId="14638"/>
    <cellStyle name="Output 3 3 4 2" xfId="14639"/>
    <cellStyle name="Output 3 3 4 2 2" xfId="14640"/>
    <cellStyle name="Output 3 3 4 3" xfId="14642"/>
    <cellStyle name="Output 3 3 4 3 2" xfId="14644"/>
    <cellStyle name="Output 3 3 4 4" xfId="14645"/>
    <cellStyle name="Output 3 3 5" xfId="14647"/>
    <cellStyle name="Output 3 3 5 2" xfId="14649"/>
    <cellStyle name="Output 3 3 6" xfId="14652"/>
    <cellStyle name="Output 3 4" xfId="14653"/>
    <cellStyle name="Output 3 4 2" xfId="14654"/>
    <cellStyle name="Output 3 4 2 2" xfId="14655"/>
    <cellStyle name="Output 3 4 2 2 2" xfId="14656"/>
    <cellStyle name="Output 3 4 2 3" xfId="14659"/>
    <cellStyle name="Output 3 4 2 3 2" xfId="14661"/>
    <cellStyle name="Output 3 4 2 4" xfId="14663"/>
    <cellStyle name="Output 3 4 2 4 2" xfId="14666"/>
    <cellStyle name="Output 3 4 2 5" xfId="14668"/>
    <cellStyle name="Output 3 4 3" xfId="14669"/>
    <cellStyle name="Output 3 4 3 2" xfId="14670"/>
    <cellStyle name="Output 3 4 3 2 2" xfId="14671"/>
    <cellStyle name="Output 3 4 3 3" xfId="14673"/>
    <cellStyle name="Output 3 4 3 3 2" xfId="14677"/>
    <cellStyle name="Output 3 4 3 4" xfId="14680"/>
    <cellStyle name="Output 3 4 4" xfId="14681"/>
    <cellStyle name="Output 3 4 4 2" xfId="14682"/>
    <cellStyle name="Output 3 4 5" xfId="14684"/>
    <cellStyle name="Output 3 5" xfId="14685"/>
    <cellStyle name="Output 3 5 2" xfId="12963"/>
    <cellStyle name="Output 3 5 2 2" xfId="12965"/>
    <cellStyle name="Output 3 5 2 2 2" xfId="12968"/>
    <cellStyle name="Output 3 5 2 3" xfId="12971"/>
    <cellStyle name="Output 3 5 2 3 2" xfId="12975"/>
    <cellStyle name="Output 3 5 2 4" xfId="7962"/>
    <cellStyle name="Output 3 5 2 4 2" xfId="14686"/>
    <cellStyle name="Output 3 5 2 5" xfId="14688"/>
    <cellStyle name="Output 3 5 3" xfId="12980"/>
    <cellStyle name="Output 3 5 3 2" xfId="12984"/>
    <cellStyle name="Output 3 5 3 2 2" xfId="14689"/>
    <cellStyle name="Output 3 5 3 3" xfId="14691"/>
    <cellStyle name="Output 3 5 3 3 2" xfId="14694"/>
    <cellStyle name="Output 3 5 3 4" xfId="7965"/>
    <cellStyle name="Output 3 5 4" xfId="12988"/>
    <cellStyle name="Output 3 5 4 2" xfId="14695"/>
    <cellStyle name="Output 3 5 5" xfId="14703"/>
    <cellStyle name="Output 3 6" xfId="14705"/>
    <cellStyle name="Output 3 6 2" xfId="12996"/>
    <cellStyle name="Output 3 6 2 2" xfId="13000"/>
    <cellStyle name="Output 3 6 3" xfId="13005"/>
    <cellStyle name="Output 3 6 3 2" xfId="13009"/>
    <cellStyle name="Output 3 6 4" xfId="13014"/>
    <cellStyle name="Output 3 6 4 2" xfId="14708"/>
    <cellStyle name="Output 3 6 5" xfId="14711"/>
    <cellStyle name="Output 3 7" xfId="14712"/>
    <cellStyle name="Output 3 7 2" xfId="13020"/>
    <cellStyle name="Output 3 7 2 2" xfId="13023"/>
    <cellStyle name="Output 3 7 3" xfId="13029"/>
    <cellStyle name="Output 3 7 3 2" xfId="14717"/>
    <cellStyle name="Output 3 7 4" xfId="14721"/>
    <cellStyle name="Output 3 7 4 2" xfId="14724"/>
    <cellStyle name="Output 3 7 5" xfId="14726"/>
    <cellStyle name="Output 3 8" xfId="14730"/>
    <cellStyle name="Output 3 8 2" xfId="14732"/>
    <cellStyle name="Output 3 8 2 2" xfId="14734"/>
    <cellStyle name="Output 3 8 3" xfId="14736"/>
    <cellStyle name="Output 3 8 3 2" xfId="14738"/>
    <cellStyle name="Output 3 8 4" xfId="14741"/>
    <cellStyle name="Output 3 8 4 2" xfId="14742"/>
    <cellStyle name="Output 3 8 5" xfId="14743"/>
    <cellStyle name="Output 3 9" xfId="12560"/>
    <cellStyle name="Output 3 9 2" xfId="14746"/>
    <cellStyle name="Output 3 9 2 2" xfId="14747"/>
    <cellStyle name="Output 3 9 3" xfId="14748"/>
    <cellStyle name="Output 3 9 3 2" xfId="14749"/>
    <cellStyle name="Output 3 9 4" xfId="14751"/>
    <cellStyle name="Output 3 9 4 2" xfId="14752"/>
    <cellStyle name="Output 3 9 5" xfId="14753"/>
    <cellStyle name="Output 4" xfId="14755"/>
    <cellStyle name="Output 4 2" xfId="14756"/>
    <cellStyle name="Output 4 2 2" xfId="14757"/>
    <cellStyle name="Output 4 2 2 2" xfId="14758"/>
    <cellStyle name="Output 4 2 2 2 2" xfId="14657"/>
    <cellStyle name="Output 4 2 2 2 2 2" xfId="14660"/>
    <cellStyle name="Output 4 2 2 2 3" xfId="14662"/>
    <cellStyle name="Output 4 2 2 2 3 2" xfId="14665"/>
    <cellStyle name="Output 4 2 2 2 4" xfId="14667"/>
    <cellStyle name="Output 4 2 2 2 4 2" xfId="14759"/>
    <cellStyle name="Output 4 2 2 2 5" xfId="14760"/>
    <cellStyle name="Output 4 2 2 3" xfId="14761"/>
    <cellStyle name="Output 4 2 2 3 2" xfId="14672"/>
    <cellStyle name="Output 4 2 2 3 2 2" xfId="14676"/>
    <cellStyle name="Output 4 2 2 3 3" xfId="14679"/>
    <cellStyle name="Output 4 2 2 3 3 2" xfId="14762"/>
    <cellStyle name="Output 4 2 2 3 4" xfId="14764"/>
    <cellStyle name="Output 4 2 2 4" xfId="14766"/>
    <cellStyle name="Output 4 2 2 4 2" xfId="14767"/>
    <cellStyle name="Output 4 2 2 5" xfId="14768"/>
    <cellStyle name="Output 4 2 3" xfId="14769"/>
    <cellStyle name="Output 4 2 3 2" xfId="14771"/>
    <cellStyle name="Output 4 2 3 2 2" xfId="12970"/>
    <cellStyle name="Output 4 2 3 3" xfId="14772"/>
    <cellStyle name="Output 4 2 3 3 2" xfId="14690"/>
    <cellStyle name="Output 4 2 3 4" xfId="14773"/>
    <cellStyle name="Output 4 2 3 4 2" xfId="14775"/>
    <cellStyle name="Output 4 2 3 5" xfId="14776"/>
    <cellStyle name="Output 4 2 4" xfId="14779"/>
    <cellStyle name="Output 4 2 4 2" xfId="14781"/>
    <cellStyle name="Output 4 2 4 2 2" xfId="14784"/>
    <cellStyle name="Output 4 2 4 3" xfId="14786"/>
    <cellStyle name="Output 4 2 4 3 2" xfId="14789"/>
    <cellStyle name="Output 4 2 4 4" xfId="14791"/>
    <cellStyle name="Output 4 2 5" xfId="14793"/>
    <cellStyle name="Output 4 2 5 2" xfId="14796"/>
    <cellStyle name="Output 4 2 6" xfId="14798"/>
    <cellStyle name="Output 4 3" xfId="14799"/>
    <cellStyle name="Output 4 3 2" xfId="14800"/>
    <cellStyle name="Output 4 3 2 2" xfId="14801"/>
    <cellStyle name="Output 4 3 2 2 2" xfId="14803"/>
    <cellStyle name="Output 4 3 2 3" xfId="14804"/>
    <cellStyle name="Output 4 3 2 3 2" xfId="14807"/>
    <cellStyle name="Output 4 3 2 4" xfId="14808"/>
    <cellStyle name="Output 4 3 2 4 2" xfId="14811"/>
    <cellStyle name="Output 4 3 2 5" xfId="14812"/>
    <cellStyle name="Output 4 3 3" xfId="14813"/>
    <cellStyle name="Output 4 3 3 2" xfId="14815"/>
    <cellStyle name="Output 4 3 3 2 2" xfId="14817"/>
    <cellStyle name="Output 4 3 3 3" xfId="14819"/>
    <cellStyle name="Output 4 3 3 3 2" xfId="14820"/>
    <cellStyle name="Output 4 3 3 4" xfId="14822"/>
    <cellStyle name="Output 4 3 4" xfId="14825"/>
    <cellStyle name="Output 4 3 4 2" xfId="14827"/>
    <cellStyle name="Output 4 3 5" xfId="14829"/>
    <cellStyle name="Output 4 4" xfId="14830"/>
    <cellStyle name="Output 4 4 2" xfId="14831"/>
    <cellStyle name="Output 4 4 2 2" xfId="14832"/>
    <cellStyle name="Output 4 4 2 2 2" xfId="14834"/>
    <cellStyle name="Output 4 4 2 3" xfId="14802"/>
    <cellStyle name="Output 4 4 2 3 2" xfId="14837"/>
    <cellStyle name="Output 4 4 2 4" xfId="14838"/>
    <cellStyle name="Output 4 4 2 4 2" xfId="14844"/>
    <cellStyle name="Output 4 4 2 5" xfId="14845"/>
    <cellStyle name="Output 4 4 3" xfId="14847"/>
    <cellStyle name="Output 4 4 3 2" xfId="14849"/>
    <cellStyle name="Output 4 4 3 2 2" xfId="14850"/>
    <cellStyle name="Output 4 4 3 3" xfId="14806"/>
    <cellStyle name="Output 4 4 3 3 2" xfId="14852"/>
    <cellStyle name="Output 4 4 3 4" xfId="14854"/>
    <cellStyle name="Output 4 4 4" xfId="14855"/>
    <cellStyle name="Output 4 4 4 2" xfId="14858"/>
    <cellStyle name="Output 4 4 5" xfId="14860"/>
    <cellStyle name="Output 4 5" xfId="14861"/>
    <cellStyle name="Output 4 5 2" xfId="13045"/>
    <cellStyle name="Output 4 5 2 2" xfId="13048"/>
    <cellStyle name="Output 4 5 3" xfId="13057"/>
    <cellStyle name="Output 4 5 3 2" xfId="13062"/>
    <cellStyle name="Output 4 5 4" xfId="13066"/>
    <cellStyle name="Output 4 5 4 2" xfId="14864"/>
    <cellStyle name="Output 4 5 5" xfId="14867"/>
    <cellStyle name="Output 4 6" xfId="14870"/>
    <cellStyle name="Output 4 6 2" xfId="13081"/>
    <cellStyle name="Output 4 6 2 2" xfId="13084"/>
    <cellStyle name="Output 4 6 3" xfId="13093"/>
    <cellStyle name="Output 4 6 3 2" xfId="14874"/>
    <cellStyle name="Output 4 6 4" xfId="14878"/>
    <cellStyle name="Output 4 7" xfId="702"/>
    <cellStyle name="Output 4 7 2" xfId="14880"/>
    <cellStyle name="Output 4 8" xfId="14882"/>
    <cellStyle name="Output 4 9" xfId="12563"/>
    <cellStyle name="Output 5" xfId="14883"/>
    <cellStyle name="Output 5 2" xfId="14884"/>
    <cellStyle name="Output 5 2 2" xfId="14885"/>
    <cellStyle name="Output 5 2 2 2" xfId="14886"/>
    <cellStyle name="Output 5 2 2 2 2" xfId="14888"/>
    <cellStyle name="Output 5 2 2 2 2 2" xfId="14891"/>
    <cellStyle name="Output 5 2 2 2 3" xfId="14894"/>
    <cellStyle name="Output 5 2 2 2 3 2" xfId="14897"/>
    <cellStyle name="Output 5 2 2 2 4" xfId="14900"/>
    <cellStyle name="Output 5 2 2 2 4 2" xfId="14903"/>
    <cellStyle name="Output 5 2 2 2 5" xfId="14906"/>
    <cellStyle name="Output 5 2 2 3" xfId="14908"/>
    <cellStyle name="Output 5 2 2 3 2" xfId="14910"/>
    <cellStyle name="Output 5 2 2 3 2 2" xfId="14913"/>
    <cellStyle name="Output 5 2 2 3 3" xfId="14916"/>
    <cellStyle name="Output 5 2 2 3 3 2" xfId="14919"/>
    <cellStyle name="Output 5 2 2 3 4" xfId="14922"/>
    <cellStyle name="Output 5 2 2 4" xfId="14924"/>
    <cellStyle name="Output 5 2 2 4 2" xfId="14927"/>
    <cellStyle name="Output 5 2 2 5" xfId="14929"/>
    <cellStyle name="Output 5 2 3" xfId="14931"/>
    <cellStyle name="Output 5 2 3 2" xfId="14932"/>
    <cellStyle name="Output 5 2 3 2 2" xfId="14934"/>
    <cellStyle name="Output 5 2 3 3" xfId="14940"/>
    <cellStyle name="Output 5 2 3 3 2" xfId="14942"/>
    <cellStyle name="Output 5 2 3 4" xfId="14945"/>
    <cellStyle name="Output 5 2 3 4 2" xfId="14948"/>
    <cellStyle name="Output 5 2 3 5" xfId="14952"/>
    <cellStyle name="Output 5 2 4" xfId="14956"/>
    <cellStyle name="Output 5 2 4 2" xfId="14959"/>
    <cellStyle name="Output 5 2 4 2 2" xfId="3114"/>
    <cellStyle name="Output 5 2 4 3" xfId="14963"/>
    <cellStyle name="Output 5 2 4 3 2" xfId="3149"/>
    <cellStyle name="Output 5 2 4 4" xfId="14966"/>
    <cellStyle name="Output 5 2 5" xfId="14968"/>
    <cellStyle name="Output 5 2 5 2" xfId="14972"/>
    <cellStyle name="Output 5 2 6" xfId="14977"/>
    <cellStyle name="Output 5 3" xfId="14978"/>
    <cellStyle name="Output 5 3 2" xfId="14979"/>
    <cellStyle name="Output 5 3 2 2" xfId="14980"/>
    <cellStyle name="Output 5 3 2 2 2" xfId="14981"/>
    <cellStyle name="Output 5 3 2 3" xfId="14982"/>
    <cellStyle name="Output 5 3 2 3 2" xfId="14983"/>
    <cellStyle name="Output 5 3 2 4" xfId="14985"/>
    <cellStyle name="Output 5 3 2 4 2" xfId="14986"/>
    <cellStyle name="Output 5 3 2 5" xfId="14987"/>
    <cellStyle name="Output 5 3 3" xfId="14988"/>
    <cellStyle name="Output 5 3 3 2" xfId="14989"/>
    <cellStyle name="Output 5 3 3 2 2" xfId="14990"/>
    <cellStyle name="Output 5 3 3 3" xfId="14992"/>
    <cellStyle name="Output 5 3 3 3 2" xfId="14994"/>
    <cellStyle name="Output 5 3 3 4" xfId="14996"/>
    <cellStyle name="Output 5 3 4" xfId="14999"/>
    <cellStyle name="Output 5 3 4 2" xfId="15002"/>
    <cellStyle name="Output 5 3 5" xfId="15004"/>
    <cellStyle name="Output 5 4" xfId="15005"/>
    <cellStyle name="Output 5 4 2" xfId="15006"/>
    <cellStyle name="Output 5 4 2 2" xfId="15007"/>
    <cellStyle name="Output 5 4 2 2 2" xfId="15008"/>
    <cellStyle name="Output 5 4 2 3" xfId="14833"/>
    <cellStyle name="Output 5 4 2 3 2" xfId="15010"/>
    <cellStyle name="Output 5 4 2 4" xfId="15011"/>
    <cellStyle name="Output 5 4 2 4 2" xfId="15012"/>
    <cellStyle name="Output 5 4 2 5" xfId="15013"/>
    <cellStyle name="Output 5 4 3" xfId="15015"/>
    <cellStyle name="Output 5 4 3 2" xfId="15017"/>
    <cellStyle name="Output 5 4 3 2 2" xfId="15019"/>
    <cellStyle name="Output 5 4 3 3" xfId="14836"/>
    <cellStyle name="Output 5 4 3 3 2" xfId="15022"/>
    <cellStyle name="Output 5 4 3 4" xfId="15025"/>
    <cellStyle name="Output 5 4 4" xfId="15026"/>
    <cellStyle name="Output 5 4 4 2" xfId="15032"/>
    <cellStyle name="Output 5 4 5" xfId="15035"/>
    <cellStyle name="Output 5 5" xfId="15036"/>
    <cellStyle name="Output 5 5 2" xfId="13109"/>
    <cellStyle name="Output 5 5 2 2" xfId="13111"/>
    <cellStyle name="Output 5 5 3" xfId="13119"/>
    <cellStyle name="Output 5 5 3 2" xfId="13121"/>
    <cellStyle name="Output 5 5 4" xfId="13123"/>
    <cellStyle name="Output 5 5 4 2" xfId="15039"/>
    <cellStyle name="Output 5 5 5" xfId="15042"/>
    <cellStyle name="Output 5 6" xfId="15044"/>
    <cellStyle name="Output 5 6 2" xfId="13131"/>
    <cellStyle name="Output 5 6 2 2" xfId="13135"/>
    <cellStyle name="Output 5 6 3" xfId="13143"/>
    <cellStyle name="Output 5 6 3 2" xfId="15048"/>
    <cellStyle name="Output 5 6 4" xfId="15050"/>
    <cellStyle name="Output 5 7" xfId="2402"/>
    <cellStyle name="Output 5 7 2" xfId="15053"/>
    <cellStyle name="Output 5 8" xfId="15057"/>
    <cellStyle name="Output 6" xfId="9171"/>
    <cellStyle name="Output 6 2" xfId="9173"/>
    <cellStyle name="Output 6 2 2" xfId="15058"/>
    <cellStyle name="Output 6 2 2 2" xfId="15059"/>
    <cellStyle name="Output 6 2 2 2 2" xfId="15060"/>
    <cellStyle name="Output 6 2 2 3" xfId="15061"/>
    <cellStyle name="Output 6 2 2 3 2" xfId="15062"/>
    <cellStyle name="Output 6 2 2 4" xfId="15063"/>
    <cellStyle name="Output 6 2 2 4 2" xfId="15065"/>
    <cellStyle name="Output 6 2 2 5" xfId="15066"/>
    <cellStyle name="Output 6 2 3" xfId="9701"/>
    <cellStyle name="Output 6 2 3 2" xfId="15067"/>
    <cellStyle name="Output 6 2 3 2 2" xfId="15068"/>
    <cellStyle name="Output 6 2 3 3" xfId="15069"/>
    <cellStyle name="Output 6 2 3 3 2" xfId="15070"/>
    <cellStyle name="Output 6 2 3 4" xfId="15071"/>
    <cellStyle name="Output 6 2 4" xfId="15074"/>
    <cellStyle name="Output 6 2 4 2" xfId="15076"/>
    <cellStyle name="Output 6 2 5" xfId="15078"/>
    <cellStyle name="Output 6 3" xfId="15079"/>
    <cellStyle name="Output 6 3 2" xfId="15080"/>
    <cellStyle name="Output 6 3 2 2" xfId="15081"/>
    <cellStyle name="Output 6 3 3" xfId="15082"/>
    <cellStyle name="Output 6 3 3 2" xfId="15083"/>
    <cellStyle name="Output 6 3 4" xfId="15086"/>
    <cellStyle name="Output 6 3 4 2" xfId="15089"/>
    <cellStyle name="Output 6 3 5" xfId="672"/>
    <cellStyle name="Output 6 4" xfId="15090"/>
    <cellStyle name="Output 6 4 2" xfId="15091"/>
    <cellStyle name="Output 6 4 2 2" xfId="15092"/>
    <cellStyle name="Output 6 4 3" xfId="15093"/>
    <cellStyle name="Output 6 4 3 2" xfId="15095"/>
    <cellStyle name="Output 6 4 4" xfId="15096"/>
    <cellStyle name="Output 6 5" xfId="15097"/>
    <cellStyle name="Output 6 5 2" xfId="15098"/>
    <cellStyle name="Output 6 6" xfId="15100"/>
    <cellStyle name="Output 7" xfId="9175"/>
    <cellStyle name="Output 7 2" xfId="9177"/>
    <cellStyle name="Output 7 2 2" xfId="15101"/>
    <cellStyle name="Output 7 2 2 2" xfId="15102"/>
    <cellStyle name="Output 7 2 2 2 2" xfId="15103"/>
    <cellStyle name="Output 7 2 2 3" xfId="15105"/>
    <cellStyle name="Output 7 2 2 3 2" xfId="15106"/>
    <cellStyle name="Output 7 2 2 4" xfId="15107"/>
    <cellStyle name="Output 7 2 2 4 2" xfId="15109"/>
    <cellStyle name="Output 7 2 2 5" xfId="15110"/>
    <cellStyle name="Output 7 2 3" xfId="15111"/>
    <cellStyle name="Output 7 2 3 2" xfId="15112"/>
    <cellStyle name="Output 7 2 3 2 2" xfId="15114"/>
    <cellStyle name="Output 7 2 3 3" xfId="15116"/>
    <cellStyle name="Output 7 2 3 3 2" xfId="15117"/>
    <cellStyle name="Output 7 2 3 4" xfId="15118"/>
    <cellStyle name="Output 7 2 4" xfId="15121"/>
    <cellStyle name="Output 7 2 4 2" xfId="15123"/>
    <cellStyle name="Output 7 2 5" xfId="15125"/>
    <cellStyle name="Output 7 3" xfId="15126"/>
    <cellStyle name="Output 7 3 2" xfId="15127"/>
    <cellStyle name="Output 7 3 2 2" xfId="3623"/>
    <cellStyle name="Output 7 3 3" xfId="15128"/>
    <cellStyle name="Output 7 3 3 2" xfId="15129"/>
    <cellStyle name="Output 7 3 4" xfId="15132"/>
    <cellStyle name="Output 7 3 4 2" xfId="15135"/>
    <cellStyle name="Output 7 3 5" xfId="4109"/>
    <cellStyle name="Output 7 4" xfId="15136"/>
    <cellStyle name="Output 7 4 2" xfId="15137"/>
    <cellStyle name="Output 7 4 2 2" xfId="15139"/>
    <cellStyle name="Output 7 4 3" xfId="15140"/>
    <cellStyle name="Output 7 4 3 2" xfId="13952"/>
    <cellStyle name="Output 7 4 4" xfId="15141"/>
    <cellStyle name="Output 7 5" xfId="5845"/>
    <cellStyle name="Output 7 5 2" xfId="5848"/>
    <cellStyle name="Output 7 6" xfId="5853"/>
    <cellStyle name="Output 8" xfId="9180"/>
    <cellStyle name="Output 8 2" xfId="9183"/>
    <cellStyle name="Output 8 2 2" xfId="15142"/>
    <cellStyle name="Output 8 2 2 2" xfId="2093"/>
    <cellStyle name="Output 8 2 3" xfId="15145"/>
    <cellStyle name="Output 8 2 3 2" xfId="15148"/>
    <cellStyle name="Output 8 2 4" xfId="15149"/>
    <cellStyle name="Output 8 2 4 2" xfId="15155"/>
    <cellStyle name="Output 8 2 5" xfId="15156"/>
    <cellStyle name="Output 8 3" xfId="15160"/>
    <cellStyle name="Output 8 3 2" xfId="15162"/>
    <cellStyle name="Output 8 3 2 2" xfId="15164"/>
    <cellStyle name="Output 8 3 3" xfId="15166"/>
    <cellStyle name="Output 8 3 3 2" xfId="15167"/>
    <cellStyle name="Output 8 3 4" xfId="15171"/>
    <cellStyle name="Output 8 4" xfId="15173"/>
    <cellStyle name="Output 8 4 2" xfId="15175"/>
    <cellStyle name="Output 8 5" xfId="4625"/>
    <cellStyle name="Output 9" xfId="9185"/>
    <cellStyle name="Output 9 2" xfId="15178"/>
    <cellStyle name="Output 9 2 2" xfId="15180"/>
    <cellStyle name="Output 9 2 2 2" xfId="15181"/>
    <cellStyle name="Output 9 2 3" xfId="15185"/>
    <cellStyle name="Output 9 2 3 2" xfId="15186"/>
    <cellStyle name="Output 9 2 4" xfId="15189"/>
    <cellStyle name="Output 9 2 4 2" xfId="15191"/>
    <cellStyle name="Output 9 2 5" xfId="15193"/>
    <cellStyle name="Output 9 3" xfId="15195"/>
    <cellStyle name="Output 9 3 2" xfId="15197"/>
    <cellStyle name="Output 9 3 2 2" xfId="15199"/>
    <cellStyle name="Output 9 3 3" xfId="15201"/>
    <cellStyle name="Output 9 3 3 2" xfId="15202"/>
    <cellStyle name="Output 9 3 4" xfId="15204"/>
    <cellStyle name="Output 9 4" xfId="15206"/>
    <cellStyle name="Output 9 4 2" xfId="15209"/>
    <cellStyle name="Output 9 5" xfId="4632"/>
    <cellStyle name="Q" xfId="15210"/>
    <cellStyle name="Q 10" xfId="15211"/>
    <cellStyle name="Q 10 2" xfId="15213"/>
    <cellStyle name="Q 10 2 2" xfId="8644"/>
    <cellStyle name="Q 10 3" xfId="15215"/>
    <cellStyle name="Q 10 3 2" xfId="15217"/>
    <cellStyle name="Q 10 4" xfId="15219"/>
    <cellStyle name="Q 10 4 2" xfId="15221"/>
    <cellStyle name="Q 10 5" xfId="2387"/>
    <cellStyle name="Q 11" xfId="15223"/>
    <cellStyle name="Q 11 2" xfId="15226"/>
    <cellStyle name="Q 11 2 2" xfId="15228"/>
    <cellStyle name="Q 11 3" xfId="15231"/>
    <cellStyle name="Q 11 3 2" xfId="15232"/>
    <cellStyle name="Q 11 4" xfId="15235"/>
    <cellStyle name="Q 11 4 2" xfId="15237"/>
    <cellStyle name="Q 11 5" xfId="2391"/>
    <cellStyle name="Q 12" xfId="15238"/>
    <cellStyle name="Q 2" xfId="8775"/>
    <cellStyle name="Q 2 10" xfId="15239"/>
    <cellStyle name="Q 2 10 2" xfId="15241"/>
    <cellStyle name="Q 2 10 2 2" xfId="15244"/>
    <cellStyle name="Q 2 10 3" xfId="1937"/>
    <cellStyle name="Q 2 10 3 2" xfId="15246"/>
    <cellStyle name="Q 2 10 4" xfId="15248"/>
    <cellStyle name="Q 2 10 4 2" xfId="15250"/>
    <cellStyle name="Q 2 10 5" xfId="15254"/>
    <cellStyle name="Q 2 11" xfId="15256"/>
    <cellStyle name="Q 2 2" xfId="8777"/>
    <cellStyle name="Q 2 2 10" xfId="1068"/>
    <cellStyle name="Q 2 2 2" xfId="15257"/>
    <cellStyle name="Q 2 2 2 2" xfId="14384"/>
    <cellStyle name="Q 2 2 2 2 2" xfId="12904"/>
    <cellStyle name="Q 2 2 2 2 2 2" xfId="12909"/>
    <cellStyle name="Q 2 2 2 2 2 2 2" xfId="14386"/>
    <cellStyle name="Q 2 2 2 2 2 3" xfId="14396"/>
    <cellStyle name="Q 2 2 2 2 2 3 2" xfId="14399"/>
    <cellStyle name="Q 2 2 2 2 2 4" xfId="14408"/>
    <cellStyle name="Q 2 2 2 2 2 4 2" xfId="14413"/>
    <cellStyle name="Q 2 2 2 2 2 5" xfId="1765"/>
    <cellStyle name="Q 2 2 2 2 3" xfId="12913"/>
    <cellStyle name="Q 2 2 2 2 3 2" xfId="12920"/>
    <cellStyle name="Q 2 2 2 2 3 2 2" xfId="14415"/>
    <cellStyle name="Q 2 2 2 2 3 3" xfId="14421"/>
    <cellStyle name="Q 2 2 2 2 3 3 2" xfId="14425"/>
    <cellStyle name="Q 2 2 2 2 3 4" xfId="1780"/>
    <cellStyle name="Q 2 2 2 2 4" xfId="12925"/>
    <cellStyle name="Q 2 2 2 2 4 2" xfId="14436"/>
    <cellStyle name="Q 2 2 2 2 5" xfId="14448"/>
    <cellStyle name="Q 2 2 2 3" xfId="14457"/>
    <cellStyle name="Q 2 2 2 3 2" xfId="12934"/>
    <cellStyle name="Q 2 2 2 3 2 2" xfId="12937"/>
    <cellStyle name="Q 2 2 2 3 3" xfId="12940"/>
    <cellStyle name="Q 2 2 2 3 3 2" xfId="14468"/>
    <cellStyle name="Q 2 2 2 3 4" xfId="14483"/>
    <cellStyle name="Q 2 2 2 3 4 2" xfId="14486"/>
    <cellStyle name="Q 2 2 2 3 5" xfId="14490"/>
    <cellStyle name="Q 2 2 2 4" xfId="14493"/>
    <cellStyle name="Q 2 2 2 4 2" xfId="14495"/>
    <cellStyle name="Q 2 2 2 4 2 2" xfId="14497"/>
    <cellStyle name="Q 2 2 2 4 3" xfId="14509"/>
    <cellStyle name="Q 2 2 2 4 3 2" xfId="14512"/>
    <cellStyle name="Q 2 2 2 4 4" xfId="14521"/>
    <cellStyle name="Q 2 2 2 4 4 2" xfId="14523"/>
    <cellStyle name="Q 2 2 2 4 5" xfId="14528"/>
    <cellStyle name="Q 2 2 2 5" xfId="12556"/>
    <cellStyle name="Q 2 2 2 5 2" xfId="14532"/>
    <cellStyle name="Q 2 2 2 5 2 2" xfId="14533"/>
    <cellStyle name="Q 2 2 2 5 3" xfId="14535"/>
    <cellStyle name="Q 2 2 2 5 3 2" xfId="14537"/>
    <cellStyle name="Q 2 2 2 5 4" xfId="14539"/>
    <cellStyle name="Q 2 2 2 6" xfId="130"/>
    <cellStyle name="Q 2 2 2 6 2" xfId="1927"/>
    <cellStyle name="Q 2 2 2 7" xfId="139"/>
    <cellStyle name="Q 2 2 3" xfId="15258"/>
    <cellStyle name="Q 2 2 3 2" xfId="14704"/>
    <cellStyle name="Q 2 2 3 2 2" xfId="12995"/>
    <cellStyle name="Q 2 2 3 2 2 2" xfId="12999"/>
    <cellStyle name="Q 2 2 3 2 2 2 2" xfId="15259"/>
    <cellStyle name="Q 2 2 3 2 2 3" xfId="14783"/>
    <cellStyle name="Q 2 2 3 2 2 3 2" xfId="15261"/>
    <cellStyle name="Q 2 2 3 2 2 4" xfId="15264"/>
    <cellStyle name="Q 2 2 3 2 2 4 2" xfId="15268"/>
    <cellStyle name="Q 2 2 3 2 2 5" xfId="15270"/>
    <cellStyle name="Q 2 2 3 2 3" xfId="13003"/>
    <cellStyle name="Q 2 2 3 2 3 2" xfId="13007"/>
    <cellStyle name="Q 2 2 3 2 3 2 2" xfId="15273"/>
    <cellStyle name="Q 2 2 3 2 3 3" xfId="14788"/>
    <cellStyle name="Q 2 2 3 2 3 3 2" xfId="12251"/>
    <cellStyle name="Q 2 2 3 2 3 4" xfId="15275"/>
    <cellStyle name="Q 2 2 3 2 4" xfId="13012"/>
    <cellStyle name="Q 2 2 3 2 4 2" xfId="14706"/>
    <cellStyle name="Q 2 2 3 2 5" xfId="14709"/>
    <cellStyle name="Q 2 2 3 3" xfId="14714"/>
    <cellStyle name="Q 2 2 3 3 2" xfId="13019"/>
    <cellStyle name="Q 2 2 3 3 2 2" xfId="13022"/>
    <cellStyle name="Q 2 2 3 3 3" xfId="13027"/>
    <cellStyle name="Q 2 2 3 3 3 2" xfId="14716"/>
    <cellStyle name="Q 2 2 3 3 4" xfId="14720"/>
    <cellStyle name="Q 2 2 3 3 4 2" xfId="14723"/>
    <cellStyle name="Q 2 2 3 3 5" xfId="14728"/>
    <cellStyle name="Q 2 2 3 4" xfId="14729"/>
    <cellStyle name="Q 2 2 3 4 2" xfId="14731"/>
    <cellStyle name="Q 2 2 3 4 2 2" xfId="14733"/>
    <cellStyle name="Q 2 2 3 4 3" xfId="14735"/>
    <cellStyle name="Q 2 2 3 4 3 2" xfId="14737"/>
    <cellStyle name="Q 2 2 3 4 4" xfId="14740"/>
    <cellStyle name="Q 2 2 3 5" xfId="12559"/>
    <cellStyle name="Q 2 2 3 5 2" xfId="14745"/>
    <cellStyle name="Q 2 2 3 6" xfId="6884"/>
    <cellStyle name="Q 2 2 4" xfId="15277"/>
    <cellStyle name="Q 2 2 4 2" xfId="14868"/>
    <cellStyle name="Q 2 2 4 2 2" xfId="13080"/>
    <cellStyle name="Q 2 2 4 2 2 2" xfId="13083"/>
    <cellStyle name="Q 2 2 4 2 3" xfId="13091"/>
    <cellStyle name="Q 2 2 4 2 3 2" xfId="14872"/>
    <cellStyle name="Q 2 2 4 2 4" xfId="14876"/>
    <cellStyle name="Q 2 2 4 2 4 2" xfId="15279"/>
    <cellStyle name="Q 2 2 4 2 5" xfId="15281"/>
    <cellStyle name="Q 2 2 4 3" xfId="701"/>
    <cellStyle name="Q 2 2 4 3 2" xfId="14879"/>
    <cellStyle name="Q 2 2 4 3 2 2" xfId="15283"/>
    <cellStyle name="Q 2 2 4 3 3" xfId="15285"/>
    <cellStyle name="Q 2 2 4 3 3 2" xfId="15287"/>
    <cellStyle name="Q 2 2 4 3 4" xfId="15289"/>
    <cellStyle name="Q 2 2 4 4" xfId="14881"/>
    <cellStyle name="Q 2 2 4 4 2" xfId="15290"/>
    <cellStyle name="Q 2 2 4 5" xfId="12562"/>
    <cellStyle name="Q 2 2 5" xfId="15292"/>
    <cellStyle name="Q 2 2 5 2" xfId="15043"/>
    <cellStyle name="Q 2 2 5 2 2" xfId="13130"/>
    <cellStyle name="Q 2 2 5 2 2 2" xfId="13134"/>
    <cellStyle name="Q 2 2 5 2 3" xfId="13141"/>
    <cellStyle name="Q 2 2 5 2 3 2" xfId="15045"/>
    <cellStyle name="Q 2 2 5 2 4" xfId="15049"/>
    <cellStyle name="Q 2 2 5 2 4 2" xfId="15294"/>
    <cellStyle name="Q 2 2 5 2 5" xfId="15295"/>
    <cellStyle name="Q 2 2 5 3" xfId="2401"/>
    <cellStyle name="Q 2 2 5 3 2" xfId="15052"/>
    <cellStyle name="Q 2 2 5 3 2 2" xfId="15296"/>
    <cellStyle name="Q 2 2 5 3 3" xfId="15297"/>
    <cellStyle name="Q 2 2 5 3 3 2" xfId="15299"/>
    <cellStyle name="Q 2 2 5 3 4" xfId="15301"/>
    <cellStyle name="Q 2 2 5 4" xfId="15056"/>
    <cellStyle name="Q 2 2 5 4 2" xfId="15303"/>
    <cellStyle name="Q 2 2 5 5" xfId="15305"/>
    <cellStyle name="Q 2 2 6" xfId="15306"/>
    <cellStyle name="Q 2 2 6 2" xfId="15099"/>
    <cellStyle name="Q 2 2 6 2 2" xfId="15307"/>
    <cellStyle name="Q 2 2 6 3" xfId="15308"/>
    <cellStyle name="Q 2 2 6 3 2" xfId="15309"/>
    <cellStyle name="Q 2 2 6 4" xfId="15311"/>
    <cellStyle name="Q 2 2 6 4 2" xfId="10499"/>
    <cellStyle name="Q 2 2 6 5" xfId="14324"/>
    <cellStyle name="Q 2 2 7" xfId="15314"/>
    <cellStyle name="Q 2 2 7 2" xfId="5852"/>
    <cellStyle name="Q 2 2 7 2 2" xfId="5855"/>
    <cellStyle name="Q 2 2 7 3" xfId="5198"/>
    <cellStyle name="Q 2 2 7 3 2" xfId="5201"/>
    <cellStyle name="Q 2 2 7 4" xfId="5206"/>
    <cellStyle name="Q 2 2 7 4 2" xfId="10564"/>
    <cellStyle name="Q 2 2 7 5" xfId="14327"/>
    <cellStyle name="Q 2 2 8" xfId="15315"/>
    <cellStyle name="Q 2 2 8 2" xfId="5863"/>
    <cellStyle name="Q 2 2 8 2 2" xfId="5866"/>
    <cellStyle name="Q 2 2 8 3" xfId="5129"/>
    <cellStyle name="Q 2 2 8 3 2" xfId="5868"/>
    <cellStyle name="Q 2 2 8 4" xfId="5871"/>
    <cellStyle name="Q 2 2 8 4 2" xfId="10604"/>
    <cellStyle name="Q 2 2 8 5" xfId="14331"/>
    <cellStyle name="Q 2 2 9" xfId="15317"/>
    <cellStyle name="Q 2 2 9 2" xfId="4166"/>
    <cellStyle name="Q 2 2 9 2 2" xfId="5874"/>
    <cellStyle name="Q 2 2 9 3" xfId="5137"/>
    <cellStyle name="Q 2 2 9 3 2" xfId="15319"/>
    <cellStyle name="Q 2 2 9 4" xfId="15322"/>
    <cellStyle name="Q 2 2 9 4 2" xfId="10631"/>
    <cellStyle name="Q 2 2 9 5" xfId="15324"/>
    <cellStyle name="Q 2 3" xfId="15325"/>
    <cellStyle name="Q 2 3 2" xfId="3316"/>
    <cellStyle name="Q 2 3 2 2" xfId="3318"/>
    <cellStyle name="Q 2 3 2 2 2" xfId="13336"/>
    <cellStyle name="Q 2 3 2 2 2 2" xfId="13339"/>
    <cellStyle name="Q 2 3 2 2 2 2 2" xfId="15328"/>
    <cellStyle name="Q 2 3 2 2 2 3" xfId="15330"/>
    <cellStyle name="Q 2 3 2 2 2 3 2" xfId="15332"/>
    <cellStyle name="Q 2 3 2 2 2 4" xfId="15334"/>
    <cellStyle name="Q 2 3 2 2 2 4 2" xfId="15336"/>
    <cellStyle name="Q 2 3 2 2 2 5" xfId="15338"/>
    <cellStyle name="Q 2 3 2 2 3" xfId="13342"/>
    <cellStyle name="Q 2 3 2 2 3 2" xfId="13347"/>
    <cellStyle name="Q 2 3 2 2 3 2 2" xfId="12052"/>
    <cellStyle name="Q 2 3 2 2 3 3" xfId="15341"/>
    <cellStyle name="Q 2 3 2 2 3 3 2" xfId="15342"/>
    <cellStyle name="Q 2 3 2 2 3 4" xfId="4946"/>
    <cellStyle name="Q 2 3 2 2 4" xfId="13355"/>
    <cellStyle name="Q 2 3 2 2 4 2" xfId="13802"/>
    <cellStyle name="Q 2 3 2 2 5" xfId="13806"/>
    <cellStyle name="Q 2 3 2 3" xfId="15343"/>
    <cellStyle name="Q 2 3 2 3 2" xfId="13364"/>
    <cellStyle name="Q 2 3 2 3 2 2" xfId="13367"/>
    <cellStyle name="Q 2 3 2 3 3" xfId="13371"/>
    <cellStyle name="Q 2 3 2 3 3 2" xfId="13815"/>
    <cellStyle name="Q 2 3 2 3 4" xfId="13820"/>
    <cellStyle name="Q 2 3 2 3 4 2" xfId="13823"/>
    <cellStyle name="Q 2 3 2 3 5" xfId="13827"/>
    <cellStyle name="Q 2 3 2 4" xfId="15344"/>
    <cellStyle name="Q 2 3 2 4 2" xfId="15345"/>
    <cellStyle name="Q 2 3 2 4 2 2" xfId="15346"/>
    <cellStyle name="Q 2 3 2 4 3" xfId="13831"/>
    <cellStyle name="Q 2 3 2 4 3 2" xfId="15347"/>
    <cellStyle name="Q 2 3 2 4 4" xfId="15351"/>
    <cellStyle name="Q 2 3 2 5" xfId="12570"/>
    <cellStyle name="Q 2 3 2 5 2" xfId="15352"/>
    <cellStyle name="Q 2 3 2 6" xfId="7178"/>
    <cellStyle name="Q 2 3 3" xfId="3321"/>
    <cellStyle name="Q 2 3 3 2" xfId="3323"/>
    <cellStyle name="Q 2 3 3 2 2" xfId="3097"/>
    <cellStyle name="Q 2 3 3 2 2 2" xfId="3103"/>
    <cellStyle name="Q 2 3 3 2 3" xfId="646"/>
    <cellStyle name="Q 2 3 3 2 3 2" xfId="1475"/>
    <cellStyle name="Q 2 3 3 2 4" xfId="665"/>
    <cellStyle name="Q 2 3 3 2 4 2" xfId="1485"/>
    <cellStyle name="Q 2 3 3 2 5" xfId="1492"/>
    <cellStyle name="Q 2 3 3 3" xfId="15353"/>
    <cellStyle name="Q 2 3 3 3 2" xfId="3443"/>
    <cellStyle name="Q 2 3 3 3 2 2" xfId="3449"/>
    <cellStyle name="Q 2 3 3 3 3" xfId="1503"/>
    <cellStyle name="Q 2 3 3 3 3 2" xfId="3480"/>
    <cellStyle name="Q 2 3 3 3 4" xfId="3488"/>
    <cellStyle name="Q 2 3 3 4" xfId="15355"/>
    <cellStyle name="Q 2 3 3 4 2" xfId="3589"/>
    <cellStyle name="Q 2 3 3 5" xfId="12574"/>
    <cellStyle name="Q 2 3 4" xfId="3327"/>
    <cellStyle name="Q 2 3 4 2" xfId="15356"/>
    <cellStyle name="Q 2 3 4 2 2" xfId="332"/>
    <cellStyle name="Q 2 3 4 2 2 2" xfId="3931"/>
    <cellStyle name="Q 2 3 4 2 3" xfId="338"/>
    <cellStyle name="Q 2 3 4 2 3 2" xfId="13875"/>
    <cellStyle name="Q 2 3 4 2 4" xfId="13879"/>
    <cellStyle name="Q 2 3 4 2 4 2" xfId="13880"/>
    <cellStyle name="Q 2 3 4 2 5" xfId="13882"/>
    <cellStyle name="Q 2 3 4 3" xfId="15357"/>
    <cellStyle name="Q 2 3 4 3 2" xfId="34"/>
    <cellStyle name="Q 2 3 4 3 2 2" xfId="15360"/>
    <cellStyle name="Q 2 3 4 3 3" xfId="13886"/>
    <cellStyle name="Q 2 3 4 3 3 2" xfId="15361"/>
    <cellStyle name="Q 2 3 4 3 4" xfId="15363"/>
    <cellStyle name="Q 2 3 4 4" xfId="15365"/>
    <cellStyle name="Q 2 3 4 4 2" xfId="15366"/>
    <cellStyle name="Q 2 3 4 5" xfId="12576"/>
    <cellStyle name="Q 2 3 5" xfId="15367"/>
    <cellStyle name="Q 2 3 5 2" xfId="15368"/>
    <cellStyle name="Q 2 3 5 2 2" xfId="4162"/>
    <cellStyle name="Q 2 3 5 3" xfId="15369"/>
    <cellStyle name="Q 2 3 5 3 2" xfId="15370"/>
    <cellStyle name="Q 2 3 5 4" xfId="15372"/>
    <cellStyle name="Q 2 3 5 4 2" xfId="15373"/>
    <cellStyle name="Q 2 3 5 5" xfId="15374"/>
    <cellStyle name="Q 2 3 6" xfId="15375"/>
    <cellStyle name="Q 2 3 6 2" xfId="15376"/>
    <cellStyle name="Q 2 3 6 2 2" xfId="15377"/>
    <cellStyle name="Q 2 3 6 3" xfId="15378"/>
    <cellStyle name="Q 2 3 6 3 2" xfId="15379"/>
    <cellStyle name="Q 2 3 6 4" xfId="15381"/>
    <cellStyle name="Q 2 3 7" xfId="15382"/>
    <cellStyle name="Q 2 3 7 2" xfId="5886"/>
    <cellStyle name="Q 2 3 8" xfId="15383"/>
    <cellStyle name="Q 2 3 9" xfId="15385"/>
    <cellStyle name="Q 2 4" xfId="15387"/>
    <cellStyle name="Q 2 4 2" xfId="3337"/>
    <cellStyle name="Q 2 4 2 2" xfId="3341"/>
    <cellStyle name="Q 2 4 2 2 2" xfId="15390"/>
    <cellStyle name="Q 2 4 2 2 2 2" xfId="15391"/>
    <cellStyle name="Q 2 4 2 2 3" xfId="14034"/>
    <cellStyle name="Q 2 4 2 2 3 2" xfId="14037"/>
    <cellStyle name="Q 2 4 2 2 4" xfId="14041"/>
    <cellStyle name="Q 2 4 2 2 4 2" xfId="14045"/>
    <cellStyle name="Q 2 4 2 2 5" xfId="14048"/>
    <cellStyle name="Q 2 4 2 3" xfId="15394"/>
    <cellStyle name="Q 2 4 2 3 2" xfId="15397"/>
    <cellStyle name="Q 2 4 2 3 2 2" xfId="15398"/>
    <cellStyle name="Q 2 4 2 3 3" xfId="14055"/>
    <cellStyle name="Q 2 4 2 3 3 2" xfId="15399"/>
    <cellStyle name="Q 2 4 2 3 4" xfId="15401"/>
    <cellStyle name="Q 2 4 2 4" xfId="15404"/>
    <cellStyle name="Q 2 4 2 4 2" xfId="15407"/>
    <cellStyle name="Q 2 4 2 5" xfId="12582"/>
    <cellStyle name="Q 2 4 3" xfId="3346"/>
    <cellStyle name="Q 2 4 3 2" xfId="15411"/>
    <cellStyle name="Q 2 4 3 2 2" xfId="15414"/>
    <cellStyle name="Q 2 4 3 3" xfId="15418"/>
    <cellStyle name="Q 2 4 3 3 2" xfId="15420"/>
    <cellStyle name="Q 2 4 3 4" xfId="15424"/>
    <cellStyle name="Q 2 4 3 4 2" xfId="15426"/>
    <cellStyle name="Q 2 4 3 5" xfId="12586"/>
    <cellStyle name="Q 2 4 4" xfId="15429"/>
    <cellStyle name="Q 2 4 4 2" xfId="15431"/>
    <cellStyle name="Q 2 4 4 2 2" xfId="15432"/>
    <cellStyle name="Q 2 4 4 3" xfId="15434"/>
    <cellStyle name="Q 2 4 4 3 2" xfId="15435"/>
    <cellStyle name="Q 2 4 4 4" xfId="15437"/>
    <cellStyle name="Q 2 4 5" xfId="15439"/>
    <cellStyle name="Q 2 4 5 2" xfId="15441"/>
    <cellStyle name="Q 2 4 6" xfId="15442"/>
    <cellStyle name="Q 2 5" xfId="15444"/>
    <cellStyle name="Q 2 5 2" xfId="15449"/>
    <cellStyle name="Q 2 5 2 2" xfId="15456"/>
    <cellStyle name="Q 2 5 2 2 2" xfId="15459"/>
    <cellStyle name="Q 2 5 2 2 2 2" xfId="15461"/>
    <cellStyle name="Q 2 5 2 2 3" xfId="14231"/>
    <cellStyle name="Q 2 5 2 2 3 2" xfId="14237"/>
    <cellStyle name="Q 2 5 2 2 4" xfId="14239"/>
    <cellStyle name="Q 2 5 2 2 4 2" xfId="14241"/>
    <cellStyle name="Q 2 5 2 2 5" xfId="14244"/>
    <cellStyle name="Q 2 5 2 3" xfId="15464"/>
    <cellStyle name="Q 2 5 2 3 2" xfId="15466"/>
    <cellStyle name="Q 2 5 2 3 2 2" xfId="15467"/>
    <cellStyle name="Q 2 5 2 3 3" xfId="14246"/>
    <cellStyle name="Q 2 5 2 3 3 2" xfId="15468"/>
    <cellStyle name="Q 2 5 2 3 4" xfId="15469"/>
    <cellStyle name="Q 2 5 2 4" xfId="15473"/>
    <cellStyle name="Q 2 5 2 4 2" xfId="6009"/>
    <cellStyle name="Q 2 5 2 5" xfId="15476"/>
    <cellStyle name="Q 2 5 3" xfId="15482"/>
    <cellStyle name="Q 2 5 3 2" xfId="15488"/>
    <cellStyle name="Q 2 5 3 2 2" xfId="15490"/>
    <cellStyle name="Q 2 5 3 3" xfId="15492"/>
    <cellStyle name="Q 2 5 3 3 2" xfId="15493"/>
    <cellStyle name="Q 2 5 3 4" xfId="15496"/>
    <cellStyle name="Q 2 5 3 4 2" xfId="15497"/>
    <cellStyle name="Q 2 5 3 5" xfId="15499"/>
    <cellStyle name="Q 2 5 4" xfId="15504"/>
    <cellStyle name="Q 2 5 4 2" xfId="15507"/>
    <cellStyle name="Q 2 5 4 2 2" xfId="15508"/>
    <cellStyle name="Q 2 5 4 3" xfId="15509"/>
    <cellStyle name="Q 2 5 4 3 2" xfId="15510"/>
    <cellStyle name="Q 2 5 4 4" xfId="15512"/>
    <cellStyle name="Q 2 5 5" xfId="15515"/>
    <cellStyle name="Q 2 5 5 2" xfId="15518"/>
    <cellStyle name="Q 2 5 6" xfId="15520"/>
    <cellStyle name="Q 2 6" xfId="15522"/>
    <cellStyle name="Q 2 6 2" xfId="15525"/>
    <cellStyle name="Q 2 6 2 2" xfId="15528"/>
    <cellStyle name="Q 2 6 2 2 2" xfId="15530"/>
    <cellStyle name="Q 2 6 2 3" xfId="15532"/>
    <cellStyle name="Q 2 6 2 3 2" xfId="15534"/>
    <cellStyle name="Q 2 6 2 4" xfId="15536"/>
    <cellStyle name="Q 2 6 2 4 2" xfId="15537"/>
    <cellStyle name="Q 2 6 2 5" xfId="15538"/>
    <cellStyle name="Q 2 6 3" xfId="15542"/>
    <cellStyle name="Q 2 6 3 2" xfId="15544"/>
    <cellStyle name="Q 2 6 3 2 2" xfId="15545"/>
    <cellStyle name="Q 2 6 3 3" xfId="15547"/>
    <cellStyle name="Q 2 6 3 3 2" xfId="15548"/>
    <cellStyle name="Q 2 6 3 4" xfId="15549"/>
    <cellStyle name="Q 2 6 4" xfId="15551"/>
    <cellStyle name="Q 2 6 4 2" xfId="15553"/>
    <cellStyle name="Q 2 6 5" xfId="15554"/>
    <cellStyle name="Q 2 7" xfId="15556"/>
    <cellStyle name="Q 2 7 2" xfId="15558"/>
    <cellStyle name="Q 2 7 2 2" xfId="5720"/>
    <cellStyle name="Q 2 7 2 2 2" xfId="5725"/>
    <cellStyle name="Q 2 7 2 3" xfId="5730"/>
    <cellStyle name="Q 2 7 2 3 2" xfId="5737"/>
    <cellStyle name="Q 2 7 2 4" xfId="1913"/>
    <cellStyle name="Q 2 7 2 4 2" xfId="15559"/>
    <cellStyle name="Q 2 7 2 5" xfId="15560"/>
    <cellStyle name="Q 2 7 3" xfId="15561"/>
    <cellStyle name="Q 2 7 3 2" xfId="5744"/>
    <cellStyle name="Q 2 7 3 2 2" xfId="3853"/>
    <cellStyle name="Q 2 7 3 3" xfId="5748"/>
    <cellStyle name="Q 2 7 3 3 2" xfId="15562"/>
    <cellStyle name="Q 2 7 3 4" xfId="7853"/>
    <cellStyle name="Q 2 7 4" xfId="15563"/>
    <cellStyle name="Q 2 7 4 2" xfId="7899"/>
    <cellStyle name="Q 2 7 5" xfId="15564"/>
    <cellStyle name="Q 2 8" xfId="7512"/>
    <cellStyle name="Q 2 8 2" xfId="15565"/>
    <cellStyle name="Q 2 8 2 2" xfId="5763"/>
    <cellStyle name="Q 2 8 3" xfId="15567"/>
    <cellStyle name="Q 2 8 3 2" xfId="1650"/>
    <cellStyle name="Q 2 8 4" xfId="15569"/>
    <cellStyle name="Q 2 8 4 2" xfId="15572"/>
    <cellStyle name="Q 2 8 5" xfId="15574"/>
    <cellStyle name="Q 2 9" xfId="15576"/>
    <cellStyle name="Q 2 9 2" xfId="15579"/>
    <cellStyle name="Q 2 9 2 2" xfId="15580"/>
    <cellStyle name="Q 2 9 3" xfId="15582"/>
    <cellStyle name="Q 2 9 3 2" xfId="15585"/>
    <cellStyle name="Q 2 9 4" xfId="15587"/>
    <cellStyle name="Q 2 9 4 2" xfId="15590"/>
    <cellStyle name="Q 2 9 5" xfId="15592"/>
    <cellStyle name="Q 3" xfId="7611"/>
    <cellStyle name="Q 3 10" xfId="15593"/>
    <cellStyle name="Q 3 2" xfId="15594"/>
    <cellStyle name="Q 3 2 2" xfId="15596"/>
    <cellStyle name="Q 3 2 2 2" xfId="12332"/>
    <cellStyle name="Q 3 2 2 2 2" xfId="12334"/>
    <cellStyle name="Q 3 2 2 2 2 2" xfId="15598"/>
    <cellStyle name="Q 3 2 2 2 3" xfId="15601"/>
    <cellStyle name="Q 3 2 2 2 3 2" xfId="15604"/>
    <cellStyle name="Q 3 2 2 2 4" xfId="15607"/>
    <cellStyle name="Q 3 2 2 2 4 2" xfId="15610"/>
    <cellStyle name="Q 3 2 2 2 5" xfId="9219"/>
    <cellStyle name="Q 3 2 2 3" xfId="12337"/>
    <cellStyle name="Q 3 2 2 3 2" xfId="15611"/>
    <cellStyle name="Q 3 2 2 3 2 2" xfId="15612"/>
    <cellStyle name="Q 3 2 2 3 3" xfId="15613"/>
    <cellStyle name="Q 3 2 2 3 3 2" xfId="15615"/>
    <cellStyle name="Q 3 2 2 3 4" xfId="15616"/>
    <cellStyle name="Q 3 2 2 4" xfId="15617"/>
    <cellStyle name="Q 3 2 2 4 2" xfId="15618"/>
    <cellStyle name="Q 3 2 2 5" xfId="12629"/>
    <cellStyle name="Q 3 2 3" xfId="15621"/>
    <cellStyle name="Q 3 2 3 2" xfId="12344"/>
    <cellStyle name="Q 3 2 3 2 2" xfId="12346"/>
    <cellStyle name="Q 3 2 3 3" xfId="12349"/>
    <cellStyle name="Q 3 2 3 3 2" xfId="15622"/>
    <cellStyle name="Q 3 2 3 4" xfId="15624"/>
    <cellStyle name="Q 3 2 3 4 2" xfId="15626"/>
    <cellStyle name="Q 3 2 3 5" xfId="12631"/>
    <cellStyle name="Q 3 2 4" xfId="15628"/>
    <cellStyle name="Q 3 2 4 2" xfId="12358"/>
    <cellStyle name="Q 3 2 4 2 2" xfId="15629"/>
    <cellStyle name="Q 3 2 4 3" xfId="2484"/>
    <cellStyle name="Q 3 2 4 3 2" xfId="15630"/>
    <cellStyle name="Q 3 2 4 4" xfId="15631"/>
    <cellStyle name="Q 3 2 4 4 2" xfId="15632"/>
    <cellStyle name="Q 3 2 4 5" xfId="12636"/>
    <cellStyle name="Q 3 2 5" xfId="15635"/>
    <cellStyle name="Q 3 2 5 2" xfId="15637"/>
    <cellStyle name="Q 3 2 5 2 2" xfId="15639"/>
    <cellStyle name="Q 3 2 5 3" xfId="2497"/>
    <cellStyle name="Q 3 2 5 3 2" xfId="15641"/>
    <cellStyle name="Q 3 2 5 4" xfId="15642"/>
    <cellStyle name="Q 3 2 6" xfId="15644"/>
    <cellStyle name="Q 3 2 6 2" xfId="15646"/>
    <cellStyle name="Q 3 2 7" xfId="15650"/>
    <cellStyle name="Q 3 3" xfId="15651"/>
    <cellStyle name="Q 3 3 2" xfId="3370"/>
    <cellStyle name="Q 3 3 2 2" xfId="3372"/>
    <cellStyle name="Q 3 3 2 2 2" xfId="12396"/>
    <cellStyle name="Q 3 3 2 2 2 2" xfId="15656"/>
    <cellStyle name="Q 3 3 2 2 3" xfId="14565"/>
    <cellStyle name="Q 3 3 2 2 3 2" xfId="15659"/>
    <cellStyle name="Q 3 3 2 2 4" xfId="15660"/>
    <cellStyle name="Q 3 3 2 2 4 2" xfId="15663"/>
    <cellStyle name="Q 3 3 2 2 5" xfId="9732"/>
    <cellStyle name="Q 3 3 2 3" xfId="12398"/>
    <cellStyle name="Q 3 3 2 3 2" xfId="15664"/>
    <cellStyle name="Q 3 3 2 3 2 2" xfId="15669"/>
    <cellStyle name="Q 3 3 2 3 3" xfId="14568"/>
    <cellStyle name="Q 3 3 2 3 3 2" xfId="15674"/>
    <cellStyle name="Q 3 3 2 3 4" xfId="15676"/>
    <cellStyle name="Q 3 3 2 4" xfId="15677"/>
    <cellStyle name="Q 3 3 2 4 2" xfId="15678"/>
    <cellStyle name="Q 3 3 2 5" xfId="12647"/>
    <cellStyle name="Q 3 3 3" xfId="3375"/>
    <cellStyle name="Q 3 3 3 2" xfId="3377"/>
    <cellStyle name="Q 3 3 3 2 2" xfId="12410"/>
    <cellStyle name="Q 3 3 3 3" xfId="12412"/>
    <cellStyle name="Q 3 3 3 3 2" xfId="15679"/>
    <cellStyle name="Q 3 3 3 4" xfId="15680"/>
    <cellStyle name="Q 3 3 3 4 2" xfId="15681"/>
    <cellStyle name="Q 3 3 3 5" xfId="12652"/>
    <cellStyle name="Q 3 3 4" xfId="3383"/>
    <cellStyle name="Q 3 3 4 2" xfId="12425"/>
    <cellStyle name="Q 3 3 4 2 2" xfId="15683"/>
    <cellStyle name="Q 3 3 4 3" xfId="15684"/>
    <cellStyle name="Q 3 3 4 3 2" xfId="15686"/>
    <cellStyle name="Q 3 3 4 4" xfId="15687"/>
    <cellStyle name="Q 3 3 5" xfId="15689"/>
    <cellStyle name="Q 3 3 5 2" xfId="15690"/>
    <cellStyle name="Q 3 3 6" xfId="15691"/>
    <cellStyle name="Q 3 4" xfId="15693"/>
    <cellStyle name="Q 3 4 2" xfId="3393"/>
    <cellStyle name="Q 3 4 2 2" xfId="3399"/>
    <cellStyle name="Q 3 4 2 2 2" xfId="12437"/>
    <cellStyle name="Q 3 4 2 3" xfId="12439"/>
    <cellStyle name="Q 3 4 2 3 2" xfId="15694"/>
    <cellStyle name="Q 3 4 2 4" xfId="15695"/>
    <cellStyle name="Q 3 4 2 4 2" xfId="15696"/>
    <cellStyle name="Q 3 4 2 5" xfId="15698"/>
    <cellStyle name="Q 3 4 3" xfId="3403"/>
    <cellStyle name="Q 3 4 3 2" xfId="12451"/>
    <cellStyle name="Q 3 4 3 2 2" xfId="15701"/>
    <cellStyle name="Q 3 4 3 3" xfId="15702"/>
    <cellStyle name="Q 3 4 3 3 2" xfId="15703"/>
    <cellStyle name="Q 3 4 3 4" xfId="15704"/>
    <cellStyle name="Q 3 4 4" xfId="15708"/>
    <cellStyle name="Q 3 4 4 2" xfId="15710"/>
    <cellStyle name="Q 3 4 5" xfId="15713"/>
    <cellStyle name="Q 3 5" xfId="15716"/>
    <cellStyle name="Q 3 5 2" xfId="15719"/>
    <cellStyle name="Q 3 5 2 2" xfId="12465"/>
    <cellStyle name="Q 3 5 2 2 2" xfId="12466"/>
    <cellStyle name="Q 3 5 2 3" xfId="12468"/>
    <cellStyle name="Q 3 5 2 3 2" xfId="15720"/>
    <cellStyle name="Q 3 5 2 4" xfId="15721"/>
    <cellStyle name="Q 3 5 2 4 2" xfId="15722"/>
    <cellStyle name="Q 3 5 2 5" xfId="15723"/>
    <cellStyle name="Q 3 5 3" xfId="15726"/>
    <cellStyle name="Q 3 5 3 2" xfId="12483"/>
    <cellStyle name="Q 3 5 3 2 2" xfId="15730"/>
    <cellStyle name="Q 3 5 3 3" xfId="15732"/>
    <cellStyle name="Q 3 5 3 3 2" xfId="15734"/>
    <cellStyle name="Q 3 5 3 4" xfId="15736"/>
    <cellStyle name="Q 3 5 4" xfId="15738"/>
    <cellStyle name="Q 3 5 4 2" xfId="15741"/>
    <cellStyle name="Q 3 5 5" xfId="15743"/>
    <cellStyle name="Q 3 6" xfId="15745"/>
    <cellStyle name="Q 3 6 2" xfId="15747"/>
    <cellStyle name="Q 3 6 2 2" xfId="15748"/>
    <cellStyle name="Q 3 6 3" xfId="15749"/>
    <cellStyle name="Q 3 6 3 2" xfId="15751"/>
    <cellStyle name="Q 3 6 4" xfId="15752"/>
    <cellStyle name="Q 3 6 4 2" xfId="15753"/>
    <cellStyle name="Q 3 6 5" xfId="15754"/>
    <cellStyle name="Q 3 7" xfId="15756"/>
    <cellStyle name="Q 3 7 2" xfId="15757"/>
    <cellStyle name="Q 3 7 2 2" xfId="5805"/>
    <cellStyle name="Q 3 7 3" xfId="15758"/>
    <cellStyle name="Q 3 7 3 2" xfId="5818"/>
    <cellStyle name="Q 3 7 4" xfId="15759"/>
    <cellStyle name="Q 3 7 4 2" xfId="15760"/>
    <cellStyle name="Q 3 7 5" xfId="15761"/>
    <cellStyle name="Q 3 8" xfId="7517"/>
    <cellStyle name="Q 3 8 2" xfId="15764"/>
    <cellStyle name="Q 3 8 2 2" xfId="15766"/>
    <cellStyle name="Q 3 8 3" xfId="15768"/>
    <cellStyle name="Q 3 8 3 2" xfId="15770"/>
    <cellStyle name="Q 3 8 4" xfId="15772"/>
    <cellStyle name="Q 3 8 4 2" xfId="15774"/>
    <cellStyle name="Q 3 8 5" xfId="15776"/>
    <cellStyle name="Q 3 9" xfId="15777"/>
    <cellStyle name="Q 3 9 2" xfId="15780"/>
    <cellStyle name="Q 3 9 2 2" xfId="15781"/>
    <cellStyle name="Q 3 9 3" xfId="15782"/>
    <cellStyle name="Q 3 9 3 2" xfId="10100"/>
    <cellStyle name="Q 3 9 4" xfId="15783"/>
    <cellStyle name="Q 3 9 4 2" xfId="10117"/>
    <cellStyle name="Q 3 9 5" xfId="15784"/>
    <cellStyle name="Q 4" xfId="15786"/>
    <cellStyle name="Q 4 2" xfId="15789"/>
    <cellStyle name="Q 4 2 2" xfId="15794"/>
    <cellStyle name="Q 4 2 2 2" xfId="12882"/>
    <cellStyle name="Q 4 2 2 2 2" xfId="12885"/>
    <cellStyle name="Q 4 2 2 2 2 2" xfId="14345"/>
    <cellStyle name="Q 4 2 2 2 3" xfId="14347"/>
    <cellStyle name="Q 4 2 2 2 3 2" xfId="14352"/>
    <cellStyle name="Q 4 2 2 2 4" xfId="1227"/>
    <cellStyle name="Q 4 2 2 2 4 2" xfId="14354"/>
    <cellStyle name="Q 4 2 2 2 5" xfId="14357"/>
    <cellStyle name="Q 4 2 2 3" xfId="12891"/>
    <cellStyle name="Q 4 2 2 3 2" xfId="14359"/>
    <cellStyle name="Q 4 2 2 3 2 2" xfId="14364"/>
    <cellStyle name="Q 4 2 2 3 3" xfId="14366"/>
    <cellStyle name="Q 4 2 2 3 3 2" xfId="14371"/>
    <cellStyle name="Q 4 2 2 3 4" xfId="1251"/>
    <cellStyle name="Q 4 2 2 4" xfId="14373"/>
    <cellStyle name="Q 4 2 2 4 2" xfId="14382"/>
    <cellStyle name="Q 4 2 2 5" xfId="12684"/>
    <cellStyle name="Q 4 2 3" xfId="15798"/>
    <cellStyle name="Q 4 2 3 2" xfId="12914"/>
    <cellStyle name="Q 4 2 3 2 2" xfId="12921"/>
    <cellStyle name="Q 4 2 3 3" xfId="12926"/>
    <cellStyle name="Q 4 2 3 3 2" xfId="14437"/>
    <cellStyle name="Q 4 2 3 4" xfId="14449"/>
    <cellStyle name="Q 4 2 3 4 2" xfId="14455"/>
    <cellStyle name="Q 4 2 3 5" xfId="12692"/>
    <cellStyle name="Q 4 2 4" xfId="15799"/>
    <cellStyle name="Q 4 2 4 2" xfId="12941"/>
    <cellStyle name="Q 4 2 4 2 2" xfId="14469"/>
    <cellStyle name="Q 4 2 4 3" xfId="14484"/>
    <cellStyle name="Q 4 2 4 3 2" xfId="14487"/>
    <cellStyle name="Q 4 2 4 4" xfId="14491"/>
    <cellStyle name="Q 4 2 5" xfId="15800"/>
    <cellStyle name="Q 4 2 5 2" xfId="14510"/>
    <cellStyle name="Q 4 2 6" xfId="15801"/>
    <cellStyle name="Q 4 3" xfId="15804"/>
    <cellStyle name="Q 4 3 2" xfId="15807"/>
    <cellStyle name="Q 4 3 2 2" xfId="12978"/>
    <cellStyle name="Q 4 3 2 2 2" xfId="12982"/>
    <cellStyle name="Q 4 3 2 3" xfId="12986"/>
    <cellStyle name="Q 4 3 2 3 2" xfId="14697"/>
    <cellStyle name="Q 4 3 2 4" xfId="14700"/>
    <cellStyle name="Q 4 3 2 4 2" xfId="15810"/>
    <cellStyle name="Q 4 3 2 5" xfId="12703"/>
    <cellStyle name="Q 4 3 3" xfId="15815"/>
    <cellStyle name="Q 4 3 3 2" xfId="13004"/>
    <cellStyle name="Q 4 3 3 2 2" xfId="13008"/>
    <cellStyle name="Q 4 3 3 3" xfId="13013"/>
    <cellStyle name="Q 4 3 3 3 2" xfId="14707"/>
    <cellStyle name="Q 4 3 3 4" xfId="14710"/>
    <cellStyle name="Q 4 3 4" xfId="15817"/>
    <cellStyle name="Q 4 3 4 2" xfId="13028"/>
    <cellStyle name="Q 4 3 5" xfId="15819"/>
    <cellStyle name="Q 4 4" xfId="15823"/>
    <cellStyle name="Q 4 4 2" xfId="15828"/>
    <cellStyle name="Q 4 4 2 2" xfId="13056"/>
    <cellStyle name="Q 4 4 2 2 2" xfId="13059"/>
    <cellStyle name="Q 4 4 2 3" xfId="13065"/>
    <cellStyle name="Q 4 4 2 3 2" xfId="14862"/>
    <cellStyle name="Q 4 4 2 4" xfId="14865"/>
    <cellStyle name="Q 4 4 2 4 2" xfId="15831"/>
    <cellStyle name="Q 4 4 2 5" xfId="15833"/>
    <cellStyle name="Q 4 4 3" xfId="15838"/>
    <cellStyle name="Q 4 4 3 2" xfId="13092"/>
    <cellStyle name="Q 4 4 3 2 2" xfId="14873"/>
    <cellStyle name="Q 4 4 3 3" xfId="14877"/>
    <cellStyle name="Q 4 4 3 3 2" xfId="15280"/>
    <cellStyle name="Q 4 4 3 4" xfId="15282"/>
    <cellStyle name="Q 4 4 4" xfId="15843"/>
    <cellStyle name="Q 4 4 4 2" xfId="15286"/>
    <cellStyle name="Q 4 4 5" xfId="15846"/>
    <cellStyle name="Q 4 5" xfId="15850"/>
    <cellStyle name="Q 4 5 2" xfId="15855"/>
    <cellStyle name="Q 4 5 2 2" xfId="13118"/>
    <cellStyle name="Q 4 5 3" xfId="15860"/>
    <cellStyle name="Q 4 5 3 2" xfId="13142"/>
    <cellStyle name="Q 4 5 4" xfId="15864"/>
    <cellStyle name="Q 4 5 4 2" xfId="15298"/>
    <cellStyle name="Q 4 5 5" xfId="15865"/>
    <cellStyle name="Q 4 6" xfId="15869"/>
    <cellStyle name="Q 4 6 2" xfId="15874"/>
    <cellStyle name="Q 4 6 2 2" xfId="15877"/>
    <cellStyle name="Q 4 6 3" xfId="15881"/>
    <cellStyle name="Q 4 6 3 2" xfId="15884"/>
    <cellStyle name="Q 4 6 4" xfId="15888"/>
    <cellStyle name="Q 4 7" xfId="15892"/>
    <cellStyle name="Q 4 7 2" xfId="15895"/>
    <cellStyle name="Q 4 8" xfId="7523"/>
    <cellStyle name="Q 4 9" xfId="15898"/>
    <cellStyle name="Q 5" xfId="15901"/>
    <cellStyle name="Q 5 2" xfId="13781"/>
    <cellStyle name="Q 5 2 2" xfId="13783"/>
    <cellStyle name="Q 5 2 2 2" xfId="13315"/>
    <cellStyle name="Q 5 2 2 2 2" xfId="13319"/>
    <cellStyle name="Q 5 2 2 3" xfId="13324"/>
    <cellStyle name="Q 5 2 2 3 2" xfId="13792"/>
    <cellStyle name="Q 5 2 2 4" xfId="13795"/>
    <cellStyle name="Q 5 2 2 4 2" xfId="13799"/>
    <cellStyle name="Q 5 2 2 5" xfId="12729"/>
    <cellStyle name="Q 5 2 3" xfId="13800"/>
    <cellStyle name="Q 5 2 3 2" xfId="13343"/>
    <cellStyle name="Q 5 2 3 2 2" xfId="13348"/>
    <cellStyle name="Q 5 2 3 3" xfId="13356"/>
    <cellStyle name="Q 5 2 3 3 2" xfId="13803"/>
    <cellStyle name="Q 5 2 3 4" xfId="13807"/>
    <cellStyle name="Q 5 2 4" xfId="13812"/>
    <cellStyle name="Q 5 2 4 2" xfId="13372"/>
    <cellStyle name="Q 5 2 5" xfId="13829"/>
    <cellStyle name="Q 5 3" xfId="13836"/>
    <cellStyle name="Q 5 3 2" xfId="13838"/>
    <cellStyle name="Q 5 3 2 2" xfId="13394"/>
    <cellStyle name="Q 5 3 3" xfId="13852"/>
    <cellStyle name="Q 5 3 3 2" xfId="647"/>
    <cellStyle name="Q 5 3 4" xfId="13855"/>
    <cellStyle name="Q 5 3 4 2" xfId="1504"/>
    <cellStyle name="Q 5 3 5" xfId="13858"/>
    <cellStyle name="Q 5 4" xfId="13861"/>
    <cellStyle name="Q 5 4 2" xfId="13864"/>
    <cellStyle name="Q 5 4 2 2" xfId="13413"/>
    <cellStyle name="Q 5 4 3" xfId="13871"/>
    <cellStyle name="Q 5 4 3 2" xfId="339"/>
    <cellStyle name="Q 5 4 4" xfId="13884"/>
    <cellStyle name="Q 5 5" xfId="13889"/>
    <cellStyle name="Q 5 5 2" xfId="13892"/>
    <cellStyle name="Q 5 6" xfId="13900"/>
    <cellStyle name="Q 6" xfId="15903"/>
    <cellStyle name="Q 6 2" xfId="14000"/>
    <cellStyle name="Q 6 2 2" xfId="14004"/>
    <cellStyle name="Q 6 2 2 2" xfId="14008"/>
    <cellStyle name="Q 6 2 2 2 2" xfId="14011"/>
    <cellStyle name="Q 6 2 2 3" xfId="14016"/>
    <cellStyle name="Q 6 2 2 3 2" xfId="14019"/>
    <cellStyle name="Q 6 2 2 4" xfId="14023"/>
    <cellStyle name="Q 6 2 2 4 2" xfId="14029"/>
    <cellStyle name="Q 6 2 2 5" xfId="12762"/>
    <cellStyle name="Q 6 2 3" xfId="14031"/>
    <cellStyle name="Q 6 2 3 2" xfId="14035"/>
    <cellStyle name="Q 6 2 3 2 2" xfId="14038"/>
    <cellStyle name="Q 6 2 3 3" xfId="14042"/>
    <cellStyle name="Q 6 2 3 3 2" xfId="14046"/>
    <cellStyle name="Q 6 2 3 4" xfId="14049"/>
    <cellStyle name="Q 6 2 4" xfId="14052"/>
    <cellStyle name="Q 6 2 4 2" xfId="14056"/>
    <cellStyle name="Q 6 2 5" xfId="14060"/>
    <cellStyle name="Q 6 3" xfId="14064"/>
    <cellStyle name="Q 6 3 2" xfId="14068"/>
    <cellStyle name="Q 6 3 2 2" xfId="14073"/>
    <cellStyle name="Q 6 3 3" xfId="14084"/>
    <cellStyle name="Q 6 3 3 2" xfId="14087"/>
    <cellStyle name="Q 6 3 4" xfId="14097"/>
    <cellStyle name="Q 6 3 4 2" xfId="14099"/>
    <cellStyle name="Q 6 3 5" xfId="14103"/>
    <cellStyle name="Q 6 4" xfId="14106"/>
    <cellStyle name="Q 6 4 2" xfId="14110"/>
    <cellStyle name="Q 6 4 2 2" xfId="14113"/>
    <cellStyle name="Q 6 4 3" xfId="14115"/>
    <cellStyle name="Q 6 4 3 2" xfId="14120"/>
    <cellStyle name="Q 6 4 4" xfId="14123"/>
    <cellStyle name="Q 6 5" xfId="14131"/>
    <cellStyle name="Q 6 5 2" xfId="14136"/>
    <cellStyle name="Q 6 6" xfId="14152"/>
    <cellStyle name="Q 7" xfId="15904"/>
    <cellStyle name="Q 7 2" xfId="14213"/>
    <cellStyle name="Q 7 2 2" xfId="14216"/>
    <cellStyle name="Q 7 2 2 2" xfId="14219"/>
    <cellStyle name="Q 7 2 3" xfId="14228"/>
    <cellStyle name="Q 7 2 3 2" xfId="14232"/>
    <cellStyle name="Q 7 2 4" xfId="13654"/>
    <cellStyle name="Q 7 2 4 2" xfId="14247"/>
    <cellStyle name="Q 7 2 5" xfId="14250"/>
    <cellStyle name="Q 7 3" xfId="14253"/>
    <cellStyle name="Q 7 3 2" xfId="14256"/>
    <cellStyle name="Q 7 3 2 2" xfId="14260"/>
    <cellStyle name="Q 7 3 3" xfId="14265"/>
    <cellStyle name="Q 7 3 3 2" xfId="14267"/>
    <cellStyle name="Q 7 3 4" xfId="13660"/>
    <cellStyle name="Q 7 4" xfId="14278"/>
    <cellStyle name="Q 7 4 2" xfId="14282"/>
    <cellStyle name="Q 7 5" xfId="14298"/>
    <cellStyle name="Q 8" xfId="15793"/>
    <cellStyle name="Q 8 2" xfId="12881"/>
    <cellStyle name="Q 8 2 2" xfId="12887"/>
    <cellStyle name="Q 8 2 2 2" xfId="14344"/>
    <cellStyle name="Q 8 2 3" xfId="14346"/>
    <cellStyle name="Q 8 2 3 2" xfId="14351"/>
    <cellStyle name="Q 8 2 4" xfId="1226"/>
    <cellStyle name="Q 8 2 4 2" xfId="14353"/>
    <cellStyle name="Q 8 2 5" xfId="14356"/>
    <cellStyle name="Q 8 3" xfId="12890"/>
    <cellStyle name="Q 8 3 2" xfId="14361"/>
    <cellStyle name="Q 8 3 2 2" xfId="14363"/>
    <cellStyle name="Q 8 3 3" xfId="14368"/>
    <cellStyle name="Q 8 3 3 2" xfId="14370"/>
    <cellStyle name="Q 8 3 4" xfId="1253"/>
    <cellStyle name="Q 8 4" xfId="14376"/>
    <cellStyle name="Q 8 4 2" xfId="14380"/>
    <cellStyle name="Q 8 5" xfId="12683"/>
    <cellStyle name="Q 9" xfId="15797"/>
    <cellStyle name="Q 9 2" xfId="12912"/>
    <cellStyle name="Q 9 2 2" xfId="12917"/>
    <cellStyle name="Q 9 3" xfId="12924"/>
    <cellStyle name="Q 9 3 2" xfId="14433"/>
    <cellStyle name="Q 9 4" xfId="14447"/>
    <cellStyle name="Q 9 4 2" xfId="14452"/>
    <cellStyle name="Q 9 5" xfId="12691"/>
    <cellStyle name="RowLevel_0" xfId="15906"/>
    <cellStyle name="Title" xfId="15908"/>
    <cellStyle name="Total" xfId="12404"/>
    <cellStyle name="Total 10" xfId="15911"/>
    <cellStyle name="Total 10 2" xfId="15914"/>
    <cellStyle name="Total 10 2 2" xfId="15915"/>
    <cellStyle name="Total 10 3" xfId="9754"/>
    <cellStyle name="Total 10 3 2" xfId="15916"/>
    <cellStyle name="Total 10 4" xfId="15918"/>
    <cellStyle name="Total 10 4 2" xfId="5117"/>
    <cellStyle name="Total 10 5" xfId="15921"/>
    <cellStyle name="Total 11" xfId="15922"/>
    <cellStyle name="Total 11 2" xfId="15924"/>
    <cellStyle name="Total 11 2 2" xfId="15926"/>
    <cellStyle name="Total 11 3" xfId="9757"/>
    <cellStyle name="Total 11 3 2" xfId="15927"/>
    <cellStyle name="Total 11 4" xfId="15928"/>
    <cellStyle name="Total 11 4 2" xfId="15929"/>
    <cellStyle name="Total 11 5" xfId="15930"/>
    <cellStyle name="Total 12" xfId="6063"/>
    <cellStyle name="Total 2" xfId="15931"/>
    <cellStyle name="Total 2 10" xfId="15932"/>
    <cellStyle name="Total 2 10 2" xfId="15934"/>
    <cellStyle name="Total 2 10 2 2" xfId="15935"/>
    <cellStyle name="Total 2 10 3" xfId="15938"/>
    <cellStyle name="Total 2 10 3 2" xfId="15939"/>
    <cellStyle name="Total 2 10 4" xfId="15940"/>
    <cellStyle name="Total 2 10 4 2" xfId="15941"/>
    <cellStyle name="Total 2 10 5" xfId="15942"/>
    <cellStyle name="Total 2 11" xfId="15943"/>
    <cellStyle name="Total 2 2" xfId="13989"/>
    <cellStyle name="Total 2 2 2" xfId="15946"/>
    <cellStyle name="Total 2 2 2 2" xfId="15950"/>
    <cellStyle name="Total 2 2 2 2 2" xfId="15952"/>
    <cellStyle name="Total 2 2 2 2 2 2" xfId="15263"/>
    <cellStyle name="Total 2 2 2 2 2 2 2" xfId="15267"/>
    <cellStyle name="Total 2 2 2 2 2 3" xfId="15272"/>
    <cellStyle name="Total 2 2 2 2 2 3 2" xfId="15955"/>
    <cellStyle name="Total 2 2 2 2 2 4" xfId="14515"/>
    <cellStyle name="Total 2 2 2 2 2 4 2" xfId="15957"/>
    <cellStyle name="Total 2 2 2 2 2 5" xfId="15959"/>
    <cellStyle name="Total 2 2 2 2 3" xfId="920"/>
    <cellStyle name="Total 2 2 2 2 3 2" xfId="15274"/>
    <cellStyle name="Total 2 2 2 2 3 2 2" xfId="12304"/>
    <cellStyle name="Total 2 2 2 2 3 3" xfId="15961"/>
    <cellStyle name="Total 2 2 2 2 3 3 2" xfId="15963"/>
    <cellStyle name="Total 2 2 2 2 3 4" xfId="14518"/>
    <cellStyle name="Total 2 2 2 2 4" xfId="15964"/>
    <cellStyle name="Total 2 2 2 2 4 2" xfId="15965"/>
    <cellStyle name="Total 2 2 2 2 5" xfId="15966"/>
    <cellStyle name="Total 2 2 2 3" xfId="7752"/>
    <cellStyle name="Total 2 2 2 3 2" xfId="15967"/>
    <cellStyle name="Total 2 2 2 3 2 2" xfId="15968"/>
    <cellStyle name="Total 2 2 2 3 3" xfId="3267"/>
    <cellStyle name="Total 2 2 2 3 3 2" xfId="15970"/>
    <cellStyle name="Total 2 2 2 3 4" xfId="15971"/>
    <cellStyle name="Total 2 2 2 3 4 2" xfId="15972"/>
    <cellStyle name="Total 2 2 2 3 5" xfId="15973"/>
    <cellStyle name="Total 2 2 2 4" xfId="15974"/>
    <cellStyle name="Total 2 2 2 4 2" xfId="15975"/>
    <cellStyle name="Total 2 2 2 4 2 2" xfId="15976"/>
    <cellStyle name="Total 2 2 2 4 3" xfId="8698"/>
    <cellStyle name="Total 2 2 2 4 3 2" xfId="15977"/>
    <cellStyle name="Total 2 2 2 4 4" xfId="8701"/>
    <cellStyle name="Total 2 2 2 5" xfId="15978"/>
    <cellStyle name="Total 2 2 2 5 2" xfId="15979"/>
    <cellStyle name="Total 2 2 2 6" xfId="15980"/>
    <cellStyle name="Total 2 2 3" xfId="15982"/>
    <cellStyle name="Total 2 2 3 2" xfId="15984"/>
    <cellStyle name="Total 2 2 3 2 2" xfId="15987"/>
    <cellStyle name="Total 2 2 3 2 2 2" xfId="15991"/>
    <cellStyle name="Total 2 2 3 2 2 2 2" xfId="15994"/>
    <cellStyle name="Total 2 2 3 2 2 3" xfId="15997"/>
    <cellStyle name="Total 2 2 3 2 2 3 2" xfId="16000"/>
    <cellStyle name="Total 2 2 3 2 2 4" xfId="16001"/>
    <cellStyle name="Total 2 2 3 2 2 4 2" xfId="16003"/>
    <cellStyle name="Total 2 2 3 2 2 5" xfId="16004"/>
    <cellStyle name="Total 2 2 3 2 3" xfId="3315"/>
    <cellStyle name="Total 2 2 3 2 3 2" xfId="16007"/>
    <cellStyle name="Total 2 2 3 2 3 2 2" xfId="16008"/>
    <cellStyle name="Total 2 2 3 2 3 3" xfId="16011"/>
    <cellStyle name="Total 2 2 3 2 3 3 2" xfId="16013"/>
    <cellStyle name="Total 2 2 3 2 3 4" xfId="16014"/>
    <cellStyle name="Total 2 2 3 2 4" xfId="16017"/>
    <cellStyle name="Total 2 2 3 2 4 2" xfId="16020"/>
    <cellStyle name="Total 2 2 3 2 5" xfId="16022"/>
    <cellStyle name="Total 2 2 3 3" xfId="16023"/>
    <cellStyle name="Total 2 2 3 3 2" xfId="16024"/>
    <cellStyle name="Total 2 2 3 3 2 2" xfId="16025"/>
    <cellStyle name="Total 2 2 3 3 3" xfId="3334"/>
    <cellStyle name="Total 2 2 3 3 3 2" xfId="16026"/>
    <cellStyle name="Total 2 2 3 3 4" xfId="16027"/>
    <cellStyle name="Total 2 2 3 3 4 2" xfId="16028"/>
    <cellStyle name="Total 2 2 3 3 5" xfId="16029"/>
    <cellStyle name="Total 2 2 3 4" xfId="16030"/>
    <cellStyle name="Total 2 2 3 4 2" xfId="16031"/>
    <cellStyle name="Total 2 2 3 4 2 2" xfId="16032"/>
    <cellStyle name="Total 2 2 3 4 3" xfId="16033"/>
    <cellStyle name="Total 2 2 3 4 3 2" xfId="16034"/>
    <cellStyle name="Total 2 2 3 4 4" xfId="16035"/>
    <cellStyle name="Total 2 2 3 5" xfId="16037"/>
    <cellStyle name="Total 2 2 3 5 2" xfId="16039"/>
    <cellStyle name="Total 2 2 3 6" xfId="16041"/>
    <cellStyle name="Total 2 2 4" xfId="16044"/>
    <cellStyle name="Total 2 2 4 2" xfId="16046"/>
    <cellStyle name="Total 2 2 4 2 2" xfId="16048"/>
    <cellStyle name="Total 2 2 4 2 2 2" xfId="16049"/>
    <cellStyle name="Total 2 2 4 2 3" xfId="3367"/>
    <cellStyle name="Total 2 2 4 2 3 2" xfId="16050"/>
    <cellStyle name="Total 2 2 4 2 4" xfId="16051"/>
    <cellStyle name="Total 2 2 4 2 4 2" xfId="16053"/>
    <cellStyle name="Total 2 2 4 2 5" xfId="3381"/>
    <cellStyle name="Total 2 2 4 3" xfId="16057"/>
    <cellStyle name="Total 2 2 4 3 2" xfId="16059"/>
    <cellStyle name="Total 2 2 4 3 2 2" xfId="16060"/>
    <cellStyle name="Total 2 2 4 3 3" xfId="16061"/>
    <cellStyle name="Total 2 2 4 3 3 2" xfId="16062"/>
    <cellStyle name="Total 2 2 4 3 4" xfId="16063"/>
    <cellStyle name="Total 2 2 4 4" xfId="16065"/>
    <cellStyle name="Total 2 2 4 4 2" xfId="16067"/>
    <cellStyle name="Total 2 2 4 5" xfId="12045"/>
    <cellStyle name="Total 2 2 5" xfId="16069"/>
    <cellStyle name="Total 2 2 5 2" xfId="16071"/>
    <cellStyle name="Total 2 2 5 2 2" xfId="16073"/>
    <cellStyle name="Total 2 2 5 2 2 2" xfId="16074"/>
    <cellStyle name="Total 2 2 5 2 3" xfId="16075"/>
    <cellStyle name="Total 2 2 5 2 3 2" xfId="16076"/>
    <cellStyle name="Total 2 2 5 2 4" xfId="16077"/>
    <cellStyle name="Total 2 2 5 2 4 2" xfId="16078"/>
    <cellStyle name="Total 2 2 5 2 5" xfId="1348"/>
    <cellStyle name="Total 2 2 5 3" xfId="16080"/>
    <cellStyle name="Total 2 2 5 3 2" xfId="16082"/>
    <cellStyle name="Total 2 2 5 3 2 2" xfId="16085"/>
    <cellStyle name="Total 2 2 5 3 3" xfId="16086"/>
    <cellStyle name="Total 2 2 5 3 3 2" xfId="16087"/>
    <cellStyle name="Total 2 2 5 3 4" xfId="16088"/>
    <cellStyle name="Total 2 2 5 4" xfId="16090"/>
    <cellStyle name="Total 2 2 5 4 2" xfId="16091"/>
    <cellStyle name="Total 2 2 5 5" xfId="12048"/>
    <cellStyle name="Total 2 2 6" xfId="16093"/>
    <cellStyle name="Total 2 2 6 2" xfId="16095"/>
    <cellStyle name="Total 2 2 6 2 2" xfId="16096"/>
    <cellStyle name="Total 2 2 6 3" xfId="16097"/>
    <cellStyle name="Total 2 2 6 3 2" xfId="12007"/>
    <cellStyle name="Total 2 2 6 4" xfId="16098"/>
    <cellStyle name="Total 2 2 6 4 2" xfId="16099"/>
    <cellStyle name="Total 2 2 6 5" xfId="12056"/>
    <cellStyle name="Total 2 2 7" xfId="1497"/>
    <cellStyle name="Total 2 2 7 2" xfId="3478"/>
    <cellStyle name="Total 2 2 7 2 2" xfId="16100"/>
    <cellStyle name="Total 2 2 7 3" xfId="16101"/>
    <cellStyle name="Total 2 2 7 3 2" xfId="16103"/>
    <cellStyle name="Total 2 2 7 4" xfId="16104"/>
    <cellStyle name="Total 2 2 7 4 2" xfId="16105"/>
    <cellStyle name="Total 2 2 7 5" xfId="16106"/>
    <cellStyle name="Total 2 2 8" xfId="3485"/>
    <cellStyle name="Total 2 2 8 2" xfId="4195"/>
    <cellStyle name="Total 2 2 8 2 2" xfId="16108"/>
    <cellStyle name="Total 2 2 8 3" xfId="16109"/>
    <cellStyle name="Total 2 2 8 3 2" xfId="16110"/>
    <cellStyle name="Total 2 2 8 4" xfId="16112"/>
    <cellStyle name="Total 2 2 8 4 2" xfId="16114"/>
    <cellStyle name="Total 2 2 8 5" xfId="16115"/>
    <cellStyle name="Total 2 2 9" xfId="3493"/>
    <cellStyle name="Total 2 3" xfId="12755"/>
    <cellStyle name="Total 2 3 2" xfId="16118"/>
    <cellStyle name="Total 2 3 2 2" xfId="16120"/>
    <cellStyle name="Total 2 3 2 2 2" xfId="16121"/>
    <cellStyle name="Total 2 3 2 2 2 2" xfId="3131"/>
    <cellStyle name="Total 2 3 2 2 2 2 2" xfId="3136"/>
    <cellStyle name="Total 2 3 2 2 2 3" xfId="3141"/>
    <cellStyle name="Total 2 3 2 2 2 3 2" xfId="16124"/>
    <cellStyle name="Total 2 3 2 2 2 4" xfId="16127"/>
    <cellStyle name="Total 2 3 2 2 2 4 2" xfId="16128"/>
    <cellStyle name="Total 2 3 2 2 2 5" xfId="16129"/>
    <cellStyle name="Total 2 3 2 2 3" xfId="3507"/>
    <cellStyle name="Total 2 3 2 2 3 2" xfId="3158"/>
    <cellStyle name="Total 2 3 2 2 3 2 2" xfId="3162"/>
    <cellStyle name="Total 2 3 2 2 3 3" xfId="3166"/>
    <cellStyle name="Total 2 3 2 2 3 3 2" xfId="16131"/>
    <cellStyle name="Total 2 3 2 2 3 4" xfId="16134"/>
    <cellStyle name="Total 2 3 2 2 4" xfId="16135"/>
    <cellStyle name="Total 2 3 2 2 4 2" xfId="3185"/>
    <cellStyle name="Total 2 3 2 2 5" xfId="16136"/>
    <cellStyle name="Total 2 3 2 3" xfId="12117"/>
    <cellStyle name="Total 2 3 2 3 2" xfId="16137"/>
    <cellStyle name="Total 2 3 2 3 2 2" xfId="3474"/>
    <cellStyle name="Total 2 3 2 3 3" xfId="3517"/>
    <cellStyle name="Total 2 3 2 3 3 2" xfId="16139"/>
    <cellStyle name="Total 2 3 2 3 4" xfId="16140"/>
    <cellStyle name="Total 2 3 2 3 4 2" xfId="16142"/>
    <cellStyle name="Total 2 3 2 3 5" xfId="16143"/>
    <cellStyle name="Total 2 3 2 4" xfId="16144"/>
    <cellStyle name="Total 2 3 2 4 2" xfId="16145"/>
    <cellStyle name="Total 2 3 2 4 2 2" xfId="16149"/>
    <cellStyle name="Total 2 3 2 4 3" xfId="16150"/>
    <cellStyle name="Total 2 3 2 4 3 2" xfId="16152"/>
    <cellStyle name="Total 2 3 2 4 4" xfId="16153"/>
    <cellStyle name="Total 2 3 2 5" xfId="16155"/>
    <cellStyle name="Total 2 3 2 5 2" xfId="16156"/>
    <cellStyle name="Total 2 3 2 6" xfId="16157"/>
    <cellStyle name="Total 2 3 3" xfId="16159"/>
    <cellStyle name="Total 2 3 3 2" xfId="16161"/>
    <cellStyle name="Total 2 3 3 2 2" xfId="16162"/>
    <cellStyle name="Total 2 3 3 2 2 2" xfId="16164"/>
    <cellStyle name="Total 2 3 3 2 3" xfId="4960"/>
    <cellStyle name="Total 2 3 3 2 3 2" xfId="16166"/>
    <cellStyle name="Total 2 3 3 2 4" xfId="16167"/>
    <cellStyle name="Total 2 3 3 2 4 2" xfId="16169"/>
    <cellStyle name="Total 2 3 3 2 5" xfId="16170"/>
    <cellStyle name="Total 2 3 3 3" xfId="16171"/>
    <cellStyle name="Total 2 3 3 3 2" xfId="16172"/>
    <cellStyle name="Total 2 3 3 3 2 2" xfId="16175"/>
    <cellStyle name="Total 2 3 3 3 3" xfId="16176"/>
    <cellStyle name="Total 2 3 3 3 3 2" xfId="16177"/>
    <cellStyle name="Total 2 3 3 3 4" xfId="16178"/>
    <cellStyle name="Total 2 3 3 4" xfId="16179"/>
    <cellStyle name="Total 2 3 3 4 2" xfId="16180"/>
    <cellStyle name="Total 2 3 3 5" xfId="16182"/>
    <cellStyle name="Total 2 3 4" xfId="16186"/>
    <cellStyle name="Total 2 3 4 2" xfId="16188"/>
    <cellStyle name="Total 2 3 4 2 2" xfId="16189"/>
    <cellStyle name="Total 2 3 4 2 2 2" xfId="16192"/>
    <cellStyle name="Total 2 3 4 2 3" xfId="16193"/>
    <cellStyle name="Total 2 3 4 2 3 2" xfId="16196"/>
    <cellStyle name="Total 2 3 4 2 4" xfId="16197"/>
    <cellStyle name="Total 2 3 4 2 4 2" xfId="16200"/>
    <cellStyle name="Total 2 3 4 2 5" xfId="16202"/>
    <cellStyle name="Total 2 3 4 3" xfId="16203"/>
    <cellStyle name="Total 2 3 4 3 2" xfId="16204"/>
    <cellStyle name="Total 2 3 4 3 2 2" xfId="16206"/>
    <cellStyle name="Total 2 3 4 3 3" xfId="16207"/>
    <cellStyle name="Total 2 3 4 3 3 2" xfId="16209"/>
    <cellStyle name="Total 2 3 4 3 4" xfId="16210"/>
    <cellStyle name="Total 2 3 4 4" xfId="16211"/>
    <cellStyle name="Total 2 3 4 4 2" xfId="16212"/>
    <cellStyle name="Total 2 3 4 5" xfId="16213"/>
    <cellStyle name="Total 2 3 5" xfId="16215"/>
    <cellStyle name="Total 2 3 5 2" xfId="3582"/>
    <cellStyle name="Total 2 3 5 2 2" xfId="6471"/>
    <cellStyle name="Total 2 3 5 3" xfId="5253"/>
    <cellStyle name="Total 2 3 5 3 2" xfId="6475"/>
    <cellStyle name="Total 2 3 5 4" xfId="6479"/>
    <cellStyle name="Total 2 3 5 4 2" xfId="16216"/>
    <cellStyle name="Total 2 3 5 5" xfId="16217"/>
    <cellStyle name="Total 2 3 6" xfId="16219"/>
    <cellStyle name="Total 2 3 6 2" xfId="16221"/>
    <cellStyle name="Total 2 3 6 2 2" xfId="16223"/>
    <cellStyle name="Total 2 3 6 3" xfId="16225"/>
    <cellStyle name="Total 2 3 6 3 2" xfId="16226"/>
    <cellStyle name="Total 2 3 6 4" xfId="16227"/>
    <cellStyle name="Total 2 3 7" xfId="4205"/>
    <cellStyle name="Total 2 3 7 2" xfId="4207"/>
    <cellStyle name="Total 2 3 8" xfId="4211"/>
    <cellStyle name="Total 2 3 9" xfId="4221"/>
    <cellStyle name="Total 2 4" xfId="16228"/>
    <cellStyle name="Total 2 4 2" xfId="16230"/>
    <cellStyle name="Total 2 4 2 2" xfId="16232"/>
    <cellStyle name="Total 2 4 2 2 2" xfId="3596"/>
    <cellStyle name="Total 2 4 2 2 2 2" xfId="3603"/>
    <cellStyle name="Total 2 4 2 2 3" xfId="3609"/>
    <cellStyle name="Total 2 4 2 2 3 2" xfId="3612"/>
    <cellStyle name="Total 2 4 2 2 4" xfId="2915"/>
    <cellStyle name="Total 2 4 2 2 4 2" xfId="16233"/>
    <cellStyle name="Total 2 4 2 2 5" xfId="16236"/>
    <cellStyle name="Total 2 4 2 3" xfId="16237"/>
    <cellStyle name="Total 2 4 2 3 2" xfId="3627"/>
    <cellStyle name="Total 2 4 2 3 2 2" xfId="3631"/>
    <cellStyle name="Total 2 4 2 3 3" xfId="3637"/>
    <cellStyle name="Total 2 4 2 3 3 2" xfId="3642"/>
    <cellStyle name="Total 2 4 2 3 4" xfId="2926"/>
    <cellStyle name="Total 2 4 2 4" xfId="16238"/>
    <cellStyle name="Total 2 4 2 4 2" xfId="3653"/>
    <cellStyle name="Total 2 4 2 5" xfId="16240"/>
    <cellStyle name="Total 2 4 3" xfId="16242"/>
    <cellStyle name="Total 2 4 3 2" xfId="16243"/>
    <cellStyle name="Total 2 4 3 2 2" xfId="3664"/>
    <cellStyle name="Total 2 4 3 3" xfId="16244"/>
    <cellStyle name="Total 2 4 3 3 2" xfId="3678"/>
    <cellStyle name="Total 2 4 3 4" xfId="16245"/>
    <cellStyle name="Total 2 4 3 4 2" xfId="3690"/>
    <cellStyle name="Total 2 4 3 5" xfId="16247"/>
    <cellStyle name="Total 2 4 4" xfId="16249"/>
    <cellStyle name="Total 2 4 4 2" xfId="16251"/>
    <cellStyle name="Total 2 4 4 2 2" xfId="3702"/>
    <cellStyle name="Total 2 4 4 3" xfId="16252"/>
    <cellStyle name="Total 2 4 4 3 2" xfId="3709"/>
    <cellStyle name="Total 2 4 4 4" xfId="16253"/>
    <cellStyle name="Total 2 4 5" xfId="16255"/>
    <cellStyle name="Total 2 4 5 2" xfId="8143"/>
    <cellStyle name="Total 2 4 6" xfId="16258"/>
    <cellStyle name="Total 2 5" xfId="16260"/>
    <cellStyle name="Total 2 5 2" xfId="16261"/>
    <cellStyle name="Total 2 5 2 2" xfId="16262"/>
    <cellStyle name="Total 2 5 2 2 2" xfId="10593"/>
    <cellStyle name="Total 2 5 2 2 2 2" xfId="16266"/>
    <cellStyle name="Total 2 5 2 2 3" xfId="5003"/>
    <cellStyle name="Total 2 5 2 2 3 2" xfId="16268"/>
    <cellStyle name="Total 2 5 2 2 4" xfId="16270"/>
    <cellStyle name="Total 2 5 2 2 4 2" xfId="16271"/>
    <cellStyle name="Total 2 5 2 2 5" xfId="16275"/>
    <cellStyle name="Total 2 5 2 3" xfId="16276"/>
    <cellStyle name="Total 2 5 2 3 2" xfId="16277"/>
    <cellStyle name="Total 2 5 2 3 2 2" xfId="16279"/>
    <cellStyle name="Total 2 5 2 3 3" xfId="16280"/>
    <cellStyle name="Total 2 5 2 3 3 2" xfId="16282"/>
    <cellStyle name="Total 2 5 2 3 4" xfId="16284"/>
    <cellStyle name="Total 2 5 2 4" xfId="16285"/>
    <cellStyle name="Total 2 5 2 4 2" xfId="16287"/>
    <cellStyle name="Total 2 5 2 5" xfId="9128"/>
    <cellStyle name="Total 2 5 3" xfId="16288"/>
    <cellStyle name="Total 2 5 3 2" xfId="16290"/>
    <cellStyle name="Total 2 5 3 2 2" xfId="11873"/>
    <cellStyle name="Total 2 5 3 3" xfId="16292"/>
    <cellStyle name="Total 2 5 3 3 2" xfId="16294"/>
    <cellStyle name="Total 2 5 3 4" xfId="16296"/>
    <cellStyle name="Total 2 5 3 4 2" xfId="16298"/>
    <cellStyle name="Total 2 5 3 5" xfId="515"/>
    <cellStyle name="Total 2 5 4" xfId="16300"/>
    <cellStyle name="Total 2 5 4 2" xfId="16302"/>
    <cellStyle name="Total 2 5 4 2 2" xfId="16303"/>
    <cellStyle name="Total 2 5 4 3" xfId="16304"/>
    <cellStyle name="Total 2 5 4 3 2" xfId="16305"/>
    <cellStyle name="Total 2 5 4 4" xfId="16306"/>
    <cellStyle name="Total 2 5 5" xfId="16307"/>
    <cellStyle name="Total 2 5 5 2" xfId="16308"/>
    <cellStyle name="Total 2 5 6" xfId="9376"/>
    <cellStyle name="Total 2 6" xfId="16309"/>
    <cellStyle name="Total 2 6 2" xfId="16311"/>
    <cellStyle name="Total 2 6 2 2" xfId="16313"/>
    <cellStyle name="Total 2 6 2 2 2" xfId="11091"/>
    <cellStyle name="Total 2 6 2 3" xfId="16314"/>
    <cellStyle name="Total 2 6 2 3 2" xfId="16315"/>
    <cellStyle name="Total 2 6 2 4" xfId="16317"/>
    <cellStyle name="Total 2 6 2 4 2" xfId="16318"/>
    <cellStyle name="Total 2 6 2 5" xfId="9132"/>
    <cellStyle name="Total 2 6 3" xfId="16321"/>
    <cellStyle name="Total 2 6 3 2" xfId="16323"/>
    <cellStyle name="Total 2 6 3 2 2" xfId="16325"/>
    <cellStyle name="Total 2 6 3 3" xfId="16326"/>
    <cellStyle name="Total 2 6 3 3 2" xfId="16327"/>
    <cellStyle name="Total 2 6 3 4" xfId="16329"/>
    <cellStyle name="Total 2 6 4" xfId="16332"/>
    <cellStyle name="Total 2 6 4 2" xfId="16333"/>
    <cellStyle name="Total 2 6 5" xfId="16337"/>
    <cellStyle name="Total 2 7" xfId="16338"/>
    <cellStyle name="Total 2 7 2" xfId="16341"/>
    <cellStyle name="Total 2 7 2 2" xfId="16344"/>
    <cellStyle name="Total 2 7 2 2 2" xfId="16347"/>
    <cellStyle name="Total 2 7 2 3" xfId="16350"/>
    <cellStyle name="Total 2 7 2 3 2" xfId="16351"/>
    <cellStyle name="Total 2 7 2 4" xfId="16352"/>
    <cellStyle name="Total 2 7 2 4 2" xfId="16353"/>
    <cellStyle name="Total 2 7 2 5" xfId="16354"/>
    <cellStyle name="Total 2 7 3" xfId="16355"/>
    <cellStyle name="Total 2 7 3 2" xfId="16356"/>
    <cellStyle name="Total 2 7 3 2 2" xfId="16358"/>
    <cellStyle name="Total 2 7 3 3" xfId="16359"/>
    <cellStyle name="Total 2 7 3 3 2" xfId="16360"/>
    <cellStyle name="Total 2 7 3 4" xfId="16361"/>
    <cellStyle name="Total 2 7 4" xfId="16362"/>
    <cellStyle name="Total 2 7 4 2" xfId="16364"/>
    <cellStyle name="Total 2 7 5" xfId="16369"/>
    <cellStyle name="Total 2 8" xfId="16370"/>
    <cellStyle name="Total 2 8 2" xfId="16371"/>
    <cellStyle name="Total 2 8 2 2" xfId="16375"/>
    <cellStyle name="Total 2 8 3" xfId="16378"/>
    <cellStyle name="Total 2 8 3 2" xfId="16379"/>
    <cellStyle name="Total 2 8 4" xfId="16380"/>
    <cellStyle name="Total 2 8 4 2" xfId="16381"/>
    <cellStyle name="Total 2 8 5" xfId="16385"/>
    <cellStyle name="Total 2 9" xfId="16386"/>
    <cellStyle name="Total 2 9 2" xfId="16387"/>
    <cellStyle name="Total 2 9 2 2" xfId="16389"/>
    <cellStyle name="Total 2 9 3" xfId="16390"/>
    <cellStyle name="Total 2 9 3 2" xfId="16391"/>
    <cellStyle name="Total 2 9 4" xfId="16392"/>
    <cellStyle name="Total 2 9 4 2" xfId="16393"/>
    <cellStyle name="Total 2 9 5" xfId="16395"/>
    <cellStyle name="Total 3" xfId="16396"/>
    <cellStyle name="Total 3 2" xfId="16399"/>
    <cellStyle name="Total 3 2 2" xfId="10303"/>
    <cellStyle name="Total 3 2 2 2" xfId="16404"/>
    <cellStyle name="Total 3 2 2 2 2" xfId="16406"/>
    <cellStyle name="Total 3 2 2 2 2 2" xfId="16408"/>
    <cellStyle name="Total 3 2 2 2 3" xfId="2834"/>
    <cellStyle name="Total 3 2 2 2 3 2" xfId="16410"/>
    <cellStyle name="Total 3 2 2 2 4" xfId="16414"/>
    <cellStyle name="Total 3 2 2 2 4 2" xfId="16416"/>
    <cellStyle name="Total 3 2 2 2 5" xfId="16418"/>
    <cellStyle name="Total 3 2 2 3" xfId="12163"/>
    <cellStyle name="Total 3 2 2 3 2" xfId="16419"/>
    <cellStyle name="Total 3 2 2 3 2 2" xfId="16421"/>
    <cellStyle name="Total 3 2 2 3 3" xfId="16423"/>
    <cellStyle name="Total 3 2 2 3 3 2" xfId="16424"/>
    <cellStyle name="Total 3 2 2 3 4" xfId="16426"/>
    <cellStyle name="Total 3 2 2 4" xfId="16430"/>
    <cellStyle name="Total 3 2 2 4 2" xfId="16431"/>
    <cellStyle name="Total 3 2 2 5" xfId="16436"/>
    <cellStyle name="Total 3 2 3" xfId="16437"/>
    <cellStyle name="Total 3 2 3 2" xfId="16438"/>
    <cellStyle name="Total 3 2 3 2 2" xfId="16439"/>
    <cellStyle name="Total 3 2 3 3" xfId="16442"/>
    <cellStyle name="Total 3 2 3 3 2" xfId="16443"/>
    <cellStyle name="Total 3 2 3 4" xfId="16444"/>
    <cellStyle name="Total 3 2 3 4 2" xfId="16445"/>
    <cellStyle name="Total 3 2 3 5" xfId="16448"/>
    <cellStyle name="Total 3 2 4" xfId="16451"/>
    <cellStyle name="Total 3 2 4 2" xfId="16453"/>
    <cellStyle name="Total 3 2 4 2 2" xfId="16454"/>
    <cellStyle name="Total 3 2 4 3" xfId="16459"/>
    <cellStyle name="Total 3 2 4 3 2" xfId="16460"/>
    <cellStyle name="Total 3 2 4 4" xfId="16461"/>
    <cellStyle name="Total 3 2 5" xfId="16464"/>
    <cellStyle name="Total 3 2 5 2" xfId="16468"/>
    <cellStyle name="Total 3 2 6" xfId="16472"/>
    <cellStyle name="Total 3 3" xfId="16474"/>
    <cellStyle name="Total 3 3 2" xfId="16476"/>
    <cellStyle name="Total 3 3 2 2" xfId="16478"/>
    <cellStyle name="Total 3 3 2 2 2" xfId="16480"/>
    <cellStyle name="Total 3 3 2 2 2 2" xfId="16482"/>
    <cellStyle name="Total 3 3 2 2 3" xfId="5091"/>
    <cellStyle name="Total 3 3 2 2 3 2" xfId="16484"/>
    <cellStyle name="Total 3 3 2 2 4" xfId="16486"/>
    <cellStyle name="Total 3 3 2 2 4 2" xfId="16487"/>
    <cellStyle name="Total 3 3 2 2 5" xfId="16488"/>
    <cellStyle name="Total 3 3 2 3" xfId="2088"/>
    <cellStyle name="Total 3 3 2 3 2" xfId="2095"/>
    <cellStyle name="Total 3 3 2 3 2 2" xfId="16489"/>
    <cellStyle name="Total 3 3 2 3 3" xfId="16490"/>
    <cellStyle name="Total 3 3 2 3 3 2" xfId="16491"/>
    <cellStyle name="Total 3 3 2 3 4" xfId="16492"/>
    <cellStyle name="Total 3 3 2 4" xfId="2102"/>
    <cellStyle name="Total 3 3 2 4 2" xfId="3969"/>
    <cellStyle name="Total 3 3 2 5" xfId="3974"/>
    <cellStyle name="Total 3 3 3" xfId="16494"/>
    <cellStyle name="Total 3 3 3 2" xfId="16496"/>
    <cellStyle name="Total 3 3 3 2 2" xfId="16497"/>
    <cellStyle name="Total 3 3 3 3" xfId="2587"/>
    <cellStyle name="Total 3 3 3 3 2" xfId="3982"/>
    <cellStyle name="Total 3 3 3 4" xfId="3988"/>
    <cellStyle name="Total 3 3 3 4 2" xfId="1816"/>
    <cellStyle name="Total 3 3 3 5" xfId="1047"/>
    <cellStyle name="Total 3 3 4" xfId="16501"/>
    <cellStyle name="Total 3 3 4 2" xfId="16503"/>
    <cellStyle name="Total 3 3 4 2 2" xfId="16504"/>
    <cellStyle name="Total 3 3 4 3" xfId="16505"/>
    <cellStyle name="Total 3 3 4 3 2" xfId="16506"/>
    <cellStyle name="Total 3 3 4 4" xfId="16507"/>
    <cellStyle name="Total 3 3 5" xfId="16509"/>
    <cellStyle name="Total 3 3 5 2" xfId="16512"/>
    <cellStyle name="Total 3 3 6" xfId="16516"/>
    <cellStyle name="Total 3 4" xfId="16518"/>
    <cellStyle name="Total 3 4 2" xfId="16520"/>
    <cellStyle name="Total 3 4 2 2" xfId="16522"/>
    <cellStyle name="Total 3 4 2 2 2" xfId="16523"/>
    <cellStyle name="Total 3 4 2 3" xfId="16525"/>
    <cellStyle name="Total 3 4 2 3 2" xfId="16526"/>
    <cellStyle name="Total 3 4 2 4" xfId="16527"/>
    <cellStyle name="Total 3 4 2 4 2" xfId="16528"/>
    <cellStyle name="Total 3 4 2 5" xfId="16531"/>
    <cellStyle name="Total 3 4 3" xfId="16533"/>
    <cellStyle name="Total 3 4 3 2" xfId="16534"/>
    <cellStyle name="Total 3 4 3 2 2" xfId="16537"/>
    <cellStyle name="Total 3 4 3 3" xfId="16539"/>
    <cellStyle name="Total 3 4 3 3 2" xfId="16540"/>
    <cellStyle name="Total 3 4 3 4" xfId="16541"/>
    <cellStyle name="Total 3 4 4" xfId="16543"/>
    <cellStyle name="Total 3 4 4 2" xfId="16544"/>
    <cellStyle name="Total 3 4 5" xfId="16545"/>
    <cellStyle name="Total 3 5" xfId="12516"/>
    <cellStyle name="Total 3 5 2" xfId="12518"/>
    <cellStyle name="Total 3 5 2 2" xfId="16546"/>
    <cellStyle name="Total 3 5 2 2 2" xfId="16547"/>
    <cellStyle name="Total 3 5 2 3" xfId="16548"/>
    <cellStyle name="Total 3 5 2 3 2" xfId="16550"/>
    <cellStyle name="Total 3 5 2 4" xfId="16551"/>
    <cellStyle name="Total 3 5 2 4 2" xfId="16553"/>
    <cellStyle name="Total 3 5 2 5" xfId="16554"/>
    <cellStyle name="Total 3 5 3" xfId="16555"/>
    <cellStyle name="Total 3 5 3 2" xfId="16556"/>
    <cellStyle name="Total 3 5 3 2 2" xfId="16558"/>
    <cellStyle name="Total 3 5 3 3" xfId="16559"/>
    <cellStyle name="Total 3 5 3 3 2" xfId="16560"/>
    <cellStyle name="Total 3 5 3 4" xfId="16561"/>
    <cellStyle name="Total 3 5 4" xfId="16562"/>
    <cellStyle name="Total 3 5 4 2" xfId="16563"/>
    <cellStyle name="Total 3 5 5" xfId="16564"/>
    <cellStyle name="Total 3 6" xfId="12520"/>
    <cellStyle name="Total 3 6 2" xfId="12522"/>
    <cellStyle name="Total 3 6 2 2" xfId="16565"/>
    <cellStyle name="Total 3 6 3" xfId="16569"/>
    <cellStyle name="Total 3 6 3 2" xfId="16573"/>
    <cellStyle name="Total 3 6 4" xfId="7548"/>
    <cellStyle name="Total 3 6 4 2" xfId="16576"/>
    <cellStyle name="Total 3 6 5" xfId="16577"/>
    <cellStyle name="Total 3 7" xfId="12525"/>
    <cellStyle name="Total 3 7 2" xfId="12527"/>
    <cellStyle name="Total 3 7 2 2" xfId="16578"/>
    <cellStyle name="Total 3 7 3" xfId="16579"/>
    <cellStyle name="Total 3 7 3 2" xfId="16580"/>
    <cellStyle name="Total 3 7 4" xfId="7555"/>
    <cellStyle name="Total 3 7 4 2" xfId="16581"/>
    <cellStyle name="Total 3 7 5" xfId="16585"/>
    <cellStyle name="Total 3 8" xfId="12529"/>
    <cellStyle name="Total 3 8 2" xfId="16586"/>
    <cellStyle name="Total 3 8 2 2" xfId="16589"/>
    <cellStyle name="Total 3 8 3" xfId="16590"/>
    <cellStyle name="Total 3 8 3 2" xfId="16591"/>
    <cellStyle name="Total 3 8 4" xfId="7561"/>
    <cellStyle name="Total 3 8 4 2" xfId="16592"/>
    <cellStyle name="Total 3 8 5" xfId="16596"/>
    <cellStyle name="Total 3 9" xfId="16597"/>
    <cellStyle name="Total 4" xfId="16598"/>
    <cellStyle name="Total 4 2" xfId="16600"/>
    <cellStyle name="Total 4 2 2" xfId="16601"/>
    <cellStyle name="Total 4 2 2 2" xfId="16602"/>
    <cellStyle name="Total 4 2 2 2 2" xfId="13720"/>
    <cellStyle name="Total 4 2 2 2 2 2" xfId="13724"/>
    <cellStyle name="Total 4 2 2 2 3" xfId="5141"/>
    <cellStyle name="Total 4 2 2 2 3 2" xfId="16603"/>
    <cellStyle name="Total 4 2 2 2 4" xfId="16606"/>
    <cellStyle name="Total 4 2 2 2 4 2" xfId="16613"/>
    <cellStyle name="Total 4 2 2 2 5" xfId="16614"/>
    <cellStyle name="Total 4 2 2 3" xfId="12215"/>
    <cellStyle name="Total 4 2 2 3 2" xfId="13735"/>
    <cellStyle name="Total 4 2 2 3 2 2" xfId="13739"/>
    <cellStyle name="Total 4 2 2 3 3" xfId="13746"/>
    <cellStyle name="Total 4 2 2 3 3 2" xfId="16617"/>
    <cellStyle name="Total 4 2 2 3 4" xfId="16619"/>
    <cellStyle name="Total 4 2 2 4" xfId="16620"/>
    <cellStyle name="Total 4 2 2 4 2" xfId="16622"/>
    <cellStyle name="Total 4 2 2 5" xfId="16623"/>
    <cellStyle name="Total 4 2 3" xfId="16624"/>
    <cellStyle name="Total 4 2 3 2" xfId="16625"/>
    <cellStyle name="Total 4 2 3 2 2" xfId="11779"/>
    <cellStyle name="Total 4 2 3 3" xfId="16626"/>
    <cellStyle name="Total 4 2 3 3 2" xfId="11788"/>
    <cellStyle name="Total 4 2 3 4" xfId="16628"/>
    <cellStyle name="Total 4 2 3 4 2" xfId="16629"/>
    <cellStyle name="Total 4 2 3 5" xfId="16630"/>
    <cellStyle name="Total 4 2 4" xfId="16632"/>
    <cellStyle name="Total 4 2 4 2" xfId="16634"/>
    <cellStyle name="Total 4 2 4 2 2" xfId="11811"/>
    <cellStyle name="Total 4 2 4 3" xfId="16635"/>
    <cellStyle name="Total 4 2 4 3 2" xfId="16636"/>
    <cellStyle name="Total 4 2 4 4" xfId="16638"/>
    <cellStyle name="Total 4 2 5" xfId="16640"/>
    <cellStyle name="Total 4 2 5 2" xfId="16642"/>
    <cellStyle name="Total 4 2 6" xfId="16648"/>
    <cellStyle name="Total 4 3" xfId="16650"/>
    <cellStyle name="Total 4 3 2" xfId="16651"/>
    <cellStyle name="Total 4 3 2 2" xfId="16653"/>
    <cellStyle name="Total 4 3 2 2 2" xfId="10338"/>
    <cellStyle name="Total 4 3 2 3" xfId="3483"/>
    <cellStyle name="Total 4 3 2 3 2" xfId="4193"/>
    <cellStyle name="Total 4 3 2 4" xfId="3491"/>
    <cellStyle name="Total 4 3 2 4 2" xfId="4197"/>
    <cellStyle name="Total 4 3 2 5" xfId="4201"/>
    <cellStyle name="Total 4 3 3" xfId="16654"/>
    <cellStyle name="Total 4 3 3 2" xfId="16655"/>
    <cellStyle name="Total 4 3 3 2 2" xfId="11880"/>
    <cellStyle name="Total 4 3 3 3" xfId="4209"/>
    <cellStyle name="Total 4 3 3 3 2" xfId="4213"/>
    <cellStyle name="Total 4 3 3 4" xfId="4219"/>
    <cellStyle name="Total 4 3 4" xfId="16657"/>
    <cellStyle name="Total 4 3 4 2" xfId="16659"/>
    <cellStyle name="Total 4 3 5" xfId="16661"/>
    <cellStyle name="Total 4 4" xfId="16662"/>
    <cellStyle name="Total 4 4 2" xfId="16663"/>
    <cellStyle name="Total 4 4 2 2" xfId="16665"/>
    <cellStyle name="Total 4 4 2 2 2" xfId="16667"/>
    <cellStyle name="Total 4 4 2 3" xfId="16668"/>
    <cellStyle name="Total 4 4 2 3 2" xfId="16671"/>
    <cellStyle name="Total 4 4 2 4" xfId="16672"/>
    <cellStyle name="Total 4 4 2 4 2" xfId="16673"/>
    <cellStyle name="Total 4 4 2 5" xfId="16674"/>
    <cellStyle name="Total 4 4 3" xfId="16675"/>
    <cellStyle name="Total 4 4 3 2" xfId="16676"/>
    <cellStyle name="Total 4 4 3 2 2" xfId="9742"/>
    <cellStyle name="Total 4 4 3 3" xfId="16677"/>
    <cellStyle name="Total 4 4 3 3 2" xfId="10029"/>
    <cellStyle name="Total 4 4 3 4" xfId="16678"/>
    <cellStyle name="Total 4 4 4" xfId="16680"/>
    <cellStyle name="Total 4 4 4 2" xfId="16681"/>
    <cellStyle name="Total 4 4 5" xfId="16682"/>
    <cellStyle name="Total 4 5" xfId="16685"/>
    <cellStyle name="Total 4 5 2" xfId="16687"/>
    <cellStyle name="Total 4 5 2 2" xfId="16689"/>
    <cellStyle name="Total 4 5 3" xfId="16690"/>
    <cellStyle name="Total 4 5 3 2" xfId="16691"/>
    <cellStyle name="Total 4 5 4" xfId="16692"/>
    <cellStyle name="Total 4 5 4 2" xfId="16695"/>
    <cellStyle name="Total 4 5 5" xfId="16696"/>
    <cellStyle name="Total 4 6" xfId="16698"/>
    <cellStyle name="Total 4 6 2" xfId="16700"/>
    <cellStyle name="Total 4 6 2 2" xfId="16701"/>
    <cellStyle name="Total 4 6 3" xfId="16703"/>
    <cellStyle name="Total 4 6 3 2" xfId="16704"/>
    <cellStyle name="Total 4 6 4" xfId="7569"/>
    <cellStyle name="Total 4 7" xfId="16707"/>
    <cellStyle name="Total 4 7 2" xfId="16709"/>
    <cellStyle name="Total 4 8" xfId="16711"/>
    <cellStyle name="Total 4 9" xfId="16713"/>
    <cellStyle name="Total 5" xfId="11681"/>
    <cellStyle name="Total 5 2" xfId="7409"/>
    <cellStyle name="Total 5 2 2" xfId="16714"/>
    <cellStyle name="Total 5 2 2 2" xfId="16715"/>
    <cellStyle name="Total 5 2 2 2 2" xfId="11383"/>
    <cellStyle name="Total 5 2 2 3" xfId="16716"/>
    <cellStyle name="Total 5 2 2 3 2" xfId="11412"/>
    <cellStyle name="Total 5 2 2 4" xfId="16717"/>
    <cellStyle name="Total 5 2 2 4 2" xfId="16719"/>
    <cellStyle name="Total 5 2 2 5" xfId="16720"/>
    <cellStyle name="Total 5 2 3" xfId="16721"/>
    <cellStyle name="Total 5 2 3 2" xfId="16723"/>
    <cellStyle name="Total 5 2 3 2 2" xfId="16725"/>
    <cellStyle name="Total 5 2 3 3" xfId="16728"/>
    <cellStyle name="Total 5 2 3 3 2" xfId="16732"/>
    <cellStyle name="Total 5 2 3 4" xfId="16735"/>
    <cellStyle name="Total 5 2 4" xfId="16738"/>
    <cellStyle name="Total 5 2 4 2" xfId="16739"/>
    <cellStyle name="Total 5 2 5" xfId="16740"/>
    <cellStyle name="Total 5 3" xfId="16742"/>
    <cellStyle name="Total 5 3 2" xfId="16743"/>
    <cellStyle name="Total 5 3 2 2" xfId="16744"/>
    <cellStyle name="Total 5 3 3" xfId="16745"/>
    <cellStyle name="Total 5 3 3 2" xfId="16746"/>
    <cellStyle name="Total 5 3 4" xfId="16748"/>
    <cellStyle name="Total 5 3 4 2" xfId="16750"/>
    <cellStyle name="Total 5 3 5" xfId="16751"/>
    <cellStyle name="Total 5 4" xfId="16753"/>
    <cellStyle name="Total 5 4 2" xfId="16754"/>
    <cellStyle name="Total 5 4 2 2" xfId="16755"/>
    <cellStyle name="Total 5 4 3" xfId="16756"/>
    <cellStyle name="Total 5 4 3 2" xfId="16757"/>
    <cellStyle name="Total 5 4 4" xfId="16760"/>
    <cellStyle name="Total 5 5" xfId="16762"/>
    <cellStyle name="Total 5 5 2" xfId="16763"/>
    <cellStyle name="Total 5 6" xfId="16765"/>
    <cellStyle name="Total 6" xfId="11684"/>
    <cellStyle name="Total 6 2" xfId="7427"/>
    <cellStyle name="Total 6 2 2" xfId="16766"/>
    <cellStyle name="Total 6 2 2 2" xfId="16767"/>
    <cellStyle name="Total 6 2 2 2 2" xfId="16768"/>
    <cellStyle name="Total 6 2 2 3" xfId="16769"/>
    <cellStyle name="Total 6 2 2 3 2" xfId="16770"/>
    <cellStyle name="Total 6 2 2 4" xfId="13788"/>
    <cellStyle name="Total 6 2 2 4 2" xfId="16771"/>
    <cellStyle name="Total 6 2 2 5" xfId="16772"/>
    <cellStyle name="Total 6 2 3" xfId="16773"/>
    <cellStyle name="Total 6 2 3 2" xfId="8962"/>
    <cellStyle name="Total 6 2 3 2 2" xfId="8964"/>
    <cellStyle name="Total 6 2 3 3" xfId="8966"/>
    <cellStyle name="Total 6 2 3 3 2" xfId="16774"/>
    <cellStyle name="Total 6 2 3 4" xfId="16776"/>
    <cellStyle name="Total 6 2 4" xfId="16778"/>
    <cellStyle name="Total 6 2 4 2" xfId="8976"/>
    <cellStyle name="Total 6 2 5" xfId="16780"/>
    <cellStyle name="Total 6 3" xfId="16782"/>
    <cellStyle name="Total 6 3 2" xfId="16783"/>
    <cellStyle name="Total 6 3 2 2" xfId="16784"/>
    <cellStyle name="Total 6 3 3" xfId="16785"/>
    <cellStyle name="Total 6 3 3 2" xfId="8994"/>
    <cellStyle name="Total 6 3 4" xfId="16787"/>
    <cellStyle name="Total 6 3 4 2" xfId="9005"/>
    <cellStyle name="Total 6 3 5" xfId="16790"/>
    <cellStyle name="Total 6 4" xfId="9236"/>
    <cellStyle name="Total 6 4 2" xfId="9238"/>
    <cellStyle name="Total 6 4 2 2" xfId="9241"/>
    <cellStyle name="Total 6 4 3" xfId="9243"/>
    <cellStyle name="Total 6 4 3 2" xfId="9245"/>
    <cellStyle name="Total 6 4 4" xfId="9248"/>
    <cellStyle name="Total 6 5" xfId="9254"/>
    <cellStyle name="Total 6 5 2" xfId="9256"/>
    <cellStyle name="Total 6 6" xfId="9261"/>
    <cellStyle name="Total 7" xfId="11687"/>
    <cellStyle name="Total 7 2" xfId="11689"/>
    <cellStyle name="Total 7 2 2" xfId="16791"/>
    <cellStyle name="Total 7 2 2 2" xfId="16792"/>
    <cellStyle name="Total 7 2 3" xfId="16794"/>
    <cellStyle name="Total 7 2 3 2" xfId="1432"/>
    <cellStyle name="Total 7 2 4" xfId="16797"/>
    <cellStyle name="Total 7 2 4 2" xfId="1008"/>
    <cellStyle name="Total 7 2 5" xfId="16799"/>
    <cellStyle name="Total 7 3" xfId="16800"/>
    <cellStyle name="Total 7 3 2" xfId="16801"/>
    <cellStyle name="Total 7 3 2 2" xfId="16802"/>
    <cellStyle name="Total 7 3 3" xfId="16803"/>
    <cellStyle name="Total 7 3 3 2" xfId="1557"/>
    <cellStyle name="Total 7 3 4" xfId="16806"/>
    <cellStyle name="Total 7 4" xfId="4372"/>
    <cellStyle name="Total 7 4 2" xfId="4915"/>
    <cellStyle name="Total 7 5" xfId="3832"/>
    <cellStyle name="Total 8" xfId="11691"/>
    <cellStyle name="Total 8 2" xfId="16807"/>
    <cellStyle name="Total 8 2 2" xfId="16808"/>
    <cellStyle name="Total 8 2 2 2" xfId="16809"/>
    <cellStyle name="Total 8 2 3" xfId="16811"/>
    <cellStyle name="Total 8 2 3 2" xfId="1936"/>
    <cellStyle name="Total 8 2 4" xfId="16409"/>
    <cellStyle name="Total 8 2 4 2" xfId="1957"/>
    <cellStyle name="Total 8 2 5" xfId="16813"/>
    <cellStyle name="Total 8 3" xfId="16814"/>
    <cellStyle name="Total 8 3 2" xfId="16815"/>
    <cellStyle name="Total 8 3 2 2" xfId="16816"/>
    <cellStyle name="Total 8 3 3" xfId="16817"/>
    <cellStyle name="Total 8 3 3 2" xfId="2005"/>
    <cellStyle name="Total 8 3 4" xfId="16415"/>
    <cellStyle name="Total 8 4" xfId="4408"/>
    <cellStyle name="Total 8 4 2" xfId="5537"/>
    <cellStyle name="Total 8 5" xfId="3842"/>
    <cellStyle name="Total 9" xfId="16819"/>
    <cellStyle name="Total 9 2" xfId="16820"/>
    <cellStyle name="Total 9 2 2" xfId="16411"/>
    <cellStyle name="Total 9 3" xfId="16821"/>
    <cellStyle name="Total 9 3 2" xfId="16425"/>
    <cellStyle name="Total 9 4" xfId="4432"/>
    <cellStyle name="Total 9 4 2" xfId="16823"/>
    <cellStyle name="Total 9 5" xfId="16824"/>
    <cellStyle name="Warning Text" xfId="16825"/>
    <cellStyle name="百分比" xfId="51" builtinId="5"/>
    <cellStyle name="百分比 10" xfId="16827"/>
    <cellStyle name="百分比 10 2" xfId="16828"/>
    <cellStyle name="百分比 10 2 2" xfId="16829"/>
    <cellStyle name="百分比 10 2 3" xfId="16831"/>
    <cellStyle name="百分比 10 2 4" xfId="16833"/>
    <cellStyle name="百分比 10 2 5" xfId="16834"/>
    <cellStyle name="百分比 10 3" xfId="16835"/>
    <cellStyle name="百分比 10 3 2" xfId="16836"/>
    <cellStyle name="百分比 10 3 3" xfId="16837"/>
    <cellStyle name="百分比 10 3 4" xfId="16838"/>
    <cellStyle name="百分比 10 3 5" xfId="16839"/>
    <cellStyle name="百分比 11" xfId="1452"/>
    <cellStyle name="百分比 12" xfId="792"/>
    <cellStyle name="百分比 13" xfId="16842"/>
    <cellStyle name="百分比 14" xfId="16845"/>
    <cellStyle name="百分比 15" xfId="16846"/>
    <cellStyle name="百分比 17 2" xfId="16847"/>
    <cellStyle name="百分比 17 2 2" xfId="16849"/>
    <cellStyle name="百分比 17 2 3" xfId="16851"/>
    <cellStyle name="百分比 17 2 4" xfId="11003"/>
    <cellStyle name="百分比 17 2 5" xfId="16853"/>
    <cellStyle name="百分比 17 3" xfId="16854"/>
    <cellStyle name="百分比 17 3 2" xfId="16856"/>
    <cellStyle name="百分比 17 3 3" xfId="16859"/>
    <cellStyle name="百分比 17 3 4" xfId="11007"/>
    <cellStyle name="百分比 17 3 5" xfId="16861"/>
    <cellStyle name="百分比 2" xfId="9784"/>
    <cellStyle name="百分比 2 10" xfId="16862"/>
    <cellStyle name="百分比 2 10 10" xfId="16865"/>
    <cellStyle name="百分比 2 10 11" xfId="16867"/>
    <cellStyle name="百分比 2 10 12" xfId="16374"/>
    <cellStyle name="百分比 2 10 13" xfId="16869"/>
    <cellStyle name="百分比 2 10 14" xfId="16871"/>
    <cellStyle name="百分比 2 10 15" xfId="16872"/>
    <cellStyle name="百分比 2 10 16" xfId="16873"/>
    <cellStyle name="百分比 2 10 2" xfId="16874"/>
    <cellStyle name="百分比 2 10 2 2" xfId="16875"/>
    <cellStyle name="百分比 2 10 2 2 2" xfId="16877"/>
    <cellStyle name="百分比 2 10 2 3" xfId="16879"/>
    <cellStyle name="百分比 2 10 2 4" xfId="16882"/>
    <cellStyle name="百分比 2 10 2 5" xfId="16885"/>
    <cellStyle name="百分比 2 10 2 6" xfId="16887"/>
    <cellStyle name="百分比 2 10 3" xfId="16889"/>
    <cellStyle name="百分比 2 10 3 2" xfId="16890"/>
    <cellStyle name="百分比 2 10 3 2 2" xfId="16892"/>
    <cellStyle name="百分比 2 10 3 3" xfId="16893"/>
    <cellStyle name="百分比 2 10 3 4" xfId="16894"/>
    <cellStyle name="百分比 2 10 3 5" xfId="16895"/>
    <cellStyle name="百分比 2 10 3 6" xfId="16896"/>
    <cellStyle name="百分比 2 10 4" xfId="16897"/>
    <cellStyle name="百分比 2 10 4 2" xfId="16899"/>
    <cellStyle name="百分比 2 10 4 2 2" xfId="16900"/>
    <cellStyle name="百分比 2 10 4 3" xfId="16902"/>
    <cellStyle name="百分比 2 10 4 4" xfId="16903"/>
    <cellStyle name="百分比 2 10 4 5" xfId="16904"/>
    <cellStyle name="百分比 2 10 4 6" xfId="16906"/>
    <cellStyle name="百分比 2 10 5" xfId="16908"/>
    <cellStyle name="百分比 2 10 5 2" xfId="16910"/>
    <cellStyle name="百分比 2 10 5 3" xfId="16912"/>
    <cellStyle name="百分比 2 10 6" xfId="16914"/>
    <cellStyle name="百分比 2 10 6 2" xfId="16918"/>
    <cellStyle name="百分比 2 10 6 3" xfId="16922"/>
    <cellStyle name="百分比 2 10 7" xfId="16923"/>
    <cellStyle name="百分比 2 10 7 2" xfId="16924"/>
    <cellStyle name="百分比 2 10 7 3" xfId="8605"/>
    <cellStyle name="百分比 2 10 8" xfId="16927"/>
    <cellStyle name="百分比 2 10 9" xfId="16928"/>
    <cellStyle name="百分比 2 11" xfId="16929"/>
    <cellStyle name="百分比 2 11 10" xfId="16931"/>
    <cellStyle name="百分比 2 11 11" xfId="16932"/>
    <cellStyle name="百分比 2 11 12" xfId="16933"/>
    <cellStyle name="百分比 2 11 13" xfId="16934"/>
    <cellStyle name="百分比 2 11 14" xfId="15064"/>
    <cellStyle name="百分比 2 11 15" xfId="16936"/>
    <cellStyle name="百分比 2 11 16" xfId="16938"/>
    <cellStyle name="百分比 2 11 17" xfId="16939"/>
    <cellStyle name="百分比 2 11 2" xfId="16940"/>
    <cellStyle name="百分比 2 11 2 2" xfId="16941"/>
    <cellStyle name="百分比 2 11 2 2 2" xfId="16942"/>
    <cellStyle name="百分比 2 11 2 3" xfId="16943"/>
    <cellStyle name="百分比 2 11 2 4" xfId="16944"/>
    <cellStyle name="百分比 2 11 2 5" xfId="16946"/>
    <cellStyle name="百分比 2 11 2 6" xfId="16947"/>
    <cellStyle name="百分比 2 11 3" xfId="16948"/>
    <cellStyle name="百分比 2 11 3 2" xfId="16949"/>
    <cellStyle name="百分比 2 11 3 2 2" xfId="16950"/>
    <cellStyle name="百分比 2 11 3 3" xfId="16952"/>
    <cellStyle name="百分比 2 11 3 4" xfId="16953"/>
    <cellStyle name="百分比 2 11 3 5" xfId="16954"/>
    <cellStyle name="百分比 2 11 3 6" xfId="16955"/>
    <cellStyle name="百分比 2 11 4" xfId="16956"/>
    <cellStyle name="百分比 2 11 4 2" xfId="16958"/>
    <cellStyle name="百分比 2 11 4 2 2" xfId="16962"/>
    <cellStyle name="百分比 2 11 4 3" xfId="16964"/>
    <cellStyle name="百分比 2 11 4 4" xfId="16965"/>
    <cellStyle name="百分比 2 11 4 5" xfId="16966"/>
    <cellStyle name="百分比 2 11 4 6" xfId="16967"/>
    <cellStyle name="百分比 2 11 5" xfId="16968"/>
    <cellStyle name="百分比 2 11 5 2" xfId="16970"/>
    <cellStyle name="百分比 2 11 5 3" xfId="16972"/>
    <cellStyle name="百分比 2 11 6" xfId="16974"/>
    <cellStyle name="百分比 2 11 6 2" xfId="16976"/>
    <cellStyle name="百分比 2 11 6 3" xfId="16978"/>
    <cellStyle name="百分比 2 11 7" xfId="16980"/>
    <cellStyle name="百分比 2 11 7 2" xfId="16982"/>
    <cellStyle name="百分比 2 11 7 3" xfId="16983"/>
    <cellStyle name="百分比 2 11 8" xfId="16985"/>
    <cellStyle name="百分比 2 11 9" xfId="16987"/>
    <cellStyle name="百分比 2 12" xfId="16988"/>
    <cellStyle name="百分比 2 12 2" xfId="16989"/>
    <cellStyle name="百分比 2 12 2 2" xfId="16990"/>
    <cellStyle name="百分比 2 12 3" xfId="16991"/>
    <cellStyle name="百分比 2 12 4" xfId="16992"/>
    <cellStyle name="百分比 2 12 5" xfId="16993"/>
    <cellStyle name="百分比 2 12 6" xfId="16994"/>
    <cellStyle name="百分比 2 13" xfId="16996"/>
    <cellStyle name="百分比 2 13 2" xfId="16998"/>
    <cellStyle name="百分比 2 13 2 2" xfId="16999"/>
    <cellStyle name="百分比 2 13 2 3" xfId="17002"/>
    <cellStyle name="百分比 2 13 2 4" xfId="17003"/>
    <cellStyle name="百分比 2 13 2 5" xfId="17006"/>
    <cellStyle name="百分比 2 13 3" xfId="17007"/>
    <cellStyle name="百分比 2 13 3 2" xfId="17008"/>
    <cellStyle name="百分比 2 13 4" xfId="17009"/>
    <cellStyle name="百分比 2 13 5" xfId="17010"/>
    <cellStyle name="百分比 2 13 6" xfId="17011"/>
    <cellStyle name="百分比 2 13 7" xfId="17012"/>
    <cellStyle name="百分比 2 14" xfId="17013"/>
    <cellStyle name="百分比 2 14 2" xfId="17014"/>
    <cellStyle name="百分比 2 14 2 2" xfId="17015"/>
    <cellStyle name="百分比 2 14 3" xfId="17016"/>
    <cellStyle name="百分比 2 14 4" xfId="17017"/>
    <cellStyle name="百分比 2 14 5" xfId="17018"/>
    <cellStyle name="百分比 2 14 6" xfId="17019"/>
    <cellStyle name="百分比 2 15" xfId="11189"/>
    <cellStyle name="百分比 2 15 2" xfId="17020"/>
    <cellStyle name="百分比 2 15 2 2" xfId="17022"/>
    <cellStyle name="百分比 2 15 3" xfId="17026"/>
    <cellStyle name="百分比 2 15 4" xfId="17028"/>
    <cellStyle name="百分比 2 15 5" xfId="17030"/>
    <cellStyle name="百分比 2 15 6" xfId="17032"/>
    <cellStyle name="百分比 2 16" xfId="17034"/>
    <cellStyle name="百分比 2 16 2" xfId="17038"/>
    <cellStyle name="百分比 2 16 2 2" xfId="17041"/>
    <cellStyle name="百分比 2 16 3" xfId="17045"/>
    <cellStyle name="百分比 2 16 4" xfId="17048"/>
    <cellStyle name="百分比 2 16 5" xfId="17050"/>
    <cellStyle name="百分比 2 16 6" xfId="2247"/>
    <cellStyle name="百分比 2 17" xfId="17053"/>
    <cellStyle name="百分比 2 17 2" xfId="17055"/>
    <cellStyle name="百分比 2 17 2 2" xfId="17057"/>
    <cellStyle name="百分比 2 17 3" xfId="17059"/>
    <cellStyle name="百分比 2 17 4" xfId="17061"/>
    <cellStyle name="百分比 2 17 5" xfId="17064"/>
    <cellStyle name="百分比 2 17 6" xfId="2271"/>
    <cellStyle name="百分比 2 18" xfId="17066"/>
    <cellStyle name="百分比 2 18 2" xfId="17068"/>
    <cellStyle name="百分比 2 18 2 2" xfId="17070"/>
    <cellStyle name="百分比 2 18 3" xfId="17072"/>
    <cellStyle name="百分比 2 18 4" xfId="17074"/>
    <cellStyle name="百分比 2 18 5" xfId="17076"/>
    <cellStyle name="百分比 2 18 6" xfId="2291"/>
    <cellStyle name="百分比 2 19" xfId="17079"/>
    <cellStyle name="百分比 2 19 2" xfId="17081"/>
    <cellStyle name="百分比 2 19 2 2" xfId="17083"/>
    <cellStyle name="百分比 2 19 3" xfId="17085"/>
    <cellStyle name="百分比 2 19 4" xfId="2410"/>
    <cellStyle name="百分比 2 19 5" xfId="2418"/>
    <cellStyle name="百分比 2 19 6" xfId="5124"/>
    <cellStyle name="百分比 2 2" xfId="17087"/>
    <cellStyle name="百分比 2 2 10" xfId="48"/>
    <cellStyle name="百分比 2 2 10 2" xfId="7666"/>
    <cellStyle name="百分比 2 2 10 2 2" xfId="17088"/>
    <cellStyle name="百分比 2 2 10 3" xfId="17090"/>
    <cellStyle name="百分比 2 2 10 4" xfId="17091"/>
    <cellStyle name="百分比 2 2 10 5" xfId="9917"/>
    <cellStyle name="百分比 2 2 10 6" xfId="9928"/>
    <cellStyle name="百分比 2 2 11" xfId="17092"/>
    <cellStyle name="百分比 2 2 11 2" xfId="17093"/>
    <cellStyle name="百分比 2 2 11 2 2" xfId="17094"/>
    <cellStyle name="百分比 2 2 11 3" xfId="14604"/>
    <cellStyle name="百分比 2 2 11 4" xfId="14607"/>
    <cellStyle name="百分比 2 2 11 5" xfId="9956"/>
    <cellStyle name="百分比 2 2 11 6" xfId="9963"/>
    <cellStyle name="百分比 2 2 12" xfId="3389"/>
    <cellStyle name="百分比 2 2 12 2" xfId="17095"/>
    <cellStyle name="百分比 2 2 12 2 2" xfId="17097"/>
    <cellStyle name="百分比 2 2 12 3" xfId="14611"/>
    <cellStyle name="百分比 2 2 12 4" xfId="14616"/>
    <cellStyle name="百分比 2 2 12 5" xfId="9975"/>
    <cellStyle name="百分比 2 2 12 6" xfId="9981"/>
    <cellStyle name="百分比 2 2 13" xfId="17098"/>
    <cellStyle name="百分比 2 2 13 2" xfId="17099"/>
    <cellStyle name="百分比 2 2 13 2 2" xfId="17100"/>
    <cellStyle name="百分比 2 2 13 3" xfId="14624"/>
    <cellStyle name="百分比 2 2 13 4" xfId="17101"/>
    <cellStyle name="百分比 2 2 13 5" xfId="9988"/>
    <cellStyle name="百分比 2 2 13 6" xfId="17102"/>
    <cellStyle name="百分比 2 2 14" xfId="17103"/>
    <cellStyle name="百分比 2 2 14 2" xfId="17104"/>
    <cellStyle name="百分比 2 2 14 2 2" xfId="17105"/>
    <cellStyle name="百分比 2 2 14 3" xfId="17106"/>
    <cellStyle name="百分比 2 2 14 4" xfId="17107"/>
    <cellStyle name="百分比 2 2 14 5" xfId="17108"/>
    <cellStyle name="百分比 2 2 14 6" xfId="17109"/>
    <cellStyle name="百分比 2 2 15" xfId="17110"/>
    <cellStyle name="百分比 2 2 15 2" xfId="17113"/>
    <cellStyle name="百分比 2 2 15 2 2" xfId="17115"/>
    <cellStyle name="百分比 2 2 15 3" xfId="17117"/>
    <cellStyle name="百分比 2 2 15 4" xfId="17119"/>
    <cellStyle name="百分比 2 2 15 5" xfId="17121"/>
    <cellStyle name="百分比 2 2 15 6" xfId="7930"/>
    <cellStyle name="百分比 2 2 16" xfId="17123"/>
    <cellStyle name="百分比 2 2 16 2" xfId="17126"/>
    <cellStyle name="百分比 2 2 16 2 2" xfId="17128"/>
    <cellStyle name="百分比 2 2 16 3" xfId="17129"/>
    <cellStyle name="百分比 2 2 16 4" xfId="17131"/>
    <cellStyle name="百分比 2 2 16 5" xfId="17134"/>
    <cellStyle name="百分比 2 2 16 6" xfId="17136"/>
    <cellStyle name="百分比 2 2 17" xfId="17137"/>
    <cellStyle name="百分比 2 2 17 2" xfId="17140"/>
    <cellStyle name="百分比 2 2 17 2 2" xfId="4685"/>
    <cellStyle name="百分比 2 2 17 3" xfId="17142"/>
    <cellStyle name="百分比 2 2 17 4" xfId="12900"/>
    <cellStyle name="百分比 2 2 17 5" xfId="17145"/>
    <cellStyle name="百分比 2 2 17 6" xfId="17148"/>
    <cellStyle name="百分比 2 2 18" xfId="17149"/>
    <cellStyle name="百分比 2 2 18 2" xfId="17152"/>
    <cellStyle name="百分比 2 2 18 3" xfId="17154"/>
    <cellStyle name="百分比 2 2 18 4" xfId="12907"/>
    <cellStyle name="百分比 2 2 18 5" xfId="14394"/>
    <cellStyle name="百分比 2 2 19" xfId="17157"/>
    <cellStyle name="百分比 2 2 19 2" xfId="17159"/>
    <cellStyle name="百分比 2 2 19 3" xfId="17161"/>
    <cellStyle name="百分比 2 2 19 4" xfId="12918"/>
    <cellStyle name="百分比 2 2 19 5" xfId="14419"/>
    <cellStyle name="百分比 2 2 2" xfId="17163"/>
    <cellStyle name="百分比 2 2 2 2" xfId="17166"/>
    <cellStyle name="百分比 2 2 2 2 2" xfId="17168"/>
    <cellStyle name="百分比 2 2 2 3" xfId="2098"/>
    <cellStyle name="百分比 2 2 2 4" xfId="17170"/>
    <cellStyle name="百分比 2 2 2 5" xfId="17176"/>
    <cellStyle name="百分比 2 2 2 6" xfId="17181"/>
    <cellStyle name="百分比 2 2 20" xfId="17111"/>
    <cellStyle name="百分比 2 2 20 2" xfId="17114"/>
    <cellStyle name="百分比 2 2 20 3" xfId="17118"/>
    <cellStyle name="百分比 2 2 20 4" xfId="17120"/>
    <cellStyle name="百分比 2 2 20 5" xfId="17122"/>
    <cellStyle name="百分比 2 2 21" xfId="17124"/>
    <cellStyle name="百分比 2 2 21 2" xfId="17127"/>
    <cellStyle name="百分比 2 2 21 3" xfId="17130"/>
    <cellStyle name="百分比 2 2 21 4" xfId="17132"/>
    <cellStyle name="百分比 2 2 21 5" xfId="17135"/>
    <cellStyle name="百分比 2 2 22" xfId="17138"/>
    <cellStyle name="百分比 2 2 22 2" xfId="17141"/>
    <cellStyle name="百分比 2 2 22 3" xfId="17143"/>
    <cellStyle name="百分比 2 2 22 4" xfId="12901"/>
    <cellStyle name="百分比 2 2 22 5" xfId="17146"/>
    <cellStyle name="百分比 2 2 23" xfId="17150"/>
    <cellStyle name="百分比 2 2 23 2" xfId="17153"/>
    <cellStyle name="百分比 2 2 23 3" xfId="17155"/>
    <cellStyle name="百分比 2 2 23 4" xfId="12908"/>
    <cellStyle name="百分比 2 2 23 5" xfId="14395"/>
    <cellStyle name="百分比 2 2 24" xfId="17158"/>
    <cellStyle name="百分比 2 2 24 2" xfId="17160"/>
    <cellStyle name="百分比 2 2 24 3" xfId="17162"/>
    <cellStyle name="百分比 2 2 24 4" xfId="12919"/>
    <cellStyle name="百分比 2 2 24 5" xfId="14420"/>
    <cellStyle name="百分比 2 2 25" xfId="17184"/>
    <cellStyle name="百分比 2 2 25 2" xfId="17186"/>
    <cellStyle name="百分比 2 2 25 3" xfId="17188"/>
    <cellStyle name="百分比 2 2 25 4" xfId="14434"/>
    <cellStyle name="百分比 2 2 25 5" xfId="14441"/>
    <cellStyle name="百分比 2 2 26" xfId="17191"/>
    <cellStyle name="百分比 2 2 26 2" xfId="17194"/>
    <cellStyle name="百分比 2 2 26 3" xfId="17197"/>
    <cellStyle name="百分比 2 2 26 4" xfId="14453"/>
    <cellStyle name="百分比 2 2 26 5" xfId="17201"/>
    <cellStyle name="百分比 2 2 27" xfId="17204"/>
    <cellStyle name="百分比 2 2 27 2" xfId="17207"/>
    <cellStyle name="百分比 2 2 27 3" xfId="17210"/>
    <cellStyle name="百分比 2 2 27 4" xfId="17213"/>
    <cellStyle name="百分比 2 2 27 5" xfId="17217"/>
    <cellStyle name="百分比 2 2 28" xfId="17220"/>
    <cellStyle name="百分比 2 2 28 2" xfId="17223"/>
    <cellStyle name="百分比 2 2 28 2 2" xfId="7948"/>
    <cellStyle name="百分比 2 2 28 2 3" xfId="7951"/>
    <cellStyle name="百分比 2 2 28 2 4" xfId="7954"/>
    <cellStyle name="百分比 2 2 28 2 5" xfId="7958"/>
    <cellStyle name="百分比 2 2 28 3" xfId="17226"/>
    <cellStyle name="百分比 2 2 28 3 2" xfId="7973"/>
    <cellStyle name="百分比 2 2 28 3 3" xfId="7978"/>
    <cellStyle name="百分比 2 2 28 3 4" xfId="7981"/>
    <cellStyle name="百分比 2 2 28 3 5" xfId="15953"/>
    <cellStyle name="百分比 2 2 28 4" xfId="17229"/>
    <cellStyle name="百分比 2 2 28 5" xfId="17233"/>
    <cellStyle name="百分比 2 2 28 6" xfId="4750"/>
    <cellStyle name="百分比 2 2 28 7" xfId="17235"/>
    <cellStyle name="百分比 2 2 29" xfId="17237"/>
    <cellStyle name="百分比 2 2 29 2" xfId="17241"/>
    <cellStyle name="百分比 2 2 29 2 2" xfId="7992"/>
    <cellStyle name="百分比 2 2 29 2 3" xfId="7996"/>
    <cellStyle name="百分比 2 2 29 2 4" xfId="7999"/>
    <cellStyle name="百分比 2 2 29 2 5" xfId="8003"/>
    <cellStyle name="百分比 2 2 29 3" xfId="17244"/>
    <cellStyle name="百分比 2 2 29 3 2" xfId="8015"/>
    <cellStyle name="百分比 2 2 29 3 3" xfId="8024"/>
    <cellStyle name="百分比 2 2 29 3 4" xfId="8028"/>
    <cellStyle name="百分比 2 2 29 3 5" xfId="15988"/>
    <cellStyle name="百分比 2 2 29 4" xfId="11017"/>
    <cellStyle name="百分比 2 2 29 5" xfId="17247"/>
    <cellStyle name="百分比 2 2 29 6" xfId="4772"/>
    <cellStyle name="百分比 2 2 29 7" xfId="17251"/>
    <cellStyle name="百分比 2 2 3" xfId="17252"/>
    <cellStyle name="百分比 2 2 3 2" xfId="17254"/>
    <cellStyle name="百分比 2 2 3 2 2" xfId="17256"/>
    <cellStyle name="百分比 2 2 3 3" xfId="3973"/>
    <cellStyle name="百分比 2 2 3 4" xfId="17258"/>
    <cellStyle name="百分比 2 2 3 5" xfId="17260"/>
    <cellStyle name="百分比 2 2 3 6" xfId="17261"/>
    <cellStyle name="百分比 2 2 30" xfId="17185"/>
    <cellStyle name="百分比 2 2 30 2" xfId="17187"/>
    <cellStyle name="百分比 2 2 30 3" xfId="17189"/>
    <cellStyle name="百分比 2 2 30 4" xfId="14435"/>
    <cellStyle name="百分比 2 2 30 5" xfId="14442"/>
    <cellStyle name="百分比 2 2 31" xfId="17192"/>
    <cellStyle name="百分比 2 2 31 2" xfId="17195"/>
    <cellStyle name="百分比 2 2 31 3" xfId="17198"/>
    <cellStyle name="百分比 2 2 31 4" xfId="14454"/>
    <cellStyle name="百分比 2 2 31 5" xfId="17202"/>
    <cellStyle name="百分比 2 2 32" xfId="17205"/>
    <cellStyle name="百分比 2 2 32 2" xfId="17208"/>
    <cellStyle name="百分比 2 2 32 3" xfId="17211"/>
    <cellStyle name="百分比 2 2 32 4" xfId="17214"/>
    <cellStyle name="百分比 2 2 32 5" xfId="17218"/>
    <cellStyle name="百分比 2 2 33" xfId="17221"/>
    <cellStyle name="百分比 2 2 33 2" xfId="17224"/>
    <cellStyle name="百分比 2 2 33 3" xfId="17227"/>
    <cellStyle name="百分比 2 2 33 4" xfId="17230"/>
    <cellStyle name="百分比 2 2 33 5" xfId="17234"/>
    <cellStyle name="百分比 2 2 34" xfId="17238"/>
    <cellStyle name="百分比 2 2 34 2" xfId="17242"/>
    <cellStyle name="百分比 2 2 34 3" xfId="17245"/>
    <cellStyle name="百分比 2 2 34 4" xfId="11018"/>
    <cellStyle name="百分比 2 2 34 5" xfId="17248"/>
    <cellStyle name="百分比 2 2 35" xfId="17263"/>
    <cellStyle name="百分比 2 2 36" xfId="17265"/>
    <cellStyle name="百分比 2 2 37" xfId="17266"/>
    <cellStyle name="百分比 2 2 38" xfId="17267"/>
    <cellStyle name="百分比 2 2 39" xfId="17268"/>
    <cellStyle name="百分比 2 2 4" xfId="17269"/>
    <cellStyle name="百分比 2 2 4 2" xfId="17271"/>
    <cellStyle name="百分比 2 2 4 2 2" xfId="17273"/>
    <cellStyle name="百分比 2 2 4 3" xfId="17275"/>
    <cellStyle name="百分比 2 2 4 4" xfId="17276"/>
    <cellStyle name="百分比 2 2 4 5" xfId="17279"/>
    <cellStyle name="百分比 2 2 4 6" xfId="17281"/>
    <cellStyle name="百分比 2 2 5" xfId="17282"/>
    <cellStyle name="百分比 2 2 5 2" xfId="17283"/>
    <cellStyle name="百分比 2 2 5 2 2" xfId="1184"/>
    <cellStyle name="百分比 2 2 5 3" xfId="17284"/>
    <cellStyle name="百分比 2 2 5 4" xfId="17285"/>
    <cellStyle name="百分比 2 2 5 5" xfId="17286"/>
    <cellStyle name="百分比 2 2 5 6" xfId="17287"/>
    <cellStyle name="百分比 2 2 6" xfId="9062"/>
    <cellStyle name="百分比 2 2 6 2" xfId="17288"/>
    <cellStyle name="百分比 2 2 6 2 2" xfId="1318"/>
    <cellStyle name="百分比 2 2 6 3" xfId="17289"/>
    <cellStyle name="百分比 2 2 6 4" xfId="17290"/>
    <cellStyle name="百分比 2 2 6 5" xfId="17291"/>
    <cellStyle name="百分比 2 2 6 6" xfId="17292"/>
    <cellStyle name="百分比 2 2 7" xfId="9182"/>
    <cellStyle name="百分比 2 2 7 2" xfId="15144"/>
    <cellStyle name="百分比 2 2 7 2 2" xfId="2092"/>
    <cellStyle name="百分比 2 2 7 3" xfId="15147"/>
    <cellStyle name="百分比 2 2 7 4" xfId="15153"/>
    <cellStyle name="百分比 2 2 7 5" xfId="15158"/>
    <cellStyle name="百分比 2 2 7 6" xfId="17294"/>
    <cellStyle name="百分比 2 2 8" xfId="15159"/>
    <cellStyle name="百分比 2 2 8 2" xfId="15161"/>
    <cellStyle name="百分比 2 2 8 2 2" xfId="15163"/>
    <cellStyle name="百分比 2 2 8 3" xfId="15165"/>
    <cellStyle name="百分比 2 2 8 4" xfId="15170"/>
    <cellStyle name="百分比 2 2 8 5" xfId="4138"/>
    <cellStyle name="百分比 2 2 8 6" xfId="17295"/>
    <cellStyle name="百分比 2 2 9" xfId="15172"/>
    <cellStyle name="百分比 2 2 9 2" xfId="15174"/>
    <cellStyle name="百分比 2 2 9 2 2" xfId="17296"/>
    <cellStyle name="百分比 2 2 9 3" xfId="17297"/>
    <cellStyle name="百分比 2 2 9 4" xfId="17298"/>
    <cellStyle name="百分比 2 2 9 5" xfId="4147"/>
    <cellStyle name="百分比 2 2 9 6" xfId="17299"/>
    <cellStyle name="百分比 2 20" xfId="11190"/>
    <cellStyle name="百分比 2 20 2" xfId="17021"/>
    <cellStyle name="百分比 2 20 2 2" xfId="17023"/>
    <cellStyle name="百分比 2 20 2 3" xfId="17302"/>
    <cellStyle name="百分比 2 20 2 4" xfId="17305"/>
    <cellStyle name="百分比 2 20 2 5" xfId="17309"/>
    <cellStyle name="百分比 2 20 3" xfId="17027"/>
    <cellStyle name="百分比 2 20 3 2" xfId="17311"/>
    <cellStyle name="百分比 2 20 3 3" xfId="3020"/>
    <cellStyle name="百分比 2 20 3 4" xfId="17313"/>
    <cellStyle name="百分比 2 20 3 5" xfId="17314"/>
    <cellStyle name="百分比 2 20 4" xfId="17029"/>
    <cellStyle name="百分比 2 20 4 2" xfId="17316"/>
    <cellStyle name="百分比 2 20 4 3" xfId="3033"/>
    <cellStyle name="百分比 2 20 4 4" xfId="17318"/>
    <cellStyle name="百分比 2 20 4 5" xfId="17319"/>
    <cellStyle name="百分比 2 20 5" xfId="17031"/>
    <cellStyle name="百分比 2 20 5 2" xfId="17321"/>
    <cellStyle name="百分比 2 20 6" xfId="17033"/>
    <cellStyle name="百分比 2 20 7" xfId="17322"/>
    <cellStyle name="百分比 2 20 8" xfId="17323"/>
    <cellStyle name="百分比 2 20 9" xfId="17324"/>
    <cellStyle name="百分比 2 21" xfId="17035"/>
    <cellStyle name="百分比 2 21 2" xfId="17039"/>
    <cellStyle name="百分比 2 21 2 2" xfId="17042"/>
    <cellStyle name="百分比 2 21 2 3" xfId="17327"/>
    <cellStyle name="百分比 2 21 2 4" xfId="17329"/>
    <cellStyle name="百分比 2 21 2 5" xfId="17332"/>
    <cellStyle name="百分比 2 21 3" xfId="17046"/>
    <cellStyle name="百分比 2 21 3 2" xfId="17334"/>
    <cellStyle name="百分比 2 21 3 3" xfId="3061"/>
    <cellStyle name="百分比 2 21 3 4" xfId="17337"/>
    <cellStyle name="百分比 2 21 3 5" xfId="17338"/>
    <cellStyle name="百分比 2 21 4" xfId="17049"/>
    <cellStyle name="百分比 2 21 4 2" xfId="17339"/>
    <cellStyle name="百分比 2 21 4 3" xfId="3071"/>
    <cellStyle name="百分比 2 21 4 4" xfId="17343"/>
    <cellStyle name="百分比 2 21 4 5" xfId="17345"/>
    <cellStyle name="百分比 2 21 5" xfId="17051"/>
    <cellStyle name="百分比 2 21 5 2" xfId="17346"/>
    <cellStyle name="百分比 2 21 6" xfId="2248"/>
    <cellStyle name="百分比 2 21 7" xfId="17350"/>
    <cellStyle name="百分比 2 21 8" xfId="13600"/>
    <cellStyle name="百分比 2 21 9" xfId="17351"/>
    <cellStyle name="百分比 2 22" xfId="17054"/>
    <cellStyle name="百分比 2 22 2" xfId="17056"/>
    <cellStyle name="百分比 2 22 2 2" xfId="17058"/>
    <cellStyle name="百分比 2 22 2 3" xfId="17354"/>
    <cellStyle name="百分比 2 22 2 4" xfId="17356"/>
    <cellStyle name="百分比 2 22 2 5" xfId="17360"/>
    <cellStyle name="百分比 2 22 3" xfId="17060"/>
    <cellStyle name="百分比 2 22 3 2" xfId="17361"/>
    <cellStyle name="百分比 2 22 3 3" xfId="17364"/>
    <cellStyle name="百分比 2 22 3 4" xfId="17366"/>
    <cellStyle name="百分比 2 22 3 5" xfId="17367"/>
    <cellStyle name="百分比 2 22 4" xfId="17062"/>
    <cellStyle name="百分比 2 22 4 2" xfId="17368"/>
    <cellStyle name="百分比 2 22 4 3" xfId="17372"/>
    <cellStyle name="百分比 2 22 4 4" xfId="17375"/>
    <cellStyle name="百分比 2 22 4 5" xfId="17377"/>
    <cellStyle name="百分比 2 22 5" xfId="17065"/>
    <cellStyle name="百分比 2 22 5 2" xfId="17379"/>
    <cellStyle name="百分比 2 22 6" xfId="2272"/>
    <cellStyle name="百分比 2 22 7" xfId="17380"/>
    <cellStyle name="百分比 2 22 8" xfId="13603"/>
    <cellStyle name="百分比 2 22 9" xfId="17382"/>
    <cellStyle name="百分比 2 23" xfId="17067"/>
    <cellStyle name="百分比 2 23 2" xfId="17069"/>
    <cellStyle name="百分比 2 23 2 2" xfId="17071"/>
    <cellStyle name="百分比 2 23 3" xfId="17073"/>
    <cellStyle name="百分比 2 23 4" xfId="17075"/>
    <cellStyle name="百分比 2 23 5" xfId="17077"/>
    <cellStyle name="百分比 2 23 6" xfId="2292"/>
    <cellStyle name="百分比 2 24" xfId="17080"/>
    <cellStyle name="百分比 2 24 2" xfId="17082"/>
    <cellStyle name="百分比 2 24 2 2" xfId="17084"/>
    <cellStyle name="百分比 2 24 2 3" xfId="17386"/>
    <cellStyle name="百分比 2 24 2 4" xfId="17388"/>
    <cellStyle name="百分比 2 24 2 5" xfId="2394"/>
    <cellStyle name="百分比 2 24 3" xfId="17086"/>
    <cellStyle name="百分比 2 24 3 2" xfId="17391"/>
    <cellStyle name="百分比 2 24 3 3" xfId="17394"/>
    <cellStyle name="百分比 2 24 3 4" xfId="17396"/>
    <cellStyle name="百分比 2 24 3 5" xfId="3875"/>
    <cellStyle name="百分比 2 24 4" xfId="2411"/>
    <cellStyle name="百分比 2 24 5" xfId="2419"/>
    <cellStyle name="百分比 2 24 6" xfId="5125"/>
    <cellStyle name="百分比 2 24 7" xfId="5133"/>
    <cellStyle name="百分比 2 24 8" xfId="17397"/>
    <cellStyle name="百分比 2 25" xfId="17399"/>
    <cellStyle name="百分比 2 25 2" xfId="17401"/>
    <cellStyle name="百分比 2 25 2 2" xfId="307"/>
    <cellStyle name="百分比 2 25 2 3" xfId="361"/>
    <cellStyle name="百分比 2 25 2 4" xfId="379"/>
    <cellStyle name="百分比 2 25 2 5" xfId="410"/>
    <cellStyle name="百分比 2 25 3" xfId="17403"/>
    <cellStyle name="百分比 2 25 3 2" xfId="17405"/>
    <cellStyle name="百分比 2 25 3 3" xfId="17407"/>
    <cellStyle name="百分比 2 25 3 4" xfId="17409"/>
    <cellStyle name="百分比 2 25 3 5" xfId="3889"/>
    <cellStyle name="百分比 2 25 4" xfId="2431"/>
    <cellStyle name="百分比 2 25 5" xfId="2438"/>
    <cellStyle name="百分比 2 25 6" xfId="5147"/>
    <cellStyle name="百分比 2 25 7" xfId="5223"/>
    <cellStyle name="百分比 2 25 8" xfId="17411"/>
    <cellStyle name="百分比 2 26" xfId="17412"/>
    <cellStyle name="百分比 2 26 2" xfId="17414"/>
    <cellStyle name="百分比 2 26 2 2" xfId="17416"/>
    <cellStyle name="百分比 2 26 2 3" xfId="17420"/>
    <cellStyle name="百分比 2 26 2 4" xfId="17422"/>
    <cellStyle name="百分比 2 26 2 5" xfId="3908"/>
    <cellStyle name="百分比 2 26 3" xfId="17425"/>
    <cellStyle name="百分比 2 26 3 2" xfId="17428"/>
    <cellStyle name="百分比 2 26 3 3" xfId="17431"/>
    <cellStyle name="百分比 2 26 3 4" xfId="17433"/>
    <cellStyle name="百分比 2 26 3 5" xfId="3919"/>
    <cellStyle name="百分比 2 26 4" xfId="2453"/>
    <cellStyle name="百分比 2 26 5" xfId="668"/>
    <cellStyle name="百分比 2 26 6" xfId="4070"/>
    <cellStyle name="百分比 2 26 7" xfId="17435"/>
    <cellStyle name="百分比 2 27" xfId="17437"/>
    <cellStyle name="百分比 2 27 2" xfId="17439"/>
    <cellStyle name="百分比 2 27 2 2" xfId="17441"/>
    <cellStyle name="百分比 2 27 2 3" xfId="17445"/>
    <cellStyle name="百分比 2 27 2 4" xfId="17447"/>
    <cellStyle name="百分比 2 27 2 5" xfId="17451"/>
    <cellStyle name="百分比 2 27 3" xfId="17455"/>
    <cellStyle name="百分比 2 27 3 2" xfId="17458"/>
    <cellStyle name="百分比 2 27 3 3" xfId="17460"/>
    <cellStyle name="百分比 2 27 3 4" xfId="17463"/>
    <cellStyle name="百分比 2 27 3 5" xfId="17465"/>
    <cellStyle name="百分比 2 27 4" xfId="5232"/>
    <cellStyle name="百分比 2 27 5" xfId="17468"/>
    <cellStyle name="百分比 2 27 6" xfId="17471"/>
    <cellStyle name="百分比 2 27 7" xfId="17474"/>
    <cellStyle name="百分比 2 28" xfId="2469"/>
    <cellStyle name="百分比 2 28 2" xfId="17476"/>
    <cellStyle name="百分比 2 28 2 2" xfId="17479"/>
    <cellStyle name="百分比 2 28 2 3" xfId="17486"/>
    <cellStyle name="百分比 2 28 2 4" xfId="1677"/>
    <cellStyle name="百分比 2 28 2 5" xfId="17491"/>
    <cellStyle name="百分比 2 28 3" xfId="17494"/>
    <cellStyle name="百分比 2 28 3 2" xfId="17498"/>
    <cellStyle name="百分比 2 28 3 3" xfId="17504"/>
    <cellStyle name="百分比 2 28 3 4" xfId="1201"/>
    <cellStyle name="百分比 2 28 3 5" xfId="17510"/>
    <cellStyle name="百分比 2 28 4" xfId="17512"/>
    <cellStyle name="百分比 2 28 5" xfId="17514"/>
    <cellStyle name="百分比 2 28 6" xfId="17517"/>
    <cellStyle name="百分比 2 28 7" xfId="17520"/>
    <cellStyle name="百分比 2 29" xfId="17523"/>
    <cellStyle name="百分比 2 29 2" xfId="17526"/>
    <cellStyle name="百分比 2 29 2 2" xfId="17528"/>
    <cellStyle name="百分比 2 29 2 3" xfId="17533"/>
    <cellStyle name="百分比 2 29 2 4" xfId="2049"/>
    <cellStyle name="百分比 2 29 2 5" xfId="17535"/>
    <cellStyle name="百分比 2 29 3" xfId="17538"/>
    <cellStyle name="百分比 2 29 3 2" xfId="17540"/>
    <cellStyle name="百分比 2 29 3 3" xfId="17544"/>
    <cellStyle name="百分比 2 29 3 4" xfId="984"/>
    <cellStyle name="百分比 2 29 3 5" xfId="17546"/>
    <cellStyle name="百分比 2 29 4" xfId="17548"/>
    <cellStyle name="百分比 2 29 5" xfId="17550"/>
    <cellStyle name="百分比 2 29 6" xfId="17553"/>
    <cellStyle name="百分比 2 29 7" xfId="17556"/>
    <cellStyle name="百分比 2 3" xfId="17558"/>
    <cellStyle name="百分比 2 3 10" xfId="17559"/>
    <cellStyle name="百分比 2 3 10 2" xfId="17560"/>
    <cellStyle name="百分比 2 3 10 2 2" xfId="17562"/>
    <cellStyle name="百分比 2 3 10 3" xfId="17563"/>
    <cellStyle name="百分比 2 3 10 4" xfId="17565"/>
    <cellStyle name="百分比 2 3 10 5" xfId="10065"/>
    <cellStyle name="百分比 2 3 10 6" xfId="17566"/>
    <cellStyle name="百分比 2 3 11" xfId="17569"/>
    <cellStyle name="百分比 2 3 11 2" xfId="17570"/>
    <cellStyle name="百分比 2 3 11 2 2" xfId="17572"/>
    <cellStyle name="百分比 2 3 11 3" xfId="17573"/>
    <cellStyle name="百分比 2 3 11 4" xfId="17575"/>
    <cellStyle name="百分比 2 3 11 5" xfId="10068"/>
    <cellStyle name="百分比 2 3 11 6" xfId="17576"/>
    <cellStyle name="百分比 2 3 12" xfId="17577"/>
    <cellStyle name="百分比 2 3 12 2" xfId="17578"/>
    <cellStyle name="百分比 2 3 12 2 2" xfId="17579"/>
    <cellStyle name="百分比 2 3 12 3" xfId="17580"/>
    <cellStyle name="百分比 2 3 12 4" xfId="17582"/>
    <cellStyle name="百分比 2 3 12 5" xfId="10072"/>
    <cellStyle name="百分比 2 3 12 6" xfId="17583"/>
    <cellStyle name="百分比 2 3 13" xfId="17584"/>
    <cellStyle name="百分比 2 3 13 2" xfId="17586"/>
    <cellStyle name="百分比 2 3 13 2 2" xfId="17587"/>
    <cellStyle name="百分比 2 3 13 3" xfId="17588"/>
    <cellStyle name="百分比 2 3 13 4" xfId="17590"/>
    <cellStyle name="百分比 2 3 13 5" xfId="17591"/>
    <cellStyle name="百分比 2 3 13 6" xfId="17592"/>
    <cellStyle name="百分比 2 3 14" xfId="17593"/>
    <cellStyle name="百分比 2 3 14 2" xfId="11328"/>
    <cellStyle name="百分比 2 3 14 2 2" xfId="17594"/>
    <cellStyle name="百分比 2 3 14 3" xfId="17595"/>
    <cellStyle name="百分比 2 3 14 4" xfId="17596"/>
    <cellStyle name="百分比 2 3 14 5" xfId="17597"/>
    <cellStyle name="百分比 2 3 14 6" xfId="17598"/>
    <cellStyle name="百分比 2 3 15" xfId="17599"/>
    <cellStyle name="百分比 2 3 15 2" xfId="17600"/>
    <cellStyle name="百分比 2 3 15 3" xfId="15242"/>
    <cellStyle name="百分比 2 3 16" xfId="17602"/>
    <cellStyle name="百分比 2 3 17" xfId="17603"/>
    <cellStyle name="百分比 2 3 18" xfId="17604"/>
    <cellStyle name="百分比 2 3 19" xfId="17605"/>
    <cellStyle name="百分比 2 3 2" xfId="17607"/>
    <cellStyle name="百分比 2 3 2 2" xfId="17609"/>
    <cellStyle name="百分比 2 3 2 2 2" xfId="17612"/>
    <cellStyle name="百分比 2 3 2 3" xfId="3986"/>
    <cellStyle name="百分比 2 3 2 4" xfId="17614"/>
    <cellStyle name="百分比 2 3 2 5" xfId="17617"/>
    <cellStyle name="百分比 2 3 2 6" xfId="17619"/>
    <cellStyle name="百分比 2 3 3" xfId="17620"/>
    <cellStyle name="百分比 2 3 3 2" xfId="17621"/>
    <cellStyle name="百分比 2 3 3 2 2" xfId="17622"/>
    <cellStyle name="百分比 2 3 3 3" xfId="17623"/>
    <cellStyle name="百分比 2 3 3 4" xfId="17624"/>
    <cellStyle name="百分比 2 3 3 5" xfId="17626"/>
    <cellStyle name="百分比 2 3 3 6" xfId="17627"/>
    <cellStyle name="百分比 2 3 4" xfId="17628"/>
    <cellStyle name="百分比 2 3 4 2" xfId="17629"/>
    <cellStyle name="百分比 2 3 4 2 2" xfId="17630"/>
    <cellStyle name="百分比 2 3 4 3" xfId="17631"/>
    <cellStyle name="百分比 2 3 4 4" xfId="17632"/>
    <cellStyle name="百分比 2 3 4 5" xfId="17633"/>
    <cellStyle name="百分比 2 3 4 6" xfId="17634"/>
    <cellStyle name="百分比 2 3 5" xfId="17635"/>
    <cellStyle name="百分比 2 3 5 2" xfId="17636"/>
    <cellStyle name="百分比 2 3 5 2 2" xfId="540"/>
    <cellStyle name="百分比 2 3 5 3" xfId="17637"/>
    <cellStyle name="百分比 2 3 5 4" xfId="17638"/>
    <cellStyle name="百分比 2 3 5 5" xfId="17639"/>
    <cellStyle name="百分比 2 3 5 6" xfId="17640"/>
    <cellStyle name="百分比 2 3 6" xfId="9065"/>
    <cellStyle name="百分比 2 3 6 2" xfId="17641"/>
    <cellStyle name="百分比 2 3 6 2 2" xfId="17642"/>
    <cellStyle name="百分比 2 3 6 3" xfId="17643"/>
    <cellStyle name="百分比 2 3 6 4" xfId="17644"/>
    <cellStyle name="百分比 2 3 6 5" xfId="17646"/>
    <cellStyle name="百分比 2 3 6 6" xfId="17647"/>
    <cellStyle name="百分比 2 3 7" xfId="15177"/>
    <cellStyle name="百分比 2 3 7 2" xfId="15179"/>
    <cellStyle name="百分比 2 3 7 2 2" xfId="15183"/>
    <cellStyle name="百分比 2 3 7 3" xfId="15184"/>
    <cellStyle name="百分比 2 3 7 4" xfId="15188"/>
    <cellStyle name="百分比 2 3 7 5" xfId="15192"/>
    <cellStyle name="百分比 2 3 7 6" xfId="17648"/>
    <cellStyle name="百分比 2 3 8" xfId="15194"/>
    <cellStyle name="百分比 2 3 8 2" xfId="15196"/>
    <cellStyle name="百分比 2 3 8 2 2" xfId="15198"/>
    <cellStyle name="百分比 2 3 8 3" xfId="15200"/>
    <cellStyle name="百分比 2 3 8 4" xfId="15203"/>
    <cellStyle name="百分比 2 3 8 5" xfId="17649"/>
    <cellStyle name="百分比 2 3 8 6" xfId="17650"/>
    <cellStyle name="百分比 2 3 9" xfId="15205"/>
    <cellStyle name="百分比 2 3 9 2" xfId="15208"/>
    <cellStyle name="百分比 2 3 9 2 2" xfId="17651"/>
    <cellStyle name="百分比 2 3 9 3" xfId="17652"/>
    <cellStyle name="百分比 2 3 9 4" xfId="17653"/>
    <cellStyle name="百分比 2 3 9 5" xfId="17656"/>
    <cellStyle name="百分比 2 3 9 6" xfId="17657"/>
    <cellStyle name="百分比 2 30" xfId="17400"/>
    <cellStyle name="百分比 2 30 2" xfId="17402"/>
    <cellStyle name="百分比 2 30 2 2" xfId="308"/>
    <cellStyle name="百分比 2 30 2 3" xfId="362"/>
    <cellStyle name="百分比 2 30 2 4" xfId="380"/>
    <cellStyle name="百分比 2 30 2 5" xfId="411"/>
    <cellStyle name="百分比 2 30 3" xfId="17404"/>
    <cellStyle name="百分比 2 30 3 2" xfId="17406"/>
    <cellStyle name="百分比 2 30 3 3" xfId="17408"/>
    <cellStyle name="百分比 2 30 3 4" xfId="17410"/>
    <cellStyle name="百分比 2 30 3 5" xfId="3890"/>
    <cellStyle name="百分比 2 30 4" xfId="2432"/>
    <cellStyle name="百分比 2 30 5" xfId="2439"/>
    <cellStyle name="百分比 2 30 6" xfId="5148"/>
    <cellStyle name="百分比 2 30 7" xfId="5224"/>
    <cellStyle name="百分比 2 31" xfId="17413"/>
    <cellStyle name="百分比 2 31 2" xfId="17415"/>
    <cellStyle name="百分比 2 31 2 2" xfId="17417"/>
    <cellStyle name="百分比 2 31 2 3" xfId="17421"/>
    <cellStyle name="百分比 2 31 2 4" xfId="17423"/>
    <cellStyle name="百分比 2 31 2 5" xfId="3909"/>
    <cellStyle name="百分比 2 31 3" xfId="17426"/>
    <cellStyle name="百分比 2 31 3 2" xfId="17429"/>
    <cellStyle name="百分比 2 31 3 3" xfId="17432"/>
    <cellStyle name="百分比 2 31 3 4" xfId="17434"/>
    <cellStyle name="百分比 2 31 3 5" xfId="3920"/>
    <cellStyle name="百分比 2 31 4" xfId="2454"/>
    <cellStyle name="百分比 2 31 5" xfId="669"/>
    <cellStyle name="百分比 2 31 6" xfId="4071"/>
    <cellStyle name="百分比 2 31 7" xfId="17436"/>
    <cellStyle name="百分比 2 32" xfId="17438"/>
    <cellStyle name="百分比 2 32 2" xfId="17440"/>
    <cellStyle name="百分比 2 32 2 2" xfId="17442"/>
    <cellStyle name="百分比 2 32 2 3" xfId="17446"/>
    <cellStyle name="百分比 2 32 2 4" xfId="17448"/>
    <cellStyle name="百分比 2 32 2 5" xfId="17452"/>
    <cellStyle name="百分比 2 32 3" xfId="17456"/>
    <cellStyle name="百分比 2 32 3 2" xfId="17459"/>
    <cellStyle name="百分比 2 32 3 3" xfId="17461"/>
    <cellStyle name="百分比 2 32 3 4" xfId="17464"/>
    <cellStyle name="百分比 2 32 3 5" xfId="17466"/>
    <cellStyle name="百分比 2 32 4" xfId="5233"/>
    <cellStyle name="百分比 2 32 5" xfId="17469"/>
    <cellStyle name="百分比 2 32 6" xfId="17472"/>
    <cellStyle name="百分比 2 32 7" xfId="17475"/>
    <cellStyle name="百分比 2 33" xfId="2470"/>
    <cellStyle name="百分比 2 33 2" xfId="17477"/>
    <cellStyle name="百分比 2 33 2 2" xfId="17480"/>
    <cellStyle name="百分比 2 33 2 3" xfId="17487"/>
    <cellStyle name="百分比 2 33 2 4" xfId="1678"/>
    <cellStyle name="百分比 2 33 2 5" xfId="17492"/>
    <cellStyle name="百分比 2 33 3" xfId="17495"/>
    <cellStyle name="百分比 2 33 3 2" xfId="17499"/>
    <cellStyle name="百分比 2 33 3 3" xfId="17505"/>
    <cellStyle name="百分比 2 33 3 4" xfId="1202"/>
    <cellStyle name="百分比 2 33 3 5" xfId="17511"/>
    <cellStyle name="百分比 2 33 4" xfId="17513"/>
    <cellStyle name="百分比 2 33 5" xfId="17515"/>
    <cellStyle name="百分比 2 33 6" xfId="17518"/>
    <cellStyle name="百分比 2 33 7" xfId="17521"/>
    <cellStyle name="百分比 2 34" xfId="17524"/>
    <cellStyle name="百分比 2 34 2" xfId="17527"/>
    <cellStyle name="百分比 2 34 2 2" xfId="17529"/>
    <cellStyle name="百分比 2 34 2 3" xfId="17534"/>
    <cellStyle name="百分比 2 34 2 4" xfId="2050"/>
    <cellStyle name="百分比 2 34 2 5" xfId="17536"/>
    <cellStyle name="百分比 2 34 3" xfId="17539"/>
    <cellStyle name="百分比 2 34 3 2" xfId="17541"/>
    <cellStyle name="百分比 2 34 3 3" xfId="17545"/>
    <cellStyle name="百分比 2 34 3 4" xfId="985"/>
    <cellStyle name="百分比 2 34 3 5" xfId="17547"/>
    <cellStyle name="百分比 2 34 4" xfId="17549"/>
    <cellStyle name="百分比 2 34 5" xfId="17551"/>
    <cellStyle name="百分比 2 34 6" xfId="17554"/>
    <cellStyle name="百分比 2 34 7" xfId="17557"/>
    <cellStyle name="百分比 2 35" xfId="17659"/>
    <cellStyle name="百分比 2 35 2" xfId="17662"/>
    <cellStyle name="百分比 2 35 2 2" xfId="17664"/>
    <cellStyle name="百分比 2 35 2 3" xfId="17667"/>
    <cellStyle name="百分比 2 35 2 4" xfId="17672"/>
    <cellStyle name="百分比 2 35 2 5" xfId="17675"/>
    <cellStyle name="百分比 2 35 3" xfId="16567"/>
    <cellStyle name="百分比 2 35 3 2" xfId="17678"/>
    <cellStyle name="百分比 2 35 3 3" xfId="17681"/>
    <cellStyle name="百分比 2 35 3 4" xfId="17683"/>
    <cellStyle name="百分比 2 35 3 5" xfId="17685"/>
    <cellStyle name="百分比 2 35 4" xfId="17687"/>
    <cellStyle name="百分比 2 35 5" xfId="17689"/>
    <cellStyle name="百分比 2 35 6" xfId="17692"/>
    <cellStyle name="百分比 2 35 7" xfId="17694"/>
    <cellStyle name="百分比 2 36" xfId="17697"/>
    <cellStyle name="百分比 2 36 2" xfId="17700"/>
    <cellStyle name="百分比 2 36 2 2" xfId="17702"/>
    <cellStyle name="百分比 2 36 2 3" xfId="17705"/>
    <cellStyle name="百分比 2 36 2 4" xfId="12259"/>
    <cellStyle name="百分比 2 36 2 5" xfId="12268"/>
    <cellStyle name="百分比 2 36 3" xfId="16571"/>
    <cellStyle name="百分比 2 36 3 2" xfId="17707"/>
    <cellStyle name="百分比 2 36 3 3" xfId="17709"/>
    <cellStyle name="百分比 2 36 3 4" xfId="12309"/>
    <cellStyle name="百分比 2 36 3 5" xfId="12339"/>
    <cellStyle name="百分比 2 36 4" xfId="17711"/>
    <cellStyle name="百分比 2 36 5" xfId="17713"/>
    <cellStyle name="百分比 2 36 6" xfId="1584"/>
    <cellStyle name="百分比 2 36 7" xfId="17715"/>
    <cellStyle name="百分比 2 37" xfId="17719"/>
    <cellStyle name="百分比 2 37 2" xfId="17721"/>
    <cellStyle name="百分比 2 37 2 2" xfId="17723"/>
    <cellStyle name="百分比 2 37 2 3" xfId="17726"/>
    <cellStyle name="百分比 2 37 2 4" xfId="12782"/>
    <cellStyle name="百分比 2 37 2 5" xfId="12800"/>
    <cellStyle name="百分比 2 37 3" xfId="16574"/>
    <cellStyle name="百分比 2 37 3 2" xfId="17728"/>
    <cellStyle name="百分比 2 37 3 3" xfId="17730"/>
    <cellStyle name="百分比 2 37 3 4" xfId="12856"/>
    <cellStyle name="百分比 2 37 3 5" xfId="12895"/>
    <cellStyle name="百分比 2 37 4" xfId="17732"/>
    <cellStyle name="百分比 2 37 5" xfId="17734"/>
    <cellStyle name="百分比 2 37 6" xfId="1588"/>
    <cellStyle name="百分比 2 37 7" xfId="17736"/>
    <cellStyle name="百分比 2 38" xfId="17738"/>
    <cellStyle name="百分比 2 38 2" xfId="17740"/>
    <cellStyle name="百分比 2 38 2 2" xfId="17742"/>
    <cellStyle name="百分比 2 38 2 3" xfId="17746"/>
    <cellStyle name="百分比 2 38 2 4" xfId="13233"/>
    <cellStyle name="百分比 2 38 2 5" xfId="13266"/>
    <cellStyle name="百分比 2 38 3" xfId="17748"/>
    <cellStyle name="百分比 2 38 3 2" xfId="17751"/>
    <cellStyle name="百分比 2 38 3 3" xfId="17754"/>
    <cellStyle name="百分比 2 38 3 4" xfId="13293"/>
    <cellStyle name="百分比 2 38 3 5" xfId="13328"/>
    <cellStyle name="百分比 2 38 4" xfId="17756"/>
    <cellStyle name="百分比 2 38 5" xfId="17758"/>
    <cellStyle name="百分比 2 38 6" xfId="1595"/>
    <cellStyle name="百分比 2 38 7" xfId="17760"/>
    <cellStyle name="百分比 2 39" xfId="17762"/>
    <cellStyle name="百分比 2 39 2" xfId="17764"/>
    <cellStyle name="百分比 2 39 2 2" xfId="17765"/>
    <cellStyle name="百分比 2 39 2 3" xfId="17766"/>
    <cellStyle name="百分比 2 39 2 4" xfId="13476"/>
    <cellStyle name="百分比 2 39 2 5" xfId="13492"/>
    <cellStyle name="百分比 2 39 3" xfId="17767"/>
    <cellStyle name="百分比 2 39 3 2" xfId="17770"/>
    <cellStyle name="百分比 2 39 3 3" xfId="17771"/>
    <cellStyle name="百分比 2 39 3 4" xfId="13509"/>
    <cellStyle name="百分比 2 39 3 5" xfId="13512"/>
    <cellStyle name="百分比 2 39 4" xfId="17772"/>
    <cellStyle name="百分比 2 39 5" xfId="17773"/>
    <cellStyle name="百分比 2 39 6" xfId="17775"/>
    <cellStyle name="百分比 2 39 7" xfId="17776"/>
    <cellStyle name="百分比 2 4" xfId="17777"/>
    <cellStyle name="百分比 2 4 10" xfId="17778"/>
    <cellStyle name="百分比 2 4 10 2" xfId="17779"/>
    <cellStyle name="百分比 2 4 10 3" xfId="17781"/>
    <cellStyle name="百分比 2 4 11" xfId="17783"/>
    <cellStyle name="百分比 2 4 12" xfId="11206"/>
    <cellStyle name="百分比 2 4 13" xfId="17784"/>
    <cellStyle name="百分比 2 4 14" xfId="17786"/>
    <cellStyle name="百分比 2 4 15" xfId="17787"/>
    <cellStyle name="百分比 2 4 16" xfId="17788"/>
    <cellStyle name="百分比 2 4 2" xfId="17789"/>
    <cellStyle name="百分比 2 4 2 2" xfId="17790"/>
    <cellStyle name="百分比 2 4 2 3" xfId="17791"/>
    <cellStyle name="百分比 2 4 2 4" xfId="17792"/>
    <cellStyle name="百分比 2 4 2 5" xfId="17793"/>
    <cellStyle name="百分比 2 4 2 6" xfId="17794"/>
    <cellStyle name="百分比 2 4 3" xfId="17795"/>
    <cellStyle name="百分比 2 4 3 2" xfId="17796"/>
    <cellStyle name="百分比 2 4 3 3" xfId="17798"/>
    <cellStyle name="百分比 2 4 3 4" xfId="17799"/>
    <cellStyle name="百分比 2 4 3 5" xfId="17800"/>
    <cellStyle name="百分比 2 4 3 6" xfId="17801"/>
    <cellStyle name="百分比 2 4 4" xfId="17802"/>
    <cellStyle name="百分比 2 4 4 2" xfId="17803"/>
    <cellStyle name="百分比 2 4 4 3" xfId="17804"/>
    <cellStyle name="百分比 2 4 4 4" xfId="17805"/>
    <cellStyle name="百分比 2 4 4 5" xfId="17806"/>
    <cellStyle name="百分比 2 4 4 6" xfId="17807"/>
    <cellStyle name="百分比 2 4 5" xfId="17809"/>
    <cellStyle name="百分比 2 4 5 2" xfId="17811"/>
    <cellStyle name="百分比 2 4 5 3" xfId="17814"/>
    <cellStyle name="百分比 2 4 5 4" xfId="17817"/>
    <cellStyle name="百分比 2 4 5 5" xfId="17819"/>
    <cellStyle name="百分比 2 4 5 6" xfId="17821"/>
    <cellStyle name="百分比 2 4 6" xfId="9068"/>
    <cellStyle name="百分比 2 4 6 2" xfId="17822"/>
    <cellStyle name="百分比 2 4 6 3" xfId="17823"/>
    <cellStyle name="百分比 2 4 6 4" xfId="17824"/>
    <cellStyle name="百分比 2 4 6 5" xfId="17826"/>
    <cellStyle name="百分比 2 4 6 6" xfId="17827"/>
    <cellStyle name="百分比 2 4 7" xfId="17828"/>
    <cellStyle name="百分比 2 4 7 2" xfId="17829"/>
    <cellStyle name="百分比 2 4 7 3" xfId="17830"/>
    <cellStyle name="百分比 2 4 7 4" xfId="17831"/>
    <cellStyle name="百分比 2 4 7 5" xfId="17833"/>
    <cellStyle name="百分比 2 4 7 6" xfId="17834"/>
    <cellStyle name="百分比 2 4 8" xfId="17836"/>
    <cellStyle name="百分比 2 4 8 2" xfId="17838"/>
    <cellStyle name="百分比 2 4 8 3" xfId="17839"/>
    <cellStyle name="百分比 2 4 9" xfId="17841"/>
    <cellStyle name="百分比 2 4 9 2" xfId="17844"/>
    <cellStyle name="百分比 2 4 9 3" xfId="17845"/>
    <cellStyle name="百分比 2 40" xfId="17660"/>
    <cellStyle name="百分比 2 40 2" xfId="17663"/>
    <cellStyle name="百分比 2 40 2 2" xfId="17665"/>
    <cellStyle name="百分比 2 40 2 3" xfId="17668"/>
    <cellStyle name="百分比 2 40 2 4" xfId="17673"/>
    <cellStyle name="百分比 2 40 2 5" xfId="17676"/>
    <cellStyle name="百分比 2 40 3" xfId="16568"/>
    <cellStyle name="百分比 2 40 3 2" xfId="17679"/>
    <cellStyle name="百分比 2 40 3 3" xfId="17682"/>
    <cellStyle name="百分比 2 40 3 4" xfId="17684"/>
    <cellStyle name="百分比 2 40 3 5" xfId="17686"/>
    <cellStyle name="百分比 2 40 4" xfId="17688"/>
    <cellStyle name="百分比 2 40 5" xfId="17690"/>
    <cellStyle name="百分比 2 40 6" xfId="17693"/>
    <cellStyle name="百分比 2 40 7" xfId="17695"/>
    <cellStyle name="百分比 2 41" xfId="17698"/>
    <cellStyle name="百分比 2 41 2" xfId="17701"/>
    <cellStyle name="百分比 2 41 2 2" xfId="17703"/>
    <cellStyle name="百分比 2 41 2 3" xfId="17706"/>
    <cellStyle name="百分比 2 41 2 4" xfId="12260"/>
    <cellStyle name="百分比 2 41 2 5" xfId="12269"/>
    <cellStyle name="百分比 2 41 3" xfId="16572"/>
    <cellStyle name="百分比 2 41 3 2" xfId="17708"/>
    <cellStyle name="百分比 2 41 3 3" xfId="17710"/>
    <cellStyle name="百分比 2 41 3 4" xfId="12310"/>
    <cellStyle name="百分比 2 41 3 5" xfId="12340"/>
    <cellStyle name="百分比 2 41 4" xfId="17712"/>
    <cellStyle name="百分比 2 41 5" xfId="17714"/>
    <cellStyle name="百分比 2 41 6" xfId="1585"/>
    <cellStyle name="百分比 2 41 7" xfId="17716"/>
    <cellStyle name="百分比 2 42" xfId="17720"/>
    <cellStyle name="百分比 2 42 2" xfId="17722"/>
    <cellStyle name="百分比 2 42 2 2" xfId="17724"/>
    <cellStyle name="百分比 2 42 2 3" xfId="17727"/>
    <cellStyle name="百分比 2 42 2 4" xfId="12783"/>
    <cellStyle name="百分比 2 42 2 5" xfId="12801"/>
    <cellStyle name="百分比 2 42 3" xfId="16575"/>
    <cellStyle name="百分比 2 42 3 2" xfId="17729"/>
    <cellStyle name="百分比 2 42 3 3" xfId="17731"/>
    <cellStyle name="百分比 2 42 3 4" xfId="12857"/>
    <cellStyle name="百分比 2 42 3 5" xfId="12896"/>
    <cellStyle name="百分比 2 42 4" xfId="17733"/>
    <cellStyle name="百分比 2 42 5" xfId="17735"/>
    <cellStyle name="百分比 2 42 6" xfId="1589"/>
    <cellStyle name="百分比 2 42 7" xfId="17737"/>
    <cellStyle name="百分比 2 43" xfId="17739"/>
    <cellStyle name="百分比 2 43 2" xfId="17741"/>
    <cellStyle name="百分比 2 43 2 2" xfId="17743"/>
    <cellStyle name="百分比 2 43 2 3" xfId="17747"/>
    <cellStyle name="百分比 2 43 2 4" xfId="13234"/>
    <cellStyle name="百分比 2 43 2 5" xfId="13267"/>
    <cellStyle name="百分比 2 43 3" xfId="17749"/>
    <cellStyle name="百分比 2 43 3 2" xfId="17752"/>
    <cellStyle name="百分比 2 43 3 3" xfId="17755"/>
    <cellStyle name="百分比 2 43 3 4" xfId="13294"/>
    <cellStyle name="百分比 2 43 3 5" xfId="13329"/>
    <cellStyle name="百分比 2 43 4" xfId="17757"/>
    <cellStyle name="百分比 2 43 5" xfId="17759"/>
    <cellStyle name="百分比 2 43 6" xfId="1596"/>
    <cellStyle name="百分比 2 43 7" xfId="17761"/>
    <cellStyle name="百分比 2 44" xfId="17763"/>
    <cellStyle name="百分比 2 45" xfId="17846"/>
    <cellStyle name="百分比 2 46" xfId="17847"/>
    <cellStyle name="百分比 2 47" xfId="15933"/>
    <cellStyle name="百分比 2 48" xfId="15937"/>
    <cellStyle name="百分比 2 5" xfId="17848"/>
    <cellStyle name="百分比 2 5 10" xfId="17849"/>
    <cellStyle name="百分比 2 5 11" xfId="17850"/>
    <cellStyle name="百分比 2 5 12" xfId="17852"/>
    <cellStyle name="百分比 2 5 13" xfId="17853"/>
    <cellStyle name="百分比 2 5 14" xfId="17855"/>
    <cellStyle name="百分比 2 5 15" xfId="17858"/>
    <cellStyle name="百分比 2 5 16" xfId="17860"/>
    <cellStyle name="百分比 2 5 2" xfId="17861"/>
    <cellStyle name="百分比 2 5 2 2" xfId="17862"/>
    <cellStyle name="百分比 2 5 2 2 2" xfId="17863"/>
    <cellStyle name="百分比 2 5 2 3" xfId="17865"/>
    <cellStyle name="百分比 2 5 2 4" xfId="17866"/>
    <cellStyle name="百分比 2 5 2 5" xfId="17867"/>
    <cellStyle name="百分比 2 5 2 6" xfId="17868"/>
    <cellStyle name="百分比 2 5 3" xfId="17869"/>
    <cellStyle name="百分比 2 5 3 2" xfId="17870"/>
    <cellStyle name="百分比 2 5 3 2 2" xfId="17871"/>
    <cellStyle name="百分比 2 5 3 3" xfId="17874"/>
    <cellStyle name="百分比 2 5 3 4" xfId="17875"/>
    <cellStyle name="百分比 2 5 3 5" xfId="17876"/>
    <cellStyle name="百分比 2 5 3 6" xfId="17877"/>
    <cellStyle name="百分比 2 5 4" xfId="17878"/>
    <cellStyle name="百分比 2 5 4 2" xfId="17879"/>
    <cellStyle name="百分比 2 5 4 2 2" xfId="17880"/>
    <cellStyle name="百分比 2 5 4 3" xfId="17882"/>
    <cellStyle name="百分比 2 5 4 4" xfId="17883"/>
    <cellStyle name="百分比 2 5 4 5" xfId="17884"/>
    <cellStyle name="百分比 2 5 4 6" xfId="17885"/>
    <cellStyle name="百分比 2 5 5" xfId="17886"/>
    <cellStyle name="百分比 2 5 5 2" xfId="17887"/>
    <cellStyle name="百分比 2 5 5 3" xfId="17888"/>
    <cellStyle name="百分比 2 5 6" xfId="17889"/>
    <cellStyle name="百分比 2 5 6 2" xfId="17890"/>
    <cellStyle name="百分比 2 5 6 3" xfId="17892"/>
    <cellStyle name="百分比 2 5 7" xfId="17893"/>
    <cellStyle name="百分比 2 5 7 2" xfId="17894"/>
    <cellStyle name="百分比 2 5 7 3" xfId="17896"/>
    <cellStyle name="百分比 2 5 8" xfId="17897"/>
    <cellStyle name="百分比 2 5 9" xfId="17898"/>
    <cellStyle name="百分比 2 6" xfId="17899"/>
    <cellStyle name="百分比 2 6 10" xfId="17904"/>
    <cellStyle name="百分比 2 6 11" xfId="16113"/>
    <cellStyle name="百分比 2 6 12" xfId="17905"/>
    <cellStyle name="百分比 2 6 13" xfId="17906"/>
    <cellStyle name="百分比 2 6 14" xfId="17907"/>
    <cellStyle name="百分比 2 6 15" xfId="10741"/>
    <cellStyle name="百分比 2 6 16" xfId="11566"/>
    <cellStyle name="百分比 2 6 2" xfId="17909"/>
    <cellStyle name="百分比 2 6 2 2" xfId="17913"/>
    <cellStyle name="百分比 2 6 2 2 2" xfId="17915"/>
    <cellStyle name="百分比 2 6 2 3" xfId="17916"/>
    <cellStyle name="百分比 2 6 2 4" xfId="17917"/>
    <cellStyle name="百分比 2 6 2 5" xfId="17918"/>
    <cellStyle name="百分比 2 6 2 6" xfId="17919"/>
    <cellStyle name="百分比 2 6 3" xfId="17920"/>
    <cellStyle name="百分比 2 6 3 2" xfId="17921"/>
    <cellStyle name="百分比 2 6 3 2 2" xfId="17922"/>
    <cellStyle name="百分比 2 6 3 3" xfId="17923"/>
    <cellStyle name="百分比 2 6 3 4" xfId="17924"/>
    <cellStyle name="百分比 2 6 3 5" xfId="17925"/>
    <cellStyle name="百分比 2 6 3 6" xfId="17926"/>
    <cellStyle name="百分比 2 6 4" xfId="17927"/>
    <cellStyle name="百分比 2 6 4 2" xfId="17928"/>
    <cellStyle name="百分比 2 6 4 2 2" xfId="17929"/>
    <cellStyle name="百分比 2 6 4 3" xfId="225"/>
    <cellStyle name="百分比 2 6 4 4" xfId="3215"/>
    <cellStyle name="百分比 2 6 4 5" xfId="3498"/>
    <cellStyle name="百分比 2 6 4 6" xfId="3590"/>
    <cellStyle name="百分比 2 6 5" xfId="17930"/>
    <cellStyle name="百分比 2 6 5 2" xfId="17931"/>
    <cellStyle name="百分比 2 6 5 3" xfId="3827"/>
    <cellStyle name="百分比 2 6 6" xfId="17932"/>
    <cellStyle name="百分比 2 6 6 2" xfId="17935"/>
    <cellStyle name="百分比 2 6 6 3" xfId="4055"/>
    <cellStyle name="百分比 2 6 7" xfId="17936"/>
    <cellStyle name="百分比 2 6 7 2" xfId="17938"/>
    <cellStyle name="百分比 2 6 7 3" xfId="4245"/>
    <cellStyle name="百分比 2 6 8" xfId="17939"/>
    <cellStyle name="百分比 2 6 9" xfId="17940"/>
    <cellStyle name="百分比 2 7" xfId="17941"/>
    <cellStyle name="百分比 2 7 10" xfId="17944"/>
    <cellStyle name="百分比 2 7 11" xfId="71"/>
    <cellStyle name="百分比 2 7 12" xfId="17946"/>
    <cellStyle name="百分比 2 7 13" xfId="17947"/>
    <cellStyle name="百分比 2 7 14" xfId="17948"/>
    <cellStyle name="百分比 2 7 15" xfId="11985"/>
    <cellStyle name="百分比 2 7 16" xfId="11994"/>
    <cellStyle name="百分比 2 7 2" xfId="17950"/>
    <cellStyle name="百分比 2 7 2 2" xfId="17952"/>
    <cellStyle name="百分比 2 7 2 2 2" xfId="17953"/>
    <cellStyle name="百分比 2 7 2 3" xfId="17955"/>
    <cellStyle name="百分比 2 7 2 4" xfId="17956"/>
    <cellStyle name="百分比 2 7 2 5" xfId="17957"/>
    <cellStyle name="百分比 2 7 2 6" xfId="17958"/>
    <cellStyle name="百分比 2 7 3" xfId="17960"/>
    <cellStyle name="百分比 2 7 3 2" xfId="17961"/>
    <cellStyle name="百分比 2 7 3 2 2" xfId="17962"/>
    <cellStyle name="百分比 2 7 3 3" xfId="17964"/>
    <cellStyle name="百分比 2 7 3 4" xfId="17966"/>
    <cellStyle name="百分比 2 7 3 5" xfId="17967"/>
    <cellStyle name="百分比 2 7 3 6" xfId="17968"/>
    <cellStyle name="百分比 2 7 4" xfId="17969"/>
    <cellStyle name="百分比 2 7 4 2" xfId="17970"/>
    <cellStyle name="百分比 2 7 4 2 2" xfId="17971"/>
    <cellStyle name="百分比 2 7 4 3" xfId="17972"/>
    <cellStyle name="百分比 2 7 4 4" xfId="17973"/>
    <cellStyle name="百分比 2 7 4 5" xfId="17975"/>
    <cellStyle name="百分比 2 7 4 6" xfId="17977"/>
    <cellStyle name="百分比 2 7 5" xfId="17978"/>
    <cellStyle name="百分比 2 7 5 2" xfId="17980"/>
    <cellStyle name="百分比 2 7 5 3" xfId="17981"/>
    <cellStyle name="百分比 2 7 6" xfId="17982"/>
    <cellStyle name="百分比 2 7 6 2" xfId="17983"/>
    <cellStyle name="百分比 2 7 6 3" xfId="17984"/>
    <cellStyle name="百分比 2 7 7" xfId="17985"/>
    <cellStyle name="百分比 2 7 7 2" xfId="8858"/>
    <cellStyle name="百分比 2 7 7 3" xfId="17986"/>
    <cellStyle name="百分比 2 7 8" xfId="17987"/>
    <cellStyle name="百分比 2 7 9" xfId="16702"/>
    <cellStyle name="百分比 2 8" xfId="17989"/>
    <cellStyle name="百分比 2 8 10" xfId="17992"/>
    <cellStyle name="百分比 2 8 11" xfId="17993"/>
    <cellStyle name="百分比 2 8 12" xfId="17995"/>
    <cellStyle name="百分比 2 8 13" xfId="17996"/>
    <cellStyle name="百分比 2 8 14" xfId="17997"/>
    <cellStyle name="百分比 2 8 15" xfId="17999"/>
    <cellStyle name="百分比 2 8 16" xfId="18000"/>
    <cellStyle name="百分比 2 8 2" xfId="18002"/>
    <cellStyle name="百分比 2 8 2 2" xfId="18005"/>
    <cellStyle name="百分比 2 8 2 3" xfId="18006"/>
    <cellStyle name="百分比 2 8 3" xfId="18008"/>
    <cellStyle name="百分比 2 8 3 2" xfId="18009"/>
    <cellStyle name="百分比 2 8 3 3" xfId="18010"/>
    <cellStyle name="百分比 2 8 4" xfId="18011"/>
    <cellStyle name="百分比 2 8 4 2" xfId="18012"/>
    <cellStyle name="百分比 2 8 4 3" xfId="18013"/>
    <cellStyle name="百分比 2 8 5" xfId="18014"/>
    <cellStyle name="百分比 2 8 6" xfId="18015"/>
    <cellStyle name="百分比 2 8 7" xfId="18016"/>
    <cellStyle name="百分比 2 8 8" xfId="18018"/>
    <cellStyle name="百分比 2 8 9" xfId="16705"/>
    <cellStyle name="百分比 2 9" xfId="18019"/>
    <cellStyle name="百分比 2 9 10" xfId="18023"/>
    <cellStyle name="百分比 2 9 11" xfId="18025"/>
    <cellStyle name="百分比 2 9 12" xfId="18026"/>
    <cellStyle name="百分比 2 9 13" xfId="6048"/>
    <cellStyle name="百分比 2 9 14" xfId="6052"/>
    <cellStyle name="百分比 2 9 15" xfId="6058"/>
    <cellStyle name="百分比 2 9 16" xfId="6068"/>
    <cellStyle name="百分比 2 9 2" xfId="18028"/>
    <cellStyle name="百分比 2 9 2 2" xfId="18029"/>
    <cellStyle name="百分比 2 9 2 3" xfId="18031"/>
    <cellStyle name="百分比 2 9 3" xfId="18032"/>
    <cellStyle name="百分比 2 9 3 2" xfId="18035"/>
    <cellStyle name="百分比 2 9 3 3" xfId="18038"/>
    <cellStyle name="百分比 2 9 4" xfId="18040"/>
    <cellStyle name="百分比 2 9 4 2" xfId="18041"/>
    <cellStyle name="百分比 2 9 4 3" xfId="18044"/>
    <cellStyle name="百分比 2 9 5" xfId="18045"/>
    <cellStyle name="百分比 2 9 6" xfId="14167"/>
    <cellStyle name="百分比 2 9 7" xfId="18046"/>
    <cellStyle name="百分比 2 9 8" xfId="18048"/>
    <cellStyle name="百分比 2 9 9" xfId="18049"/>
    <cellStyle name="百分比 2_豪华M1-6户内（按原标准）_6" xfId="10001"/>
    <cellStyle name="百分比 21" xfId="18050"/>
    <cellStyle name="百分比 21 2" xfId="18052"/>
    <cellStyle name="百分比 3" xfId="18054"/>
    <cellStyle name="百分比 3 10" xfId="18055"/>
    <cellStyle name="百分比 3 10 10" xfId="18059"/>
    <cellStyle name="百分比 3 10 11" xfId="18060"/>
    <cellStyle name="百分比 3 10 12" xfId="16587"/>
    <cellStyle name="百分比 3 10 13" xfId="18062"/>
    <cellStyle name="百分比 3 10 14" xfId="18064"/>
    <cellStyle name="百分比 3 10 15" xfId="18066"/>
    <cellStyle name="百分比 3 10 16" xfId="18068"/>
    <cellStyle name="百分比 3 10 17" xfId="18069"/>
    <cellStyle name="百分比 3 10 2" xfId="18070"/>
    <cellStyle name="百分比 3 10 2 2" xfId="11234"/>
    <cellStyle name="百分比 3 10 2 3" xfId="11242"/>
    <cellStyle name="百分比 3 10 3" xfId="18072"/>
    <cellStyle name="百分比 3 10 3 2" xfId="11270"/>
    <cellStyle name="百分比 3 10 3 3" xfId="11275"/>
    <cellStyle name="百分比 3 10 4" xfId="18073"/>
    <cellStyle name="百分比 3 10 4 2" xfId="11292"/>
    <cellStyle name="百分比 3 10 4 3" xfId="11296"/>
    <cellStyle name="百分比 3 10 5" xfId="18074"/>
    <cellStyle name="百分比 3 10 6" xfId="6011"/>
    <cellStyle name="百分比 3 10 7" xfId="3465"/>
    <cellStyle name="百分比 3 10 8" xfId="1510"/>
    <cellStyle name="百分比 3 10 9" xfId="1513"/>
    <cellStyle name="百分比 3 11" xfId="18076"/>
    <cellStyle name="百分比 3 11 10" xfId="18078"/>
    <cellStyle name="百分比 3 11 11" xfId="18079"/>
    <cellStyle name="百分比 3 11 12" xfId="18080"/>
    <cellStyle name="百分比 3 11 13" xfId="18081"/>
    <cellStyle name="百分比 3 11 14" xfId="18082"/>
    <cellStyle name="百分比 3 11 15" xfId="18084"/>
    <cellStyle name="百分比 3 11 16" xfId="18086"/>
    <cellStyle name="百分比 3 11 17" xfId="18088"/>
    <cellStyle name="百分比 3 11 2" xfId="18089"/>
    <cellStyle name="百分比 3 11 2 2" xfId="11339"/>
    <cellStyle name="百分比 3 11 2 3" xfId="11345"/>
    <cellStyle name="百分比 3 11 3" xfId="18090"/>
    <cellStyle name="百分比 3 11 3 2" xfId="11360"/>
    <cellStyle name="百分比 3 11 3 3" xfId="11365"/>
    <cellStyle name="百分比 3 11 4" xfId="18091"/>
    <cellStyle name="百分比 3 11 4 2" xfId="11378"/>
    <cellStyle name="百分比 3 11 4 3" xfId="18093"/>
    <cellStyle name="百分比 3 11 5" xfId="18094"/>
    <cellStyle name="百分比 3 11 6" xfId="18096"/>
    <cellStyle name="百分比 3 11 7" xfId="18098"/>
    <cellStyle name="百分比 3 11 8" xfId="9515"/>
    <cellStyle name="百分比 3 11 9" xfId="18100"/>
    <cellStyle name="百分比 3 12" xfId="18102"/>
    <cellStyle name="百分比 3 12 2" xfId="566"/>
    <cellStyle name="百分比 3 12 3" xfId="18104"/>
    <cellStyle name="百分比 3 12 4" xfId="18105"/>
    <cellStyle name="百分比 3 12 5" xfId="18106"/>
    <cellStyle name="百分比 3 12 6" xfId="18107"/>
    <cellStyle name="百分比 3 13" xfId="18108"/>
    <cellStyle name="百分比 3 13 2" xfId="18109"/>
    <cellStyle name="百分比 3 13 3" xfId="18110"/>
    <cellStyle name="百分比 3 13 4" xfId="18111"/>
    <cellStyle name="百分比 3 13 5" xfId="18112"/>
    <cellStyle name="百分比 3 13 6" xfId="18113"/>
    <cellStyle name="百分比 3 14" xfId="18114"/>
    <cellStyle name="百分比 3 14 2" xfId="18115"/>
    <cellStyle name="百分比 3 14 3" xfId="18116"/>
    <cellStyle name="百分比 3 14 4" xfId="5433"/>
    <cellStyle name="百分比 3 14 5" xfId="5448"/>
    <cellStyle name="百分比 3 14 6" xfId="5462"/>
    <cellStyle name="百分比 3 15" xfId="18117"/>
    <cellStyle name="百分比 3 15 2" xfId="18120"/>
    <cellStyle name="百分比 3 15 3" xfId="18123"/>
    <cellStyle name="百分比 3 15 4" xfId="5469"/>
    <cellStyle name="百分比 3 15 5" xfId="5476"/>
    <cellStyle name="百分比 3 15 6" xfId="5480"/>
    <cellStyle name="百分比 3 16" xfId="18125"/>
    <cellStyle name="百分比 3 16 2" xfId="18128"/>
    <cellStyle name="百分比 3 16 3" xfId="18131"/>
    <cellStyle name="百分比 3 16 4" xfId="5484"/>
    <cellStyle name="百分比 3 16 5" xfId="5491"/>
    <cellStyle name="百分比 3 16 6" xfId="5494"/>
    <cellStyle name="百分比 3 17" xfId="18135"/>
    <cellStyle name="百分比 3 17 2" xfId="18138"/>
    <cellStyle name="百分比 3 17 3" xfId="18141"/>
    <cellStyle name="百分比 3 17 4" xfId="5498"/>
    <cellStyle name="百分比 3 17 5" xfId="5503"/>
    <cellStyle name="百分比 3 17 6" xfId="5507"/>
    <cellStyle name="百分比 3 18" xfId="18144"/>
    <cellStyle name="百分比 3 18 2" xfId="18147"/>
    <cellStyle name="百分比 3 18 3" xfId="18150"/>
    <cellStyle name="百分比 3 18 4" xfId="5511"/>
    <cellStyle name="百分比 3 18 5" xfId="18152"/>
    <cellStyle name="百分比 3 18 6" xfId="18154"/>
    <cellStyle name="百分比 3 19" xfId="18157"/>
    <cellStyle name="百分比 3 19 2" xfId="18159"/>
    <cellStyle name="百分比 3 19 3" xfId="18162"/>
    <cellStyle name="百分比 3 19 4" xfId="18164"/>
    <cellStyle name="百分比 3 19 5" xfId="18166"/>
    <cellStyle name="百分比 3 19 6" xfId="18168"/>
    <cellStyle name="百分比 3 2" xfId="18170"/>
    <cellStyle name="百分比 3 2 10" xfId="18172"/>
    <cellStyle name="百分比 3 2 10 2" xfId="18177"/>
    <cellStyle name="百分比 3 2 10 3" xfId="18183"/>
    <cellStyle name="百分比 3 2 11" xfId="18184"/>
    <cellStyle name="百分比 3 2 12" xfId="18185"/>
    <cellStyle name="百分比 3 2 13" xfId="18186"/>
    <cellStyle name="百分比 3 2 14" xfId="18187"/>
    <cellStyle name="百分比 3 2 15" xfId="18188"/>
    <cellStyle name="百分比 3 2 16" xfId="18190"/>
    <cellStyle name="百分比 3 2 17" xfId="18192"/>
    <cellStyle name="百分比 3 2 18" xfId="18194"/>
    <cellStyle name="百分比 3 2 2" xfId="18196"/>
    <cellStyle name="百分比 3 2 2 2" xfId="18198"/>
    <cellStyle name="百分比 3 2 2 3" xfId="3999"/>
    <cellStyle name="百分比 3 2 2 4" xfId="6525"/>
    <cellStyle name="百分比 3 2 2 5" xfId="18200"/>
    <cellStyle name="百分比 3 2 2 6" xfId="18201"/>
    <cellStyle name="百分比 3 2 3" xfId="18202"/>
    <cellStyle name="百分比 3 2 3 2" xfId="18203"/>
    <cellStyle name="百分比 3 2 3 3" xfId="4002"/>
    <cellStyle name="百分比 3 2 3 4" xfId="6533"/>
    <cellStyle name="百分比 3 2 3 5" xfId="18205"/>
    <cellStyle name="百分比 3 2 3 6" xfId="18206"/>
    <cellStyle name="百分比 3 2 4" xfId="18207"/>
    <cellStyle name="百分比 3 2 4 2" xfId="18208"/>
    <cellStyle name="百分比 3 2 4 3" xfId="18209"/>
    <cellStyle name="百分比 3 2 4 4" xfId="10862"/>
    <cellStyle name="百分比 3 2 4 5" xfId="18211"/>
    <cellStyle name="百分比 3 2 4 6" xfId="18212"/>
    <cellStyle name="百分比 3 2 5" xfId="18213"/>
    <cellStyle name="百分比 3 2 5 2" xfId="18214"/>
    <cellStyle name="百分比 3 2 5 3" xfId="18215"/>
    <cellStyle name="百分比 3 2 5 4" xfId="18216"/>
    <cellStyle name="百分比 3 2 5 5" xfId="18218"/>
    <cellStyle name="百分比 3 2 5 6" xfId="18219"/>
    <cellStyle name="百分比 3 2 6" xfId="9074"/>
    <cellStyle name="百分比 3 2 6 2" xfId="18220"/>
    <cellStyle name="百分比 3 2 6 3" xfId="18221"/>
    <cellStyle name="百分比 3 2 6 4" xfId="18222"/>
    <cellStyle name="百分比 3 2 6 5" xfId="18224"/>
    <cellStyle name="百分比 3 2 6 6" xfId="18225"/>
    <cellStyle name="百分比 3 2 7" xfId="18226"/>
    <cellStyle name="百分比 3 2 7 2" xfId="18228"/>
    <cellStyle name="百分比 3 2 7 3" xfId="18229"/>
    <cellStyle name="百分比 3 2 7 4" xfId="18230"/>
    <cellStyle name="百分比 3 2 7 5" xfId="18231"/>
    <cellStyle name="百分比 3 2 7 6" xfId="18232"/>
    <cellStyle name="百分比 3 2 8" xfId="18233"/>
    <cellStyle name="百分比 3 2 8 2" xfId="18234"/>
    <cellStyle name="百分比 3 2 8 3" xfId="18235"/>
    <cellStyle name="百分比 3 2 9" xfId="18236"/>
    <cellStyle name="百分比 3 2 9 2" xfId="18237"/>
    <cellStyle name="百分比 3 2 9 3" xfId="18238"/>
    <cellStyle name="百分比 3 20" xfId="18118"/>
    <cellStyle name="百分比 3 20 2" xfId="18121"/>
    <cellStyle name="百分比 3 20 3" xfId="18124"/>
    <cellStyle name="百分比 3 20 4" xfId="5470"/>
    <cellStyle name="百分比 3 20 5" xfId="5477"/>
    <cellStyle name="百分比 3 20 6" xfId="5481"/>
    <cellStyle name="百分比 3 21" xfId="18126"/>
    <cellStyle name="百分比 3 21 2" xfId="18129"/>
    <cellStyle name="百分比 3 21 3" xfId="18132"/>
    <cellStyle name="百分比 3 21 4" xfId="5485"/>
    <cellStyle name="百分比 3 21 5" xfId="5492"/>
    <cellStyle name="百分比 3 21 6" xfId="5495"/>
    <cellStyle name="百分比 3 22" xfId="18136"/>
    <cellStyle name="百分比 3 22 2" xfId="18139"/>
    <cellStyle name="百分比 3 22 3" xfId="18142"/>
    <cellStyle name="百分比 3 22 4" xfId="5499"/>
    <cellStyle name="百分比 3 22 5" xfId="5504"/>
    <cellStyle name="百分比 3 22 6" xfId="5508"/>
    <cellStyle name="百分比 3 23" xfId="18145"/>
    <cellStyle name="百分比 3 23 2" xfId="18148"/>
    <cellStyle name="百分比 3 23 3" xfId="18151"/>
    <cellStyle name="百分比 3 23 4" xfId="5512"/>
    <cellStyle name="百分比 3 23 5" xfId="18153"/>
    <cellStyle name="百分比 3 23 6" xfId="18155"/>
    <cellStyle name="百分比 3 24" xfId="18158"/>
    <cellStyle name="百分比 3 24 2" xfId="18160"/>
    <cellStyle name="百分比 3 24 3" xfId="18163"/>
    <cellStyle name="百分比 3 24 4" xfId="18165"/>
    <cellStyle name="百分比 3 24 5" xfId="18167"/>
    <cellStyle name="百分比 3 24 6" xfId="18169"/>
    <cellStyle name="百分比 3 25" xfId="13435"/>
    <cellStyle name="百分比 3 25 2" xfId="18239"/>
    <cellStyle name="百分比 3 25 3" xfId="18243"/>
    <cellStyle name="百分比 3 25 4" xfId="18246"/>
    <cellStyle name="百分比 3 25 5" xfId="18248"/>
    <cellStyle name="百分比 3 25 6" xfId="18250"/>
    <cellStyle name="百分比 3 26" xfId="18251"/>
    <cellStyle name="百分比 3 26 2" xfId="18253"/>
    <cellStyle name="百分比 3 26 3" xfId="18255"/>
    <cellStyle name="百分比 3 26 4" xfId="18257"/>
    <cellStyle name="百分比 3 26 5" xfId="18260"/>
    <cellStyle name="百分比 3 27" xfId="13904"/>
    <cellStyle name="百分比 3 27 2" xfId="18262"/>
    <cellStyle name="百分比 3 27 3" xfId="18264"/>
    <cellStyle name="百分比 3 27 4" xfId="18266"/>
    <cellStyle name="百分比 3 27 5" xfId="18268"/>
    <cellStyle name="百分比 3 28" xfId="18272"/>
    <cellStyle name="百分比 3 28 2" xfId="18275"/>
    <cellStyle name="百分比 3 28 3" xfId="18277"/>
    <cellStyle name="百分比 3 28 4" xfId="18279"/>
    <cellStyle name="百分比 3 28 5" xfId="18281"/>
    <cellStyle name="百分比 3 29" xfId="4172"/>
    <cellStyle name="百分比 3 29 2" xfId="18283"/>
    <cellStyle name="百分比 3 29 3" xfId="18285"/>
    <cellStyle name="百分比 3 29 4" xfId="18287"/>
    <cellStyle name="百分比 3 29 5" xfId="18289"/>
    <cellStyle name="百分比 3 3" xfId="18291"/>
    <cellStyle name="百分比 3 3 10" xfId="18292"/>
    <cellStyle name="百分比 3 3 11" xfId="18293"/>
    <cellStyle name="百分比 3 3 12" xfId="18294"/>
    <cellStyle name="百分比 3 3 13" xfId="18297"/>
    <cellStyle name="百分比 3 3 14" xfId="18299"/>
    <cellStyle name="百分比 3 3 15" xfId="18301"/>
    <cellStyle name="百分比 3 3 16" xfId="18303"/>
    <cellStyle name="百分比 3 3 2" xfId="18304"/>
    <cellStyle name="百分比 3 3 2 2" xfId="18306"/>
    <cellStyle name="百分比 3 3 2 3" xfId="4008"/>
    <cellStyle name="百分比 3 3 3" xfId="18307"/>
    <cellStyle name="百分比 3 3 3 2" xfId="18308"/>
    <cellStyle name="百分比 3 3 3 3" xfId="18309"/>
    <cellStyle name="百分比 3 3 4" xfId="18310"/>
    <cellStyle name="百分比 3 3 4 2" xfId="18311"/>
    <cellStyle name="百分比 3 3 4 3" xfId="4907"/>
    <cellStyle name="百分比 3 3 5" xfId="18312"/>
    <cellStyle name="百分比 3 3 6" xfId="9077"/>
    <cellStyle name="百分比 3 3 7" xfId="18313"/>
    <cellStyle name="百分比 3 3 8" xfId="18314"/>
    <cellStyle name="百分比 3 3 9" xfId="18315"/>
    <cellStyle name="百分比 3 30" xfId="13436"/>
    <cellStyle name="百分比 3 30 2" xfId="18240"/>
    <cellStyle name="百分比 3 30 3" xfId="18244"/>
    <cellStyle name="百分比 3 30 4" xfId="18247"/>
    <cellStyle name="百分比 3 30 5" xfId="18249"/>
    <cellStyle name="百分比 3 31" xfId="18252"/>
    <cellStyle name="百分比 3 31 2" xfId="18254"/>
    <cellStyle name="百分比 3 31 3" xfId="18256"/>
    <cellStyle name="百分比 3 31 4" xfId="18258"/>
    <cellStyle name="百分比 3 31 5" xfId="18261"/>
    <cellStyle name="百分比 3 32" xfId="13905"/>
    <cellStyle name="百分比 3 32 2" xfId="18263"/>
    <cellStyle name="百分比 3 32 3" xfId="18265"/>
    <cellStyle name="百分比 3 32 4" xfId="18267"/>
    <cellStyle name="百分比 3 32 5" xfId="18269"/>
    <cellStyle name="百分比 3 33" xfId="18273"/>
    <cellStyle name="百分比 3 33 2" xfId="18276"/>
    <cellStyle name="百分比 3 33 2 2" xfId="18316"/>
    <cellStyle name="百分比 3 33 2 3" xfId="18319"/>
    <cellStyle name="百分比 3 33 2 4" xfId="18320"/>
    <cellStyle name="百分比 3 33 2 5" xfId="18322"/>
    <cellStyle name="百分比 3 33 3" xfId="18278"/>
    <cellStyle name="百分比 3 33 3 2" xfId="18323"/>
    <cellStyle name="百分比 3 33 3 3" xfId="18324"/>
    <cellStyle name="百分比 3 33 3 4" xfId="18326"/>
    <cellStyle name="百分比 3 33 3 5" xfId="8417"/>
    <cellStyle name="百分比 3 33 4" xfId="18280"/>
    <cellStyle name="百分比 3 33 5" xfId="18282"/>
    <cellStyle name="百分比 3 33 6" xfId="18327"/>
    <cellStyle name="百分比 3 33 7" xfId="18328"/>
    <cellStyle name="百分比 3 34" xfId="4173"/>
    <cellStyle name="百分比 3 34 2" xfId="18284"/>
    <cellStyle name="百分比 3 34 2 2" xfId="18329"/>
    <cellStyle name="百分比 3 34 2 3" xfId="18331"/>
    <cellStyle name="百分比 3 34 2 4" xfId="18332"/>
    <cellStyle name="百分比 3 34 2 5" xfId="18334"/>
    <cellStyle name="百分比 3 34 3" xfId="18286"/>
    <cellStyle name="百分比 3 34 3 2" xfId="18335"/>
    <cellStyle name="百分比 3 34 3 3" xfId="18336"/>
    <cellStyle name="百分比 3 34 3 4" xfId="18338"/>
    <cellStyle name="百分比 3 34 3 5" xfId="18341"/>
    <cellStyle name="百分比 3 34 4" xfId="18288"/>
    <cellStyle name="百分比 3 34 5" xfId="18290"/>
    <cellStyle name="百分比 3 34 6" xfId="18342"/>
    <cellStyle name="百分比 3 34 7" xfId="18343"/>
    <cellStyle name="百分比 3 35" xfId="18344"/>
    <cellStyle name="百分比 3 35 2" xfId="18346"/>
    <cellStyle name="百分比 3 35 3" xfId="18348"/>
    <cellStyle name="百分比 3 35 4" xfId="18350"/>
    <cellStyle name="百分比 3 35 5" xfId="18352"/>
    <cellStyle name="百分比 3 36" xfId="18354"/>
    <cellStyle name="百分比 3 36 2" xfId="18356"/>
    <cellStyle name="百分比 3 36 3" xfId="18358"/>
    <cellStyle name="百分比 3 36 4" xfId="18360"/>
    <cellStyle name="百分比 3 36 5" xfId="18362"/>
    <cellStyle name="百分比 3 37" xfId="11313"/>
    <cellStyle name="百分比 3 37 2" xfId="18364"/>
    <cellStyle name="百分比 3 37 3" xfId="18366"/>
    <cellStyle name="百分比 3 37 4" xfId="18368"/>
    <cellStyle name="百分比 3 37 5" xfId="18371"/>
    <cellStyle name="百分比 3 38" xfId="18373"/>
    <cellStyle name="百分比 3 38 2" xfId="18375"/>
    <cellStyle name="百分比 3 38 3" xfId="18377"/>
    <cellStyle name="百分比 3 38 4" xfId="18379"/>
    <cellStyle name="百分比 3 38 5" xfId="18382"/>
    <cellStyle name="百分比 3 39" xfId="18384"/>
    <cellStyle name="百分比 3 39 2" xfId="18386"/>
    <cellStyle name="百分比 3 39 3" xfId="18388"/>
    <cellStyle name="百分比 3 39 4" xfId="18390"/>
    <cellStyle name="百分比 3 39 5" xfId="18392"/>
    <cellStyle name="百分比 3 4" xfId="17096"/>
    <cellStyle name="百分比 3 4 10" xfId="3600"/>
    <cellStyle name="百分比 3 4 11" xfId="3610"/>
    <cellStyle name="百分比 3 4 12" xfId="2917"/>
    <cellStyle name="百分比 3 4 13" xfId="3618"/>
    <cellStyle name="百分比 3 4 14" xfId="18394"/>
    <cellStyle name="百分比 3 4 15" xfId="18395"/>
    <cellStyle name="百分比 3 4 16" xfId="18397"/>
    <cellStyle name="百分比 3 4 2" xfId="18398"/>
    <cellStyle name="百分比 3 4 2 2" xfId="18399"/>
    <cellStyle name="百分比 3 4 2 3" xfId="18400"/>
    <cellStyle name="百分比 3 4 3" xfId="18401"/>
    <cellStyle name="百分比 3 4 3 2" xfId="18402"/>
    <cellStyle name="百分比 3 4 3 3" xfId="18404"/>
    <cellStyle name="百分比 3 4 4" xfId="18405"/>
    <cellStyle name="百分比 3 4 4 2" xfId="18406"/>
    <cellStyle name="百分比 3 4 4 3" xfId="18407"/>
    <cellStyle name="百分比 3 4 5" xfId="18408"/>
    <cellStyle name="百分比 3 4 6" xfId="18409"/>
    <cellStyle name="百分比 3 4 7" xfId="18410"/>
    <cellStyle name="百分比 3 4 8" xfId="18411"/>
    <cellStyle name="百分比 3 4 9" xfId="18412"/>
    <cellStyle name="百分比 3 40" xfId="18345"/>
    <cellStyle name="百分比 3 40 2" xfId="18347"/>
    <cellStyle name="百分比 3 40 2 2" xfId="18413"/>
    <cellStyle name="百分比 3 40 2 3" xfId="18415"/>
    <cellStyle name="百分比 3 40 2 4" xfId="18416"/>
    <cellStyle name="百分比 3 40 2 5" xfId="18418"/>
    <cellStyle name="百分比 3 40 3" xfId="18349"/>
    <cellStyle name="百分比 3 40 3 2" xfId="18419"/>
    <cellStyle name="百分比 3 40 3 3" xfId="18420"/>
    <cellStyle name="百分比 3 40 3 4" xfId="18421"/>
    <cellStyle name="百分比 3 40 3 5" xfId="18425"/>
    <cellStyle name="百分比 3 40 4" xfId="18351"/>
    <cellStyle name="百分比 3 40 5" xfId="18353"/>
    <cellStyle name="百分比 3 40 6" xfId="18426"/>
    <cellStyle name="百分比 3 40 7" xfId="18427"/>
    <cellStyle name="百分比 3 41" xfId="18355"/>
    <cellStyle name="百分比 3 41 2" xfId="18357"/>
    <cellStyle name="百分比 3 41 2 2" xfId="18428"/>
    <cellStyle name="百分比 3 41 2 3" xfId="18430"/>
    <cellStyle name="百分比 3 41 2 4" xfId="18432"/>
    <cellStyle name="百分比 3 41 2 5" xfId="18433"/>
    <cellStyle name="百分比 3 41 3" xfId="18359"/>
    <cellStyle name="百分比 3 41 3 2" xfId="18434"/>
    <cellStyle name="百分比 3 41 3 3" xfId="18435"/>
    <cellStyle name="百分比 3 41 3 4" xfId="18436"/>
    <cellStyle name="百分比 3 41 3 5" xfId="18440"/>
    <cellStyle name="百分比 3 41 4" xfId="18361"/>
    <cellStyle name="百分比 3 41 5" xfId="18363"/>
    <cellStyle name="百分比 3 41 6" xfId="18442"/>
    <cellStyle name="百分比 3 41 7" xfId="18443"/>
    <cellStyle name="百分比 3 42" xfId="11314"/>
    <cellStyle name="百分比 3 42 2" xfId="18365"/>
    <cellStyle name="百分比 3 42 2 2" xfId="18444"/>
    <cellStyle name="百分比 3 42 2 3" xfId="18446"/>
    <cellStyle name="百分比 3 42 2 4" xfId="18447"/>
    <cellStyle name="百分比 3 42 2 5" xfId="18448"/>
    <cellStyle name="百分比 3 42 3" xfId="18367"/>
    <cellStyle name="百分比 3 42 3 2" xfId="18450"/>
    <cellStyle name="百分比 3 42 3 3" xfId="18451"/>
    <cellStyle name="百分比 3 42 3 4" xfId="18452"/>
    <cellStyle name="百分比 3 42 3 5" xfId="18453"/>
    <cellStyle name="百分比 3 42 4" xfId="18369"/>
    <cellStyle name="百分比 3 42 5" xfId="18372"/>
    <cellStyle name="百分比 3 42 6" xfId="4573"/>
    <cellStyle name="百分比 3 42 7" xfId="18457"/>
    <cellStyle name="百分比 3 43" xfId="18374"/>
    <cellStyle name="百分比 3 43 2" xfId="18376"/>
    <cellStyle name="百分比 3 43 2 2" xfId="18458"/>
    <cellStyle name="百分比 3 43 2 3" xfId="18460"/>
    <cellStyle name="百分比 3 43 2 4" xfId="18462"/>
    <cellStyle name="百分比 3 43 2 5" xfId="18463"/>
    <cellStyle name="百分比 3 43 3" xfId="18378"/>
    <cellStyle name="百分比 3 43 3 2" xfId="18465"/>
    <cellStyle name="百分比 3 43 3 3" xfId="18466"/>
    <cellStyle name="百分比 3 43 3 4" xfId="18468"/>
    <cellStyle name="百分比 3 43 3 5" xfId="18470"/>
    <cellStyle name="百分比 3 43 4" xfId="18380"/>
    <cellStyle name="百分比 3 43 5" xfId="18383"/>
    <cellStyle name="百分比 3 43 6" xfId="4575"/>
    <cellStyle name="百分比 3 43 7" xfId="18471"/>
    <cellStyle name="百分比 3 44" xfId="18385"/>
    <cellStyle name="百分比 3 44 2" xfId="18387"/>
    <cellStyle name="百分比 3 44 2 2" xfId="18472"/>
    <cellStyle name="百分比 3 44 2 3" xfId="7601"/>
    <cellStyle name="百分比 3 44 2 4" xfId="18473"/>
    <cellStyle name="百分比 3 44 2 5" xfId="18474"/>
    <cellStyle name="百分比 3 44 3" xfId="18389"/>
    <cellStyle name="百分比 3 44 3 2" xfId="18476"/>
    <cellStyle name="百分比 3 44 3 3" xfId="18478"/>
    <cellStyle name="百分比 3 44 3 4" xfId="18479"/>
    <cellStyle name="百分比 3 44 3 5" xfId="18481"/>
    <cellStyle name="百分比 3 44 4" xfId="18391"/>
    <cellStyle name="百分比 3 44 5" xfId="18393"/>
    <cellStyle name="百分比 3 44 6" xfId="4578"/>
    <cellStyle name="百分比 3 44 7" xfId="18482"/>
    <cellStyle name="百分比 3 45" xfId="18483"/>
    <cellStyle name="百分比 3 45 2" xfId="18485"/>
    <cellStyle name="百分比 3 45 2 2" xfId="18487"/>
    <cellStyle name="百分比 3 45 2 3" xfId="12372"/>
    <cellStyle name="百分比 3 45 2 4" xfId="18490"/>
    <cellStyle name="百分比 3 45 2 5" xfId="18492"/>
    <cellStyle name="百分比 3 45 3" xfId="18494"/>
    <cellStyle name="百分比 3 45 3 2" xfId="18496"/>
    <cellStyle name="百分比 3 45 3 3" xfId="12375"/>
    <cellStyle name="百分比 3 45 3 4" xfId="18498"/>
    <cellStyle name="百分比 3 45 3 5" xfId="18501"/>
    <cellStyle name="百分比 3 45 4" xfId="18503"/>
    <cellStyle name="百分比 3 45 5" xfId="18505"/>
    <cellStyle name="百分比 3 45 6" xfId="18507"/>
    <cellStyle name="百分比 3 45 7" xfId="18509"/>
    <cellStyle name="百分比 3 46" xfId="18511"/>
    <cellStyle name="百分比 3 46 2" xfId="18513"/>
    <cellStyle name="百分比 3 46 2 2" xfId="18515"/>
    <cellStyle name="百分比 3 46 2 3" xfId="12385"/>
    <cellStyle name="百分比 3 46 2 4" xfId="18517"/>
    <cellStyle name="百分比 3 46 2 5" xfId="18519"/>
    <cellStyle name="百分比 3 46 3" xfId="18521"/>
    <cellStyle name="百分比 3 46 3 2" xfId="18523"/>
    <cellStyle name="百分比 3 46 3 3" xfId="12391"/>
    <cellStyle name="百分比 3 46 3 4" xfId="18525"/>
    <cellStyle name="百分比 3 46 3 5" xfId="18528"/>
    <cellStyle name="百分比 3 46 4" xfId="18530"/>
    <cellStyle name="百分比 3 46 5" xfId="18532"/>
    <cellStyle name="百分比 3 46 6" xfId="18534"/>
    <cellStyle name="百分比 3 46 7" xfId="18536"/>
    <cellStyle name="百分比 3 47" xfId="18538"/>
    <cellStyle name="百分比 3 47 2" xfId="18541"/>
    <cellStyle name="百分比 3 47 2 2" xfId="18543"/>
    <cellStyle name="百分比 3 47 2 3" xfId="15654"/>
    <cellStyle name="百分比 3 47 2 4" xfId="18546"/>
    <cellStyle name="百分比 3 47 2 5" xfId="18548"/>
    <cellStyle name="百分比 3 47 3" xfId="18551"/>
    <cellStyle name="百分比 3 47 3 2" xfId="18554"/>
    <cellStyle name="百分比 3 47 3 3" xfId="15657"/>
    <cellStyle name="百分比 3 47 3 4" xfId="18558"/>
    <cellStyle name="百分比 3 47 3 5" xfId="18560"/>
    <cellStyle name="百分比 3 47 4" xfId="18564"/>
    <cellStyle name="百分比 3 47 5" xfId="916"/>
    <cellStyle name="百分比 3 47 6" xfId="18567"/>
    <cellStyle name="百分比 3 47 7" xfId="18569"/>
    <cellStyle name="百分比 3 48" xfId="18572"/>
    <cellStyle name="百分比 3 48 2" xfId="18574"/>
    <cellStyle name="百分比 3 48 2 2" xfId="18578"/>
    <cellStyle name="百分比 3 48 2 3" xfId="15667"/>
    <cellStyle name="百分比 3 48 2 4" xfId="18580"/>
    <cellStyle name="百分比 3 48 2 5" xfId="18582"/>
    <cellStyle name="百分比 3 48 3" xfId="18585"/>
    <cellStyle name="百分比 3 48 3 2" xfId="18590"/>
    <cellStyle name="百分比 3 48 3 3" xfId="15672"/>
    <cellStyle name="百分比 3 48 3 4" xfId="18593"/>
    <cellStyle name="百分比 3 48 3 5" xfId="18596"/>
    <cellStyle name="百分比 3 48 4" xfId="18599"/>
    <cellStyle name="百分比 3 48 5" xfId="18602"/>
    <cellStyle name="百分比 3 48 6" xfId="18604"/>
    <cellStyle name="百分比 3 48 7" xfId="18606"/>
    <cellStyle name="百分比 3 49" xfId="6963"/>
    <cellStyle name="百分比 3 49 2" xfId="18608"/>
    <cellStyle name="百分比 3 49 2 2" xfId="11522"/>
    <cellStyle name="百分比 3 49 2 3" xfId="11526"/>
    <cellStyle name="百分比 3 49 2 4" xfId="18610"/>
    <cellStyle name="百分比 3 49 2 5" xfId="18612"/>
    <cellStyle name="百分比 3 49 3" xfId="18616"/>
    <cellStyle name="百分比 3 49 3 2" xfId="11534"/>
    <cellStyle name="百分比 3 49 3 3" xfId="11538"/>
    <cellStyle name="百分比 3 49 3 4" xfId="16345"/>
    <cellStyle name="百分比 3 49 3 5" xfId="18619"/>
    <cellStyle name="百分比 3 49 4" xfId="18621"/>
    <cellStyle name="百分比 3 49 5" xfId="18623"/>
    <cellStyle name="百分比 3 49 6" xfId="18625"/>
    <cellStyle name="百分比 3 49 7" xfId="18627"/>
    <cellStyle name="百分比 3 5" xfId="17478"/>
    <cellStyle name="百分比 3 5 10" xfId="18630"/>
    <cellStyle name="百分比 3 5 11" xfId="18631"/>
    <cellStyle name="百分比 3 5 12" xfId="18633"/>
    <cellStyle name="百分比 3 5 13" xfId="18634"/>
    <cellStyle name="百分比 3 5 14" xfId="18635"/>
    <cellStyle name="百分比 3 5 15" xfId="18636"/>
    <cellStyle name="百分比 3 5 16" xfId="18638"/>
    <cellStyle name="百分比 3 5 2" xfId="18639"/>
    <cellStyle name="百分比 3 5 2 2" xfId="18640"/>
    <cellStyle name="百分比 3 5 2 3" xfId="18642"/>
    <cellStyle name="百分比 3 5 3" xfId="18643"/>
    <cellStyle name="百分比 3 5 3 2" xfId="18644"/>
    <cellStyle name="百分比 3 5 3 3" xfId="18646"/>
    <cellStyle name="百分比 3 5 4" xfId="18647"/>
    <cellStyle name="百分比 3 5 4 2" xfId="18648"/>
    <cellStyle name="百分比 3 5 4 3" xfId="18650"/>
    <cellStyle name="百分比 3 5 5" xfId="18651"/>
    <cellStyle name="百分比 3 5 6" xfId="18652"/>
    <cellStyle name="百分比 3 5 7" xfId="18653"/>
    <cellStyle name="百分比 3 5 8" xfId="18654"/>
    <cellStyle name="百分比 3 5 9" xfId="18655"/>
    <cellStyle name="百分比 3 50" xfId="18484"/>
    <cellStyle name="百分比 3 50 2" xfId="18486"/>
    <cellStyle name="百分比 3 50 2 2" xfId="18488"/>
    <cellStyle name="百分比 3 50 2 3" xfId="12373"/>
    <cellStyle name="百分比 3 50 2 4" xfId="18491"/>
    <cellStyle name="百分比 3 50 2 5" xfId="18493"/>
    <cellStyle name="百分比 3 50 3" xfId="18495"/>
    <cellStyle name="百分比 3 50 3 2" xfId="18497"/>
    <cellStyle name="百分比 3 50 3 3" xfId="12376"/>
    <cellStyle name="百分比 3 50 3 4" xfId="18499"/>
    <cellStyle name="百分比 3 50 3 5" xfId="18502"/>
    <cellStyle name="百分比 3 50 4" xfId="18504"/>
    <cellStyle name="百分比 3 50 5" xfId="18506"/>
    <cellStyle name="百分比 3 50 6" xfId="18508"/>
    <cellStyle name="百分比 3 50 7" xfId="18510"/>
    <cellStyle name="百分比 3 51" xfId="18512"/>
    <cellStyle name="百分比 3 51 2" xfId="18514"/>
    <cellStyle name="百分比 3 51 2 2" xfId="18516"/>
    <cellStyle name="百分比 3 51 2 3" xfId="12386"/>
    <cellStyle name="百分比 3 51 2 4" xfId="18518"/>
    <cellStyle name="百分比 3 51 2 5" xfId="18520"/>
    <cellStyle name="百分比 3 51 3" xfId="18522"/>
    <cellStyle name="百分比 3 51 3 2" xfId="18524"/>
    <cellStyle name="百分比 3 51 3 3" xfId="12392"/>
    <cellStyle name="百分比 3 51 3 4" xfId="18526"/>
    <cellStyle name="百分比 3 51 3 5" xfId="18529"/>
    <cellStyle name="百分比 3 51 4" xfId="18531"/>
    <cellStyle name="百分比 3 51 5" xfId="18533"/>
    <cellStyle name="百分比 3 51 6" xfId="18535"/>
    <cellStyle name="百分比 3 51 7" xfId="18537"/>
    <cellStyle name="百分比 3 52" xfId="18539"/>
    <cellStyle name="百分比 3 52 2" xfId="18542"/>
    <cellStyle name="百分比 3 52 2 2" xfId="18544"/>
    <cellStyle name="百分比 3 52 2 3" xfId="15655"/>
    <cellStyle name="百分比 3 52 2 4" xfId="18547"/>
    <cellStyle name="百分比 3 52 2 5" xfId="18549"/>
    <cellStyle name="百分比 3 52 3" xfId="18552"/>
    <cellStyle name="百分比 3 52 3 2" xfId="18555"/>
    <cellStyle name="百分比 3 52 3 3" xfId="15658"/>
    <cellStyle name="百分比 3 52 3 4" xfId="18559"/>
    <cellStyle name="百分比 3 52 3 5" xfId="18561"/>
    <cellStyle name="百分比 3 52 4" xfId="18565"/>
    <cellStyle name="百分比 3 52 5" xfId="917"/>
    <cellStyle name="百分比 3 52 6" xfId="18568"/>
    <cellStyle name="百分比 3 52 7" xfId="18570"/>
    <cellStyle name="百分比 3 53" xfId="18573"/>
    <cellStyle name="百分比 3 53 2" xfId="18575"/>
    <cellStyle name="百分比 3 53 2 2" xfId="18579"/>
    <cellStyle name="百分比 3 53 2 3" xfId="15668"/>
    <cellStyle name="百分比 3 53 2 4" xfId="18581"/>
    <cellStyle name="百分比 3 53 2 5" xfId="18583"/>
    <cellStyle name="百分比 3 53 3" xfId="18586"/>
    <cellStyle name="百分比 3 53 3 2" xfId="18591"/>
    <cellStyle name="百分比 3 53 3 3" xfId="15673"/>
    <cellStyle name="百分比 3 53 3 4" xfId="18594"/>
    <cellStyle name="百分比 3 53 3 5" xfId="18597"/>
    <cellStyle name="百分比 3 53 4" xfId="18600"/>
    <cellStyle name="百分比 3 53 5" xfId="18603"/>
    <cellStyle name="百分比 3 53 6" xfId="18605"/>
    <cellStyle name="百分比 3 53 7" xfId="18607"/>
    <cellStyle name="百分比 3 54" xfId="6964"/>
    <cellStyle name="百分比 3 54 2" xfId="18609"/>
    <cellStyle name="百分比 3 54 2 2" xfId="11523"/>
    <cellStyle name="百分比 3 54 2 3" xfId="11527"/>
    <cellStyle name="百分比 3 54 2 4" xfId="18611"/>
    <cellStyle name="百分比 3 54 2 5" xfId="18613"/>
    <cellStyle name="百分比 3 54 3" xfId="18617"/>
    <cellStyle name="百分比 3 54 3 2" xfId="11535"/>
    <cellStyle name="百分比 3 54 3 3" xfId="11539"/>
    <cellStyle name="百分比 3 54 3 4" xfId="16346"/>
    <cellStyle name="百分比 3 54 3 5" xfId="18620"/>
    <cellStyle name="百分比 3 54 4" xfId="18622"/>
    <cellStyle name="百分比 3 54 5" xfId="18624"/>
    <cellStyle name="百分比 3 54 6" xfId="18626"/>
    <cellStyle name="百分比 3 54 7" xfId="18628"/>
    <cellStyle name="百分比 3 55" xfId="18656"/>
    <cellStyle name="百分比 3 55 2" xfId="18658"/>
    <cellStyle name="百分比 3 55 2 2" xfId="11588"/>
    <cellStyle name="百分比 3 55 2 3" xfId="11592"/>
    <cellStyle name="百分比 3 55 2 4" xfId="18659"/>
    <cellStyle name="百分比 3 55 2 5" xfId="18660"/>
    <cellStyle name="百分比 3 55 3" xfId="18661"/>
    <cellStyle name="百分比 3 55 3 2" xfId="11598"/>
    <cellStyle name="百分比 3 55 3 3" xfId="11601"/>
    <cellStyle name="百分比 3 55 3 4" xfId="16357"/>
    <cellStyle name="百分比 3 55 3 5" xfId="18662"/>
    <cellStyle name="百分比 3 55 4" xfId="18663"/>
    <cellStyle name="百分比 3 55 5" xfId="18664"/>
    <cellStyle name="百分比 3 55 6" xfId="18665"/>
    <cellStyle name="百分比 3 55 7" xfId="18666"/>
    <cellStyle name="百分比 3 56" xfId="18668"/>
    <cellStyle name="百分比 3 56 2" xfId="18670"/>
    <cellStyle name="百分比 3 56 2 2" xfId="11620"/>
    <cellStyle name="百分比 3 56 2 3" xfId="11624"/>
    <cellStyle name="百分比 3 56 2 4" xfId="18672"/>
    <cellStyle name="百分比 3 56 2 5" xfId="18673"/>
    <cellStyle name="百分比 3 56 3" xfId="8845"/>
    <cellStyle name="百分比 3 56 3 2" xfId="8848"/>
    <cellStyle name="百分比 3 56 3 3" xfId="8870"/>
    <cellStyle name="百分比 3 56 3 4" xfId="8879"/>
    <cellStyle name="百分比 3 56 3 5" xfId="8900"/>
    <cellStyle name="百分比 3 56 4" xfId="8912"/>
    <cellStyle name="百分比 3 56 5" xfId="8955"/>
    <cellStyle name="百分比 3 56 6" xfId="8986"/>
    <cellStyle name="百分比 3 56 7" xfId="9011"/>
    <cellStyle name="百分比 3 57" xfId="18676"/>
    <cellStyle name="百分比 3 57 2" xfId="18678"/>
    <cellStyle name="百分比 3 57 2 2" xfId="11642"/>
    <cellStyle name="百分比 3 57 2 3" xfId="11645"/>
    <cellStyle name="百分比 3 57 2 4" xfId="18679"/>
    <cellStyle name="百分比 3 57 2 5" xfId="18680"/>
    <cellStyle name="百分比 3 57 3" xfId="9053"/>
    <cellStyle name="百分比 3 57 3 2" xfId="9055"/>
    <cellStyle name="百分比 3 57 3 3" xfId="9084"/>
    <cellStyle name="百分比 3 57 3 4" xfId="9095"/>
    <cellStyle name="百分比 3 57 3 5" xfId="9104"/>
    <cellStyle name="百分比 3 57 4" xfId="9110"/>
    <cellStyle name="百分比 3 57 5" xfId="9123"/>
    <cellStyle name="百分比 3 57 6" xfId="9137"/>
    <cellStyle name="百分比 3 57 7" xfId="9148"/>
    <cellStyle name="百分比 3 58" xfId="18681"/>
    <cellStyle name="百分比 3 58 2" xfId="18684"/>
    <cellStyle name="百分比 3 58 2 2" xfId="18687"/>
    <cellStyle name="百分比 3 58 2 3" xfId="18689"/>
    <cellStyle name="百分比 3 58 2 4" xfId="18690"/>
    <cellStyle name="百分比 3 58 2 5" xfId="18691"/>
    <cellStyle name="百分比 3 58 3" xfId="9163"/>
    <cellStyle name="百分比 3 58 3 2" xfId="9169"/>
    <cellStyle name="百分比 3 58 3 3" xfId="9188"/>
    <cellStyle name="百分比 3 58 3 4" xfId="9195"/>
    <cellStyle name="百分比 3 58 3 5" xfId="9198"/>
    <cellStyle name="百分比 3 58 4" xfId="9201"/>
    <cellStyle name="百分比 3 58 5" xfId="9214"/>
    <cellStyle name="百分比 3 58 6" xfId="9225"/>
    <cellStyle name="百分比 3 58 7" xfId="9228"/>
    <cellStyle name="百分比 3 59" xfId="18693"/>
    <cellStyle name="百分比 3 59 2" xfId="18695"/>
    <cellStyle name="百分比 3 59 2 2" xfId="16752"/>
    <cellStyle name="百分比 3 59 2 3" xfId="16761"/>
    <cellStyle name="百分比 3 59 2 4" xfId="16764"/>
    <cellStyle name="百分比 3 59 2 5" xfId="18696"/>
    <cellStyle name="百分比 3 59 3" xfId="9232"/>
    <cellStyle name="百分比 3 59 3 2" xfId="9235"/>
    <cellStyle name="百分比 3 59 3 3" xfId="9253"/>
    <cellStyle name="百分比 3 59 3 4" xfId="9260"/>
    <cellStyle name="百分比 3 59 3 5" xfId="9264"/>
    <cellStyle name="百分比 3 59 4" xfId="5519"/>
    <cellStyle name="百分比 3 59 5" xfId="5534"/>
    <cellStyle name="百分比 3 59 6" xfId="5548"/>
    <cellStyle name="百分比 3 59 7" xfId="5551"/>
    <cellStyle name="百分比 3 6" xfId="17481"/>
    <cellStyle name="百分比 3 6 10" xfId="18697"/>
    <cellStyle name="百分比 3 6 11" xfId="18699"/>
    <cellStyle name="百分比 3 6 12" xfId="1098"/>
    <cellStyle name="百分比 3 6 13" xfId="322"/>
    <cellStyle name="百分比 3 6 14" xfId="1536"/>
    <cellStyle name="百分比 3 6 15" xfId="1362"/>
    <cellStyle name="百分比 3 6 16" xfId="1719"/>
    <cellStyle name="百分比 3 6 2" xfId="18702"/>
    <cellStyle name="百分比 3 6 2 2" xfId="18703"/>
    <cellStyle name="百分比 3 6 2 3" xfId="18705"/>
    <cellStyle name="百分比 3 6 3" xfId="18708"/>
    <cellStyle name="百分比 3 6 3 2" xfId="18711"/>
    <cellStyle name="百分比 3 6 3 3" xfId="18714"/>
    <cellStyle name="百分比 3 6 4" xfId="18715"/>
    <cellStyle name="百分比 3 6 4 2" xfId="18716"/>
    <cellStyle name="百分比 3 6 4 3" xfId="18717"/>
    <cellStyle name="百分比 3 6 5" xfId="18718"/>
    <cellStyle name="百分比 3 6 6" xfId="18719"/>
    <cellStyle name="百分比 3 6 7" xfId="18720"/>
    <cellStyle name="百分比 3 6 8" xfId="18721"/>
    <cellStyle name="百分比 3 6 9" xfId="18722"/>
    <cellStyle name="百分比 3 60" xfId="18657"/>
    <cellStyle name="百分比 3 61" xfId="18669"/>
    <cellStyle name="百分比 3 62" xfId="18677"/>
    <cellStyle name="百分比 3 63" xfId="18682"/>
    <cellStyle name="百分比 3 64" xfId="18694"/>
    <cellStyle name="百分比 3 7" xfId="1673"/>
    <cellStyle name="百分比 3 7 10" xfId="18723"/>
    <cellStyle name="百分比 3 7 11" xfId="18724"/>
    <cellStyle name="百分比 3 7 12" xfId="2477"/>
    <cellStyle name="百分比 3 7 13" xfId="2524"/>
    <cellStyle name="百分比 3 7 14" xfId="2549"/>
    <cellStyle name="百分比 3 7 15" xfId="2553"/>
    <cellStyle name="百分比 3 7 16" xfId="18725"/>
    <cellStyle name="百分比 3 7 2" xfId="18727"/>
    <cellStyle name="百分比 3 7 2 2" xfId="18729"/>
    <cellStyle name="百分比 3 7 2 3" xfId="18731"/>
    <cellStyle name="百分比 3 7 3" xfId="18733"/>
    <cellStyle name="百分比 3 7 3 2" xfId="18734"/>
    <cellStyle name="百分比 3 7 3 3" xfId="18736"/>
    <cellStyle name="百分比 3 7 4" xfId="18739"/>
    <cellStyle name="百分比 3 7 4 2" xfId="18740"/>
    <cellStyle name="百分比 3 7 4 3" xfId="18741"/>
    <cellStyle name="百分比 3 7 5" xfId="18742"/>
    <cellStyle name="百分比 3 7 6" xfId="18743"/>
    <cellStyle name="百分比 3 7 7" xfId="18744"/>
    <cellStyle name="百分比 3 7 8" xfId="18745"/>
    <cellStyle name="百分比 3 7 9" xfId="18746"/>
    <cellStyle name="百分比 3 8" xfId="17488"/>
    <cellStyle name="百分比 3 8 10" xfId="18747"/>
    <cellStyle name="百分比 3 8 11" xfId="18748"/>
    <cellStyle name="百分比 3 8 12" xfId="18750"/>
    <cellStyle name="百分比 3 8 13" xfId="18753"/>
    <cellStyle name="百分比 3 8 14" xfId="18754"/>
    <cellStyle name="百分比 3 8 15" xfId="18756"/>
    <cellStyle name="百分比 3 8 16" xfId="18757"/>
    <cellStyle name="百分比 3 8 2" xfId="18761"/>
    <cellStyle name="百分比 3 8 2 2" xfId="18765"/>
    <cellStyle name="百分比 3 8 2 3" xfId="18768"/>
    <cellStyle name="百分比 3 8 3" xfId="18771"/>
    <cellStyle name="百分比 3 8 3 2" xfId="18775"/>
    <cellStyle name="百分比 3 8 3 3" xfId="18778"/>
    <cellStyle name="百分比 3 8 4" xfId="8749"/>
    <cellStyle name="百分比 3 8 4 2" xfId="8753"/>
    <cellStyle name="百分比 3 8 4 3" xfId="18779"/>
    <cellStyle name="百分比 3 8 5" xfId="18781"/>
    <cellStyle name="百分比 3 8 6" xfId="18782"/>
    <cellStyle name="百分比 3 8 7" xfId="18783"/>
    <cellStyle name="百分比 3 8 8" xfId="18784"/>
    <cellStyle name="百分比 3 8 9" xfId="18785"/>
    <cellStyle name="百分比 3 9" xfId="18786"/>
    <cellStyle name="百分比 3 9 10" xfId="3666"/>
    <cellStyle name="百分比 3 9 11" xfId="8818"/>
    <cellStyle name="百分比 3 9 12" xfId="8823"/>
    <cellStyle name="百分比 3 9 13" xfId="6246"/>
    <cellStyle name="百分比 3 9 14" xfId="18788"/>
    <cellStyle name="百分比 3 9 15" xfId="18789"/>
    <cellStyle name="百分比 3 9 16" xfId="18790"/>
    <cellStyle name="百分比 3 9 17" xfId="9846"/>
    <cellStyle name="百分比 3 9 2" xfId="18792"/>
    <cellStyle name="百分比 3 9 2 2" xfId="18794"/>
    <cellStyle name="百分比 3 9 2 3" xfId="18797"/>
    <cellStyle name="百分比 3 9 3" xfId="18799"/>
    <cellStyle name="百分比 3 9 3 2" xfId="18800"/>
    <cellStyle name="百分比 3 9 3 3" xfId="18802"/>
    <cellStyle name="百分比 3 9 4" xfId="18803"/>
    <cellStyle name="百分比 3 9 4 2" xfId="18804"/>
    <cellStyle name="百分比 3 9 4 3" xfId="18806"/>
    <cellStyle name="百分比 3 9 5" xfId="18807"/>
    <cellStyle name="百分比 3 9 6" xfId="14177"/>
    <cellStyle name="百分比 3 9 7" xfId="18808"/>
    <cellStyle name="百分比 3 9 8" xfId="18809"/>
    <cellStyle name="百分比 3 9 9" xfId="18810"/>
    <cellStyle name="百分比 4" xfId="18812"/>
    <cellStyle name="百分比 4 10" xfId="18813"/>
    <cellStyle name="百分比 4 11" xfId="18814"/>
    <cellStyle name="百分比 4 12" xfId="3246"/>
    <cellStyle name="百分比 4 2" xfId="18816"/>
    <cellStyle name="百分比 4 2 2" xfId="18819"/>
    <cellStyle name="百分比 4 2 3" xfId="18821"/>
    <cellStyle name="百分比 4 2 4" xfId="18823"/>
    <cellStyle name="百分比 4 2 5" xfId="18825"/>
    <cellStyle name="百分比 4 3" xfId="18827"/>
    <cellStyle name="百分比 4 3 2" xfId="18829"/>
    <cellStyle name="百分比 4 3 3" xfId="18830"/>
    <cellStyle name="百分比 4 3 4" xfId="18831"/>
    <cellStyle name="百分比 4 3 5" xfId="18832"/>
    <cellStyle name="百分比 4 4" xfId="14613"/>
    <cellStyle name="百分比 4 4 2" xfId="18834"/>
    <cellStyle name="百分比 4 4 3" xfId="18835"/>
    <cellStyle name="百分比 4 4 4" xfId="18836"/>
    <cellStyle name="百分比 4 4 5" xfId="18837"/>
    <cellStyle name="百分比 4 5" xfId="17497"/>
    <cellStyle name="百分比 4 5 2" xfId="18840"/>
    <cellStyle name="百分比 4 5 3" xfId="18842"/>
    <cellStyle name="百分比 4 5 4" xfId="18844"/>
    <cellStyle name="百分比 4 5 5" xfId="18846"/>
    <cellStyle name="百分比 4 6" xfId="17501"/>
    <cellStyle name="百分比 4 6 2" xfId="18848"/>
    <cellStyle name="百分比 4 6 3" xfId="18851"/>
    <cellStyle name="百分比 4 6 4" xfId="18853"/>
    <cellStyle name="百分比 4 6 5" xfId="18854"/>
    <cellStyle name="百分比 4 7" xfId="1197"/>
    <cellStyle name="百分比 4 7 2" xfId="18856"/>
    <cellStyle name="百分比 4 7 3" xfId="18859"/>
    <cellStyle name="百分比 4 7 4" xfId="18860"/>
    <cellStyle name="百分比 4 7 5" xfId="18861"/>
    <cellStyle name="百分比 4 8" xfId="17506"/>
    <cellStyle name="百分比 4 9" xfId="18862"/>
    <cellStyle name="百分比 5" xfId="18865"/>
    <cellStyle name="百分比 5 2" xfId="18866"/>
    <cellStyle name="百分比 5 2 2" xfId="18869"/>
    <cellStyle name="百分比 5 2 3" xfId="18870"/>
    <cellStyle name="百分比 5 2 4" xfId="18871"/>
    <cellStyle name="百分比 5 2 5" xfId="18872"/>
    <cellStyle name="百分比 5 3" xfId="18874"/>
    <cellStyle name="百分比 6" xfId="18877"/>
    <cellStyle name="百分比 6 2" xfId="18878"/>
    <cellStyle name="百分比 6 2 2" xfId="18879"/>
    <cellStyle name="百分比 6 2 3" xfId="18880"/>
    <cellStyle name="百分比 6 2 4" xfId="18881"/>
    <cellStyle name="百分比 6 2 5" xfId="18882"/>
    <cellStyle name="百分比 6 3" xfId="18884"/>
    <cellStyle name="百分比 6 3 2" xfId="18886"/>
    <cellStyle name="百分比 6 3 3" xfId="18888"/>
    <cellStyle name="百分比 6 3 4" xfId="18889"/>
    <cellStyle name="百分比 6 3 5" xfId="18890"/>
    <cellStyle name="百分比 6 4" xfId="9979"/>
    <cellStyle name="百分比 6 4 2" xfId="18893"/>
    <cellStyle name="百分比 6 4 3" xfId="18894"/>
    <cellStyle name="百分比 6 4 4" xfId="18895"/>
    <cellStyle name="百分比 6 4 5" xfId="14165"/>
    <cellStyle name="百分比 6 5" xfId="18896"/>
    <cellStyle name="百分比 6 5 2" xfId="18897"/>
    <cellStyle name="百分比 6 5 3" xfId="18898"/>
    <cellStyle name="百分比 6 5 4" xfId="18899"/>
    <cellStyle name="百分比 6 5 5" xfId="14174"/>
    <cellStyle name="百分比 6 6" xfId="18900"/>
    <cellStyle name="百分比 6 6 2" xfId="18903"/>
    <cellStyle name="百分比 6 6 3" xfId="18905"/>
    <cellStyle name="百分比 6 6 4" xfId="18907"/>
    <cellStyle name="百分比 6 6 5" xfId="14186"/>
    <cellStyle name="百分比 7" xfId="18908"/>
    <cellStyle name="百分比 8" xfId="18909"/>
    <cellStyle name="百分比 9" xfId="18910"/>
    <cellStyle name="斑" xfId="18911"/>
    <cellStyle name="标题" xfId="18912"/>
    <cellStyle name="标题 1" xfId="18913"/>
    <cellStyle name="标题 1 2" xfId="18195"/>
    <cellStyle name="标题 1 2 2" xfId="18917"/>
    <cellStyle name="标题 1 2 3" xfId="18918"/>
    <cellStyle name="标题 1 2 4" xfId="5859"/>
    <cellStyle name="标题 1 2 5" xfId="18919"/>
    <cellStyle name="标题 1 2 6" xfId="18920"/>
    <cellStyle name="标题 1 2 7" xfId="18921"/>
    <cellStyle name="标题 1 2 8" xfId="18922"/>
    <cellStyle name="标题 1 2 9" xfId="18923"/>
    <cellStyle name="标题 1 3" xfId="18925"/>
    <cellStyle name="标题 1 3 2" xfId="18927"/>
    <cellStyle name="标题 1 3 3" xfId="18928"/>
    <cellStyle name="标题 1 4" xfId="18930"/>
    <cellStyle name="标题 1 5" xfId="18932"/>
    <cellStyle name="标题 1 6" xfId="18933"/>
    <cellStyle name="标题 1 7" xfId="18934"/>
    <cellStyle name="标题 1 8" xfId="18935"/>
    <cellStyle name="标题 10" xfId="18259"/>
    <cellStyle name="标题 11" xfId="18936"/>
    <cellStyle name="标题 2" xfId="18938"/>
    <cellStyle name="标题 2 2" xfId="18940"/>
    <cellStyle name="标题 2 2 2" xfId="18942"/>
    <cellStyle name="标题 2 2 3" xfId="18943"/>
    <cellStyle name="标题 2 2 4" xfId="18944"/>
    <cellStyle name="标题 2 2 5" xfId="18946"/>
    <cellStyle name="标题 2 2 6" xfId="12010"/>
    <cellStyle name="标题 2 2 7" xfId="18948"/>
    <cellStyle name="标题 2 2 8" xfId="219"/>
    <cellStyle name="标题 2 2 9" xfId="235"/>
    <cellStyle name="标题 2 3" xfId="18950"/>
    <cellStyle name="标题 2 3 2" xfId="18952"/>
    <cellStyle name="标题 2 3 3" xfId="18953"/>
    <cellStyle name="标题 2 4" xfId="18955"/>
    <cellStyle name="标题 2 5" xfId="18956"/>
    <cellStyle name="标题 2 6" xfId="8999"/>
    <cellStyle name="标题 2 7" xfId="18957"/>
    <cellStyle name="标题 2 8" xfId="18958"/>
    <cellStyle name="标题 3" xfId="18960"/>
    <cellStyle name="标题 3 2" xfId="18962"/>
    <cellStyle name="标题 3 2 2" xfId="18965"/>
    <cellStyle name="标题 3 2 3" xfId="18968"/>
    <cellStyle name="标题 3 2 4" xfId="18969"/>
    <cellStyle name="标题 3 2 5" xfId="18973"/>
    <cellStyle name="标题 3 2 6" xfId="18976"/>
    <cellStyle name="标题 3 2 7" xfId="18977"/>
    <cellStyle name="标题 3 2 8" xfId="18978"/>
    <cellStyle name="标题 3 2 9" xfId="5119"/>
    <cellStyle name="标题 3 3" xfId="18979"/>
    <cellStyle name="标题 3 3 2" xfId="18981"/>
    <cellStyle name="标题 3 3 3" xfId="18984"/>
    <cellStyle name="标题 3 4" xfId="18985"/>
    <cellStyle name="标题 3 5" xfId="18986"/>
    <cellStyle name="标题 3 6" xfId="9002"/>
    <cellStyle name="标题 3 7" xfId="18987"/>
    <cellStyle name="标题 3 8" xfId="18990"/>
    <cellStyle name="标题 4" xfId="18992"/>
    <cellStyle name="标题 4 2" xfId="18993"/>
    <cellStyle name="标题 4 2 2" xfId="7375"/>
    <cellStyle name="标题 4 2 3" xfId="7381"/>
    <cellStyle name="标题 4 2 4" xfId="7385"/>
    <cellStyle name="标题 4 2 5" xfId="18996"/>
    <cellStyle name="标题 4 2 6" xfId="13726"/>
    <cellStyle name="标题 4 2 7" xfId="13730"/>
    <cellStyle name="标题 4 2 8" xfId="13734"/>
    <cellStyle name="标题 4 2 9" xfId="13741"/>
    <cellStyle name="标题 4 3" xfId="18997"/>
    <cellStyle name="标题 4 3 2" xfId="7395"/>
    <cellStyle name="标题 4 3 3" xfId="7401"/>
    <cellStyle name="标题 4 4" xfId="18998"/>
    <cellStyle name="标题 4 5" xfId="19000"/>
    <cellStyle name="标题 4 6" xfId="19001"/>
    <cellStyle name="标题 4 7" xfId="19002"/>
    <cellStyle name="标题 4 8" xfId="19005"/>
    <cellStyle name="标题 5" xfId="19006"/>
    <cellStyle name="标题 5 2" xfId="19007"/>
    <cellStyle name="标题 5 3" xfId="19008"/>
    <cellStyle name="标题 5 4" xfId="19009"/>
    <cellStyle name="标题 5 5" xfId="19010"/>
    <cellStyle name="标题 5 6" xfId="19011"/>
    <cellStyle name="标题 5 7" xfId="19012"/>
    <cellStyle name="标题 5 8" xfId="19013"/>
    <cellStyle name="标题 5 9" xfId="19016"/>
    <cellStyle name="标题 6" xfId="19017"/>
    <cellStyle name="标题 6 2" xfId="19019"/>
    <cellStyle name="标题 6 3" xfId="19020"/>
    <cellStyle name="标题 7" xfId="19021"/>
    <cellStyle name="标题 8" xfId="18701"/>
    <cellStyle name="标题 9" xfId="18707"/>
    <cellStyle name="標準_配線品番品名変更" xfId="9577"/>
    <cellStyle name="表标题" xfId="2246"/>
    <cellStyle name="表标题 2" xfId="19022"/>
    <cellStyle name="差" xfId="19023"/>
    <cellStyle name="差 2" xfId="16036"/>
    <cellStyle name="差 2 10" xfId="19024"/>
    <cellStyle name="差 2 11" xfId="19028"/>
    <cellStyle name="差 2 2" xfId="16038"/>
    <cellStyle name="差 2 2 2" xfId="19029"/>
    <cellStyle name="差 2 3" xfId="19030"/>
    <cellStyle name="差 2 3 2" xfId="19031"/>
    <cellStyle name="差 2 4" xfId="19032"/>
    <cellStyle name="差 2 4 2" xfId="19033"/>
    <cellStyle name="差 2 5" xfId="19034"/>
    <cellStyle name="差 2 5 2" xfId="19035"/>
    <cellStyle name="差 2 6" xfId="2008"/>
    <cellStyle name="差 2 6 2" xfId="19038"/>
    <cellStyle name="差 2 7" xfId="19039"/>
    <cellStyle name="差 2 7 2" xfId="19043"/>
    <cellStyle name="差 2 8" xfId="19045"/>
    <cellStyle name="差 2 9" xfId="6125"/>
    <cellStyle name="差 3" xfId="16040"/>
    <cellStyle name="差 3 2" xfId="19046"/>
    <cellStyle name="差 3 3" xfId="19047"/>
    <cellStyle name="差 3 3 2" xfId="19048"/>
    <cellStyle name="差 3 4" xfId="19049"/>
    <cellStyle name="差 3 5" xfId="19051"/>
    <cellStyle name="差 4" xfId="19053"/>
    <cellStyle name="差 5" xfId="19056"/>
    <cellStyle name="差 6" xfId="19058"/>
    <cellStyle name="差 7" xfId="7734"/>
    <cellStyle name="差 8" xfId="19060"/>
    <cellStyle name="差 8 2" xfId="12147"/>
    <cellStyle name="差 8 3" xfId="12171"/>
    <cellStyle name="差 8 4" xfId="12176"/>
    <cellStyle name="差_(38#)2000" xfId="19062"/>
    <cellStyle name="差_(38#)2000 2" xfId="12842"/>
    <cellStyle name="差_(38#)2000_聊城样板房工程量计算稿" xfId="4875"/>
    <cellStyle name="差_101卫浴五金" xfId="19063"/>
    <cellStyle name="差_101卫浴五金 2" xfId="19065"/>
    <cellStyle name="差_101卫浴五金 2 2" xfId="14418"/>
    <cellStyle name="差_101卫浴五金 2 2 2" xfId="14424"/>
    <cellStyle name="差_101卫浴五金 2 3" xfId="1779"/>
    <cellStyle name="差_101卫浴五金 2 3 2" xfId="14431"/>
    <cellStyle name="差_101卫浴五金 2 4" xfId="4394"/>
    <cellStyle name="差_101卫浴五金 2 4 2" xfId="19067"/>
    <cellStyle name="差_101卫浴五金 2 5" xfId="14479"/>
    <cellStyle name="差_101卫浴五金 2_聊城样板房工程量计算稿" xfId="14181"/>
    <cellStyle name="差_101卫浴五金 2_终板 潍坊翡翠华庭样板房清单" xfId="19069"/>
    <cellStyle name="差_101卫浴五金 3" xfId="2147"/>
    <cellStyle name="差_101卫浴五金 3 2" xfId="14440"/>
    <cellStyle name="差_101卫浴五金 3 2 2" xfId="14444"/>
    <cellStyle name="差_101卫浴五金 3 3" xfId="4403"/>
    <cellStyle name="差_101卫浴五金 3 3 2" xfId="19070"/>
    <cellStyle name="差_101卫浴五金 3 4" xfId="5766"/>
    <cellStyle name="差_101卫浴五金 3 4 2" xfId="19071"/>
    <cellStyle name="差_101卫浴五金 3 5" xfId="19073"/>
    <cellStyle name="差_101卫浴五金 4" xfId="19074"/>
    <cellStyle name="差_101卫浴五金 4 2" xfId="17200"/>
    <cellStyle name="差_101卫浴五金 5" xfId="19075"/>
    <cellStyle name="差_101卫浴五金 5 2" xfId="17216"/>
    <cellStyle name="差_101卫浴五金 6" xfId="19076"/>
    <cellStyle name="差_101卫浴五金 6 2" xfId="17232"/>
    <cellStyle name="差_101卫浴五金 7" xfId="19077"/>
    <cellStyle name="差_101卫浴五金 7 2" xfId="17246"/>
    <cellStyle name="差_101卫浴五金 8" xfId="19078"/>
    <cellStyle name="差_101卫浴五金_102洁具-陶瓷" xfId="19080"/>
    <cellStyle name="差_101卫浴五金_102洁具-陶瓷 2" xfId="19083"/>
    <cellStyle name="差_101卫浴五金_102洁具-陶瓷 2 2" xfId="19084"/>
    <cellStyle name="差_101卫浴五金_102洁具-陶瓷 3" xfId="19086"/>
    <cellStyle name="差_101卫浴五金_102洁具-陶瓷 3 2" xfId="19087"/>
    <cellStyle name="差_101卫浴五金_102洁具-陶瓷 4" xfId="19089"/>
    <cellStyle name="差_101卫浴五金_102洁具-陶瓷 4 2" xfId="19091"/>
    <cellStyle name="差_101卫浴五金_102洁具-陶瓷 5" xfId="9921"/>
    <cellStyle name="差_101卫浴五金_102洁具-陶瓷 5 2" xfId="9923"/>
    <cellStyle name="差_101卫浴五金_102洁具-陶瓷 6" xfId="4063"/>
    <cellStyle name="差_101卫浴五金_102洁具-陶瓷_聊城样板房工程量计算稿" xfId="19092"/>
    <cellStyle name="差_101卫浴五金_102洁具-陶瓷_终板 潍坊翡翠华庭样板房清单" xfId="19094"/>
    <cellStyle name="差_101卫浴五金_105瓷片 " xfId="19095"/>
    <cellStyle name="差_101卫浴五金_105瓷片  2" xfId="7584"/>
    <cellStyle name="差_101卫浴五金_105瓷片  2 2" xfId="19097"/>
    <cellStyle name="差_101卫浴五金_105瓷片  3" xfId="6374"/>
    <cellStyle name="差_101卫浴五金_105瓷片  3 2" xfId="19098"/>
    <cellStyle name="差_101卫浴五金_105瓷片  4" xfId="19099"/>
    <cellStyle name="差_101卫浴五金_105瓷片  4 2" xfId="19100"/>
    <cellStyle name="差_101卫浴五金_105瓷片  5" xfId="19101"/>
    <cellStyle name="差_101卫浴五金_105瓷片  5 2" xfId="19103"/>
    <cellStyle name="差_101卫浴五金_105瓷片  6" xfId="19104"/>
    <cellStyle name="差_101卫浴五金_105瓷片 _聊城样板房工程量计算稿" xfId="1866"/>
    <cellStyle name="差_101卫浴五金_105瓷片 _终板 潍坊翡翠华庭样板房清单" xfId="19105"/>
    <cellStyle name="差_101卫浴五金_109吸顶灯" xfId="19106"/>
    <cellStyle name="差_101卫浴五金_109吸顶灯 2" xfId="19109"/>
    <cellStyle name="差_101卫浴五金_109吸顶灯 2 2" xfId="19114"/>
    <cellStyle name="差_101卫浴五金_109吸顶灯 3" xfId="19120"/>
    <cellStyle name="差_101卫浴五金_109吸顶灯 3 2" xfId="19125"/>
    <cellStyle name="差_101卫浴五金_109吸顶灯 4" xfId="19131"/>
    <cellStyle name="差_101卫浴五金_109吸顶灯 4 2" xfId="19135"/>
    <cellStyle name="差_101卫浴五金_109吸顶灯 5" xfId="19138"/>
    <cellStyle name="差_101卫浴五金_109吸顶灯 5 2" xfId="19141"/>
    <cellStyle name="差_101卫浴五金_109吸顶灯 6" xfId="19144"/>
    <cellStyle name="差_101卫浴五金_109吸顶灯_聊城样板房工程量计算稿" xfId="2189"/>
    <cellStyle name="差_101卫浴五金_109吸顶灯_终板 潍坊翡翠华庭样板房清单" xfId="19147"/>
    <cellStyle name="差_101卫浴五金_110水晶灯" xfId="19148"/>
    <cellStyle name="差_101卫浴五金_110水晶灯 2" xfId="19149"/>
    <cellStyle name="差_101卫浴五金_110水晶灯 2 2" xfId="3320"/>
    <cellStyle name="差_101卫浴五金_110水晶灯 3" xfId="19150"/>
    <cellStyle name="差_101卫浴五金_110水晶灯 3 2" xfId="3345"/>
    <cellStyle name="差_101卫浴五金_110水晶灯 4" xfId="19151"/>
    <cellStyle name="差_101卫浴五金_110水晶灯 4 2" xfId="15481"/>
    <cellStyle name="差_101卫浴五金_110水晶灯 5" xfId="19152"/>
    <cellStyle name="差_101卫浴五金_110水晶灯 5 2" xfId="15541"/>
    <cellStyle name="差_101卫浴五金_110水晶灯 6" xfId="19154"/>
    <cellStyle name="差_101卫浴五金_110水晶灯_聊城样板房工程量计算稿" xfId="19156"/>
    <cellStyle name="差_101卫浴五金_110水晶灯_终板 潍坊翡翠华庭样板房清单" xfId="19159"/>
    <cellStyle name="差_101卫浴五金_118仿石砖" xfId="19160"/>
    <cellStyle name="差_101卫浴五金_118仿石砖 2" xfId="19162"/>
    <cellStyle name="差_101卫浴五金_118仿石砖 2 2" xfId="19163"/>
    <cellStyle name="差_101卫浴五金_118仿石砖 3" xfId="19165"/>
    <cellStyle name="差_101卫浴五金_118仿石砖 3 2" xfId="19166"/>
    <cellStyle name="差_101卫浴五金_118仿石砖 4" xfId="19167"/>
    <cellStyle name="差_101卫浴五金_118仿石砖 4 2" xfId="19169"/>
    <cellStyle name="差_101卫浴五金_118仿石砖 5" xfId="19170"/>
    <cellStyle name="差_101卫浴五金_118仿石砖 5 2" xfId="19172"/>
    <cellStyle name="差_101卫浴五金_118仿石砖 6" xfId="19173"/>
    <cellStyle name="差_101卫浴五金_118仿石砖_聊城样板房工程量计算稿" xfId="19176"/>
    <cellStyle name="差_101卫浴五金_118仿石砖_终板 潍坊翡翠华庭样板房清单" xfId="12502"/>
    <cellStyle name="差_101卫浴五金_119仿古砖" xfId="16373"/>
    <cellStyle name="差_101卫浴五金_119仿古砖 2" xfId="19178"/>
    <cellStyle name="差_101卫浴五金_119仿古砖 2 2" xfId="8468"/>
    <cellStyle name="差_101卫浴五金_119仿古砖 3" xfId="19179"/>
    <cellStyle name="差_101卫浴五金_119仿古砖 3 2" xfId="19180"/>
    <cellStyle name="差_101卫浴五金_119仿古砖 4" xfId="19181"/>
    <cellStyle name="差_101卫浴五金_119仿古砖 4 2" xfId="19182"/>
    <cellStyle name="差_101卫浴五金_119仿古砖 5" xfId="19184"/>
    <cellStyle name="差_101卫浴五金_119仿古砖 5 2" xfId="19186"/>
    <cellStyle name="差_101卫浴五金_119仿古砖 6" xfId="15811"/>
    <cellStyle name="差_101卫浴五金_119仿古砖_聊城样板房工程量计算稿" xfId="15349"/>
    <cellStyle name="差_101卫浴五金_119仿古砖_终板 潍坊翡翠华庭样板房清单" xfId="19187"/>
    <cellStyle name="差_101卫浴五金_2009年6月甲供材料模板（29类版）" xfId="170"/>
    <cellStyle name="差_101卫浴五金_2009年6月甲供材料模板（29类版） 2" xfId="19189"/>
    <cellStyle name="差_101卫浴五金_2009年6月甲供材料模板（29类版） 2 2" xfId="19190"/>
    <cellStyle name="差_101卫浴五金_2009年6月甲供材料模板（29类版） 3" xfId="19194"/>
    <cellStyle name="差_101卫浴五金_2009年6月甲供材料模板（29类版） 3 2" xfId="19195"/>
    <cellStyle name="差_101卫浴五金_2009年6月甲供材料模板（29类版） 4" xfId="19199"/>
    <cellStyle name="差_101卫浴五金_2009年6月甲供材料模板（29类版） 4 2" xfId="19200"/>
    <cellStyle name="差_101卫浴五金_2009年6月甲供材料模板（29类版） 5" xfId="19202"/>
    <cellStyle name="差_101卫浴五金_2009年6月甲供材料模板（29类版） 5 2" xfId="19203"/>
    <cellStyle name="差_101卫浴五金_2009年6月甲供材料模板（29类版） 6" xfId="19205"/>
    <cellStyle name="差_101卫浴五金_2009年6月甲供材料模板（29类版）_聊城样板房工程量计算稿" xfId="19206"/>
    <cellStyle name="差_101卫浴五金_2009年6月甲供材料模板（29类版）_终板 潍坊翡翠华庭样板房清单" xfId="19208"/>
    <cellStyle name="差_101卫浴五金_聊城样板房工程量计算稿" xfId="19209"/>
    <cellStyle name="差_101卫浴五金_终板 潍坊翡翠华庭样板房清单" xfId="19211"/>
    <cellStyle name="差_102洁具-陶瓷" xfId="19212"/>
    <cellStyle name="差_102洁具-陶瓷 2" xfId="19213"/>
    <cellStyle name="差_102洁具-陶瓷 2 2" xfId="19215"/>
    <cellStyle name="差_102洁具-陶瓷 2 2 2" xfId="19217"/>
    <cellStyle name="差_102洁具-陶瓷 2 3" xfId="19219"/>
    <cellStyle name="差_102洁具-陶瓷 2 3 2" xfId="19221"/>
    <cellStyle name="差_102洁具-陶瓷 2 4" xfId="4781"/>
    <cellStyle name="差_102洁具-陶瓷 2 4 2" xfId="19223"/>
    <cellStyle name="差_102洁具-陶瓷 2 5" xfId="19224"/>
    <cellStyle name="差_102洁具-陶瓷 2_聊城样板房工程量计算稿" xfId="19225"/>
    <cellStyle name="差_102洁具-陶瓷 2_终板 潍坊翡翠华庭样板房清单" xfId="8712"/>
    <cellStyle name="差_102洁具-陶瓷 3" xfId="19226"/>
    <cellStyle name="差_102洁具-陶瓷 3 2" xfId="19227"/>
    <cellStyle name="差_102洁具-陶瓷 3 2 2" xfId="19229"/>
    <cellStyle name="差_102洁具-陶瓷 3 3" xfId="16479"/>
    <cellStyle name="差_102洁具-陶瓷 3 3 2" xfId="16481"/>
    <cellStyle name="差_102洁具-陶瓷 3 4" xfId="5089"/>
    <cellStyle name="差_102洁具-陶瓷 3 4 2" xfId="16483"/>
    <cellStyle name="差_102洁具-陶瓷 3 5" xfId="16485"/>
    <cellStyle name="差_102洁具-陶瓷 4" xfId="19230"/>
    <cellStyle name="差_102洁具-陶瓷 4 2" xfId="19231"/>
    <cellStyle name="差_102洁具-陶瓷 5" xfId="19232"/>
    <cellStyle name="差_102洁具-陶瓷 5 2" xfId="19233"/>
    <cellStyle name="差_102洁具-陶瓷 6" xfId="19234"/>
    <cellStyle name="差_102洁具-陶瓷 6 2" xfId="19235"/>
    <cellStyle name="差_102洁具-陶瓷 7" xfId="19236"/>
    <cellStyle name="差_102洁具-陶瓷 7 2" xfId="19237"/>
    <cellStyle name="差_102洁具-陶瓷 8" xfId="19238"/>
    <cellStyle name="差_102洁具-陶瓷_1" xfId="19241"/>
    <cellStyle name="差_102洁具-陶瓷_1 2" xfId="19246"/>
    <cellStyle name="差_102洁具-陶瓷_1 2 2" xfId="16368"/>
    <cellStyle name="差_102洁具-陶瓷_1 3" xfId="19251"/>
    <cellStyle name="差_102洁具-陶瓷_1 3 2" xfId="16384"/>
    <cellStyle name="差_102洁具-陶瓷_1 4" xfId="19254"/>
    <cellStyle name="差_102洁具-陶瓷_1 4 2" xfId="16394"/>
    <cellStyle name="差_102洁具-陶瓷_1 5" xfId="19256"/>
    <cellStyle name="差_102洁具-陶瓷_1 5 2" xfId="19257"/>
    <cellStyle name="差_102洁具-陶瓷_1 6" xfId="19258"/>
    <cellStyle name="差_102洁具-陶瓷_1_聊城样板房工程量计算稿" xfId="19259"/>
    <cellStyle name="差_102洁具-陶瓷_1_终板 潍坊翡翠华庭样板房清单" xfId="19260"/>
    <cellStyle name="差_102洁具-陶瓷_102洁具-陶瓷" xfId="19261"/>
    <cellStyle name="差_102洁具-陶瓷_102洁具-陶瓷 2" xfId="19263"/>
    <cellStyle name="差_102洁具-陶瓷_102洁具-陶瓷 2 2" xfId="19265"/>
    <cellStyle name="差_102洁具-陶瓷_102洁具-陶瓷 3" xfId="19267"/>
    <cellStyle name="差_102洁具-陶瓷_102洁具-陶瓷 3 2" xfId="7309"/>
    <cellStyle name="差_102洁具-陶瓷_102洁具-陶瓷 4" xfId="19269"/>
    <cellStyle name="差_102洁具-陶瓷_102洁具-陶瓷 4 2" xfId="7326"/>
    <cellStyle name="差_102洁具-陶瓷_102洁具-陶瓷 5" xfId="19271"/>
    <cellStyle name="差_102洁具-陶瓷_102洁具-陶瓷 5 2" xfId="19272"/>
    <cellStyle name="差_102洁具-陶瓷_102洁具-陶瓷 6" xfId="19275"/>
    <cellStyle name="差_102洁具-陶瓷_102洁具-陶瓷_聊城样板房工程量计算稿" xfId="19277"/>
    <cellStyle name="差_102洁具-陶瓷_102洁具-陶瓷_终板 潍坊翡翠华庭样板房清单" xfId="2972"/>
    <cellStyle name="差_102洁具-陶瓷_105瓷片 " xfId="19280"/>
    <cellStyle name="差_102洁具-陶瓷_105瓷片  2" xfId="15634"/>
    <cellStyle name="差_102洁具-陶瓷_105瓷片  2 2" xfId="15636"/>
    <cellStyle name="差_102洁具-陶瓷_105瓷片  3" xfId="15643"/>
    <cellStyle name="差_102洁具-陶瓷_105瓷片  3 2" xfId="15645"/>
    <cellStyle name="差_102洁具-陶瓷_105瓷片  4" xfId="15649"/>
    <cellStyle name="差_102洁具-陶瓷_105瓷片  4 2" xfId="3416"/>
    <cellStyle name="差_102洁具-陶瓷_105瓷片  5" xfId="19281"/>
    <cellStyle name="差_102洁具-陶瓷_105瓷片  5 2" xfId="3445"/>
    <cellStyle name="差_102洁具-陶瓷_105瓷片  6" xfId="19282"/>
    <cellStyle name="差_102洁具-陶瓷_105瓷片 _聊城样板房工程量计算稿" xfId="19283"/>
    <cellStyle name="差_102洁具-陶瓷_105瓷片 _终板 潍坊翡翠华庭样板房清单" xfId="19284"/>
    <cellStyle name="差_102洁具-陶瓷_109吸顶灯" xfId="786"/>
    <cellStyle name="差_102洁具-陶瓷_109吸顶灯 2" xfId="7969"/>
    <cellStyle name="差_102洁具-陶瓷_109吸顶灯 2 2" xfId="19285"/>
    <cellStyle name="差_102洁具-陶瓷_109吸顶灯 3" xfId="7972"/>
    <cellStyle name="差_102洁具-陶瓷_109吸顶灯 3 2" xfId="7975"/>
    <cellStyle name="差_102洁具-陶瓷_109吸顶灯 4" xfId="7977"/>
    <cellStyle name="差_102洁具-陶瓷_109吸顶灯 4 2" xfId="19286"/>
    <cellStyle name="差_102洁具-陶瓷_109吸顶灯 5" xfId="7980"/>
    <cellStyle name="差_102洁具-陶瓷_109吸顶灯 5 2" xfId="19289"/>
    <cellStyle name="差_102洁具-陶瓷_109吸顶灯 6" xfId="15951"/>
    <cellStyle name="差_102洁具-陶瓷_109吸顶灯_聊城样板房工程量计算稿" xfId="19290"/>
    <cellStyle name="差_102洁具-陶瓷_109吸顶灯_终板 潍坊翡翠华庭样板房清单" xfId="19291"/>
    <cellStyle name="差_102洁具-陶瓷_110水晶灯" xfId="19293"/>
    <cellStyle name="差_102洁具-陶瓷_110水晶灯 2" xfId="9528"/>
    <cellStyle name="差_102洁具-陶瓷_110水晶灯 2 2" xfId="19294"/>
    <cellStyle name="差_102洁具-陶瓷_110水晶灯 3" xfId="19296"/>
    <cellStyle name="差_102洁具-陶瓷_110水晶灯 3 2" xfId="19297"/>
    <cellStyle name="差_102洁具-陶瓷_110水晶灯 4" xfId="19298"/>
    <cellStyle name="差_102洁具-陶瓷_110水晶灯 4 2" xfId="19299"/>
    <cellStyle name="差_102洁具-陶瓷_110水晶灯 5" xfId="19302"/>
    <cellStyle name="差_102洁具-陶瓷_110水晶灯 5 2" xfId="19303"/>
    <cellStyle name="差_102洁具-陶瓷_110水晶灯 6" xfId="19304"/>
    <cellStyle name="差_102洁具-陶瓷_110水晶灯_聊城样板房工程量计算稿" xfId="19306"/>
    <cellStyle name="差_102洁具-陶瓷_110水晶灯_终板 潍坊翡翠华庭样板房清单" xfId="19308"/>
    <cellStyle name="差_102洁具-陶瓷_118仿石砖" xfId="19309"/>
    <cellStyle name="差_102洁具-陶瓷_118仿石砖 2" xfId="19310"/>
    <cellStyle name="差_102洁具-陶瓷_118仿石砖 2 2" xfId="19311"/>
    <cellStyle name="差_102洁具-陶瓷_118仿石砖 3" xfId="19312"/>
    <cellStyle name="差_102洁具-陶瓷_118仿石砖 3 2" xfId="19313"/>
    <cellStyle name="差_102洁具-陶瓷_118仿石砖 4" xfId="19315"/>
    <cellStyle name="差_102洁具-陶瓷_118仿石砖 4 2" xfId="19316"/>
    <cellStyle name="差_102洁具-陶瓷_118仿石砖 5" xfId="19317"/>
    <cellStyle name="差_102洁具-陶瓷_118仿石砖 5 2" xfId="19318"/>
    <cellStyle name="差_102洁具-陶瓷_118仿石砖 6" xfId="19319"/>
    <cellStyle name="差_102洁具-陶瓷_118仿石砖_聊城样板房工程量计算稿" xfId="19321"/>
    <cellStyle name="差_102洁具-陶瓷_118仿石砖_终板 潍坊翡翠华庭样板房清单" xfId="19322"/>
    <cellStyle name="差_102洁具-陶瓷_119仿古砖" xfId="19323"/>
    <cellStyle name="差_102洁具-陶瓷_119仿古砖 2" xfId="19325"/>
    <cellStyle name="差_102洁具-陶瓷_119仿古砖 2 2" xfId="19327"/>
    <cellStyle name="差_102洁具-陶瓷_119仿古砖 3" xfId="19328"/>
    <cellStyle name="差_102洁具-陶瓷_119仿古砖 3 2" xfId="19329"/>
    <cellStyle name="差_102洁具-陶瓷_119仿古砖 4" xfId="19331"/>
    <cellStyle name="差_102洁具-陶瓷_119仿古砖 4 2" xfId="19334"/>
    <cellStyle name="差_102洁具-陶瓷_119仿古砖 5" xfId="19336"/>
    <cellStyle name="差_102洁具-陶瓷_119仿古砖 5 2" xfId="19338"/>
    <cellStyle name="差_102洁具-陶瓷_119仿古砖 6" xfId="19340"/>
    <cellStyle name="差_102洁具-陶瓷_119仿古砖_聊城样板房工程量计算稿" xfId="19342"/>
    <cellStyle name="差_102洁具-陶瓷_119仿古砖_终板 潍坊翡翠华庭样板房清单" xfId="18403"/>
    <cellStyle name="差_102洁具-陶瓷_2009年6月甲供材料模板（29类版）" xfId="5368"/>
    <cellStyle name="差_102洁具-陶瓷_2009年6月甲供材料模板（29类版） 2" xfId="5371"/>
    <cellStyle name="差_102洁具-陶瓷_2009年6月甲供材料模板（29类版） 2 2" xfId="19345"/>
    <cellStyle name="差_102洁具-陶瓷_2009年6月甲供材料模板（29类版） 3" xfId="18710"/>
    <cellStyle name="差_102洁具-陶瓷_2009年6月甲供材料模板（29类版） 3 2" xfId="19348"/>
    <cellStyle name="差_102洁具-陶瓷_2009年6月甲供材料模板（29类版） 4" xfId="18712"/>
    <cellStyle name="差_102洁具-陶瓷_2009年6月甲供材料模板（29类版） 4 2" xfId="19350"/>
    <cellStyle name="差_102洁具-陶瓷_2009年6月甲供材料模板（29类版） 5" xfId="19351"/>
    <cellStyle name="差_102洁具-陶瓷_2009年6月甲供材料模板（29类版） 5 2" xfId="19353"/>
    <cellStyle name="差_102洁具-陶瓷_2009年6月甲供材料模板（29类版） 6" xfId="19354"/>
    <cellStyle name="差_102洁具-陶瓷_2009年6月甲供材料模板（29类版）_聊城样板房工程量计算稿" xfId="19356"/>
    <cellStyle name="差_102洁具-陶瓷_2009年6月甲供材料模板（29类版）_终板 潍坊翡翠华庭样板房清单" xfId="19358"/>
    <cellStyle name="差_102洁具-陶瓷_聊城样板房工程量计算稿" xfId="6421"/>
    <cellStyle name="差_102洁具-陶瓷_终板 潍坊翡翠华庭样板房清单" xfId="18749"/>
    <cellStyle name="差_103洁具-龙头 " xfId="3348"/>
    <cellStyle name="差_103洁具-龙头  2" xfId="3351"/>
    <cellStyle name="差_103洁具-龙头  2 2" xfId="19359"/>
    <cellStyle name="差_103洁具-龙头  2 2 2" xfId="19362"/>
    <cellStyle name="差_103洁具-龙头  2 3" xfId="19364"/>
    <cellStyle name="差_103洁具-龙头  2 3 2" xfId="19365"/>
    <cellStyle name="差_103洁具-龙头  2 4" xfId="19369"/>
    <cellStyle name="差_103洁具-龙头  2 4 2" xfId="19370"/>
    <cellStyle name="差_103洁具-龙头  2 5" xfId="19372"/>
    <cellStyle name="差_103洁具-龙头  2_聊城样板房工程量计算稿" xfId="19373"/>
    <cellStyle name="差_103洁具-龙头  2_终板 潍坊翡翠华庭样板房清单" xfId="19375"/>
    <cellStyle name="差_103洁具-龙头  3" xfId="15445"/>
    <cellStyle name="差_103洁具-龙头  3 2" xfId="15450"/>
    <cellStyle name="差_103洁具-龙头  3 2 2" xfId="15458"/>
    <cellStyle name="差_103洁具-龙头  3 3" xfId="15463"/>
    <cellStyle name="差_103洁具-龙头  3 3 2" xfId="15465"/>
    <cellStyle name="差_103洁具-龙头  3 4" xfId="15472"/>
    <cellStyle name="差_103洁具-龙头  3 4 2" xfId="6008"/>
    <cellStyle name="差_103洁具-龙头  3 5" xfId="15475"/>
    <cellStyle name="差_103洁具-龙头  4" xfId="15477"/>
    <cellStyle name="差_103洁具-龙头  4 2" xfId="15483"/>
    <cellStyle name="差_103洁具-龙头  5" xfId="15500"/>
    <cellStyle name="差_103洁具-龙头  5 2" xfId="15506"/>
    <cellStyle name="差_103洁具-龙头  6" xfId="15514"/>
    <cellStyle name="差_103洁具-龙头  6 2" xfId="15517"/>
    <cellStyle name="差_103洁具-龙头  7" xfId="15519"/>
    <cellStyle name="差_103洁具-龙头  7 2" xfId="19376"/>
    <cellStyle name="差_103洁具-龙头  8" xfId="19377"/>
    <cellStyle name="差_103洁具-龙头 _102洁具-陶瓷" xfId="10527"/>
    <cellStyle name="差_103洁具-龙头 _102洁具-陶瓷 2" xfId="10531"/>
    <cellStyle name="差_103洁具-龙头 _102洁具-陶瓷 2 2" xfId="10532"/>
    <cellStyle name="差_103洁具-龙头 _102洁具-陶瓷 3" xfId="10535"/>
    <cellStyle name="差_103洁具-龙头 _102洁具-陶瓷 3 2" xfId="10537"/>
    <cellStyle name="差_103洁具-龙头 _102洁具-陶瓷 4" xfId="10540"/>
    <cellStyle name="差_103洁具-龙头 _102洁具-陶瓷 4 2" xfId="10542"/>
    <cellStyle name="差_103洁具-龙头 _102洁具-陶瓷 5" xfId="10545"/>
    <cellStyle name="差_103洁具-龙头 _102洁具-陶瓷 5 2" xfId="19378"/>
    <cellStyle name="差_103洁具-龙头 _102洁具-陶瓷 6" xfId="19380"/>
    <cellStyle name="差_103洁具-龙头 _102洁具-陶瓷_聊城样板房工程量计算稿" xfId="19381"/>
    <cellStyle name="差_103洁具-龙头 _102洁具-陶瓷_终板 潍坊翡翠华庭样板房清单" xfId="1554"/>
    <cellStyle name="差_103洁具-龙头 _105瓷片 " xfId="12596"/>
    <cellStyle name="差_103洁具-龙头 _105瓷片  2" xfId="12598"/>
    <cellStyle name="差_103洁具-龙头 _105瓷片  2 2" xfId="12600"/>
    <cellStyle name="差_103洁具-龙头 _105瓷片  3" xfId="12602"/>
    <cellStyle name="差_103洁具-龙头 _105瓷片  3 2" xfId="2117"/>
    <cellStyle name="差_103洁具-龙头 _105瓷片  4" xfId="12607"/>
    <cellStyle name="差_103洁具-龙头 _105瓷片  4 2" xfId="12611"/>
    <cellStyle name="差_103洁具-龙头 _105瓷片  5" xfId="12613"/>
    <cellStyle name="差_103洁具-龙头 _105瓷片  5 2" xfId="19383"/>
    <cellStyle name="差_103洁具-龙头 _105瓷片  6" xfId="19386"/>
    <cellStyle name="差_103洁具-龙头 _105瓷片 _聊城样板房工程量计算稿" xfId="19388"/>
    <cellStyle name="差_103洁具-龙头 _105瓷片 _终板 潍坊翡翠华庭样板房清单" xfId="16891"/>
    <cellStyle name="差_103洁具-龙头 _109吸顶灯" xfId="19389"/>
    <cellStyle name="差_103洁具-龙头 _109吸顶灯 2" xfId="19391"/>
    <cellStyle name="差_103洁具-龙头 _109吸顶灯 2 2" xfId="2904"/>
    <cellStyle name="差_103洁具-龙头 _109吸顶灯 3" xfId="19393"/>
    <cellStyle name="差_103洁具-龙头 _109吸顶灯 3 2" xfId="2979"/>
    <cellStyle name="差_103洁具-龙头 _109吸顶灯 4" xfId="19396"/>
    <cellStyle name="差_103洁具-龙头 _109吸顶灯 4 2" xfId="3045"/>
    <cellStyle name="差_103洁具-龙头 _109吸顶灯 5" xfId="14957"/>
    <cellStyle name="差_103洁具-龙头 _109吸顶灯 5 2" xfId="3112"/>
    <cellStyle name="差_103洁具-龙头 _109吸顶灯 6" xfId="14961"/>
    <cellStyle name="差_103洁具-龙头 _109吸顶灯_聊城样板房工程量计算稿" xfId="19401"/>
    <cellStyle name="差_103洁具-龙头 _109吸顶灯_终板 潍坊翡翠华庭样板房清单" xfId="11854"/>
    <cellStyle name="差_103洁具-龙头 _110水晶灯" xfId="2827"/>
    <cellStyle name="差_103洁具-龙头 _110水晶灯 2" xfId="1868"/>
    <cellStyle name="差_103洁具-龙头 _110水晶灯 2 2" xfId="19402"/>
    <cellStyle name="差_103洁具-龙头 _110水晶灯 3" xfId="19307"/>
    <cellStyle name="差_103洁具-龙头 _110水晶灯 3 2" xfId="19404"/>
    <cellStyle name="差_103洁具-龙头 _110水晶灯 4" xfId="19405"/>
    <cellStyle name="差_103洁具-龙头 _110水晶灯 4 2" xfId="19406"/>
    <cellStyle name="差_103洁具-龙头 _110水晶灯 5" xfId="19407"/>
    <cellStyle name="差_103洁具-龙头 _110水晶灯 5 2" xfId="19408"/>
    <cellStyle name="差_103洁具-龙头 _110水晶灯 6" xfId="19409"/>
    <cellStyle name="差_103洁具-龙头 _110水晶灯_聊城样板房工程量计算稿" xfId="19410"/>
    <cellStyle name="差_103洁具-龙头 _110水晶灯_终板 潍坊翡翠华庭样板房清单" xfId="19411"/>
    <cellStyle name="差_103洁具-龙头 _118仿石砖" xfId="2333"/>
    <cellStyle name="差_103洁具-龙头 _118仿石砖 2" xfId="2336"/>
    <cellStyle name="差_103洁具-龙头 _118仿石砖 2 2" xfId="8984"/>
    <cellStyle name="差_103洁具-龙头 _118仿石砖 3" xfId="12067"/>
    <cellStyle name="差_103洁具-龙头 _118仿石砖 3 2" xfId="9008"/>
    <cellStyle name="差_103洁具-龙头 _118仿石砖 4" xfId="12069"/>
    <cellStyle name="差_103洁具-龙头 _118仿石砖 4 2" xfId="9017"/>
    <cellStyle name="差_103洁具-龙头 _118仿石砖 5" xfId="12071"/>
    <cellStyle name="差_103洁具-龙头 _118仿石砖 5 2" xfId="9030"/>
    <cellStyle name="差_103洁具-龙头 _118仿石砖 6" xfId="12073"/>
    <cellStyle name="差_103洁具-龙头 _118仿石砖_聊城样板房工程量计算稿" xfId="9406"/>
    <cellStyle name="差_103洁具-龙头 _118仿石砖_终板 潍坊翡翠华庭样板房清单" xfId="5856"/>
    <cellStyle name="差_103洁具-龙头 _119仿古砖" xfId="10048"/>
    <cellStyle name="差_103洁具-龙头 _119仿古砖 2" xfId="10050"/>
    <cellStyle name="差_103洁具-龙头 _119仿古砖 2 2" xfId="10053"/>
    <cellStyle name="差_103洁具-龙头 _119仿古砖 3" xfId="5657"/>
    <cellStyle name="差_103洁具-龙头 _119仿古砖 3 2" xfId="10055"/>
    <cellStyle name="差_103洁具-龙头 _119仿古砖 4" xfId="10057"/>
    <cellStyle name="差_103洁具-龙头 _119仿古砖 4 2" xfId="10059"/>
    <cellStyle name="差_103洁具-龙头 _119仿古砖 5" xfId="9795"/>
    <cellStyle name="差_103洁具-龙头 _119仿古砖 5 2" xfId="19412"/>
    <cellStyle name="差_103洁具-龙头 _119仿古砖 6" xfId="19413"/>
    <cellStyle name="差_103洁具-龙头 _119仿古砖_聊城样板房工程量计算稿" xfId="19415"/>
    <cellStyle name="差_103洁具-龙头 _119仿古砖_终板 潍坊翡翠华庭样板房清单" xfId="6639"/>
    <cellStyle name="差_103洁具-龙头 _2009年6月甲供材料模板（29类版）" xfId="19416"/>
    <cellStyle name="差_103洁具-龙头 _2009年6月甲供材料模板（29类版） 2" xfId="19417"/>
    <cellStyle name="差_103洁具-龙头 _2009年6月甲供材料模板（29类版） 2 2" xfId="19419"/>
    <cellStyle name="差_103洁具-龙头 _2009年6月甲供材料模板（29类版） 3" xfId="6690"/>
    <cellStyle name="差_103洁具-龙头 _2009年6月甲供材料模板（29类版） 3 2" xfId="6692"/>
    <cellStyle name="差_103洁具-龙头 _2009年6月甲供材料模板（29类版） 4" xfId="6694"/>
    <cellStyle name="差_103洁具-龙头 _2009年6月甲供材料模板（29类版） 4 2" xfId="6696"/>
    <cellStyle name="差_103洁具-龙头 _2009年6月甲供材料模板（29类版） 5" xfId="6698"/>
    <cellStyle name="差_103洁具-龙头 _2009年6月甲供材料模板（29类版） 5 2" xfId="19420"/>
    <cellStyle name="差_103洁具-龙头 _2009年6月甲供材料模板（29类版） 6" xfId="19421"/>
    <cellStyle name="差_103洁具-龙头 _2009年6月甲供材料模板（29类版）_聊城样板房工程量计算稿" xfId="19422"/>
    <cellStyle name="差_103洁具-龙头 _2009年6月甲供材料模板（29类版）_终板 潍坊翡翠华庭样板房清单" xfId="19424"/>
    <cellStyle name="差_103洁具-龙头 _聊城样板房工程量计算稿" xfId="19425"/>
    <cellStyle name="差_103洁具-龙头 _终板 潍坊翡翠华庭样板房清单" xfId="19426"/>
    <cellStyle name="差_104抛光砖" xfId="19431"/>
    <cellStyle name="差_104抛光砖 2" xfId="19433"/>
    <cellStyle name="差_104抛光砖 2 2" xfId="10027"/>
    <cellStyle name="差_104抛光砖 2 2 2" xfId="19434"/>
    <cellStyle name="差_104抛光砖 2 3" xfId="19437"/>
    <cellStyle name="差_104抛光砖 2 3 2" xfId="19438"/>
    <cellStyle name="差_104抛光砖 2 4" xfId="19440"/>
    <cellStyle name="差_104抛光砖 2 4 2" xfId="19441"/>
    <cellStyle name="差_104抛光砖 2 5" xfId="19443"/>
    <cellStyle name="差_104抛光砖 2_聊城样板房工程量计算稿" xfId="19446"/>
    <cellStyle name="差_104抛光砖 2_终板 潍坊翡翠华庭样板房清单" xfId="19447"/>
    <cellStyle name="差_104抛光砖 3" xfId="19449"/>
    <cellStyle name="差_104抛光砖 3 2" xfId="5635"/>
    <cellStyle name="差_104抛光砖 3 2 2" xfId="4032"/>
    <cellStyle name="差_104抛光砖 3 3" xfId="5641"/>
    <cellStyle name="差_104抛光砖 3 3 2" xfId="19450"/>
    <cellStyle name="差_104抛光砖 3 4" xfId="19451"/>
    <cellStyle name="差_104抛光砖 3 4 2" xfId="19452"/>
    <cellStyle name="差_104抛光砖 3 5" xfId="19454"/>
    <cellStyle name="差_104抛光砖 4" xfId="9790"/>
    <cellStyle name="差_104抛光砖 4 2" xfId="961"/>
    <cellStyle name="差_104抛光砖 5" xfId="9792"/>
    <cellStyle name="差_104抛光砖 5 2" xfId="9794"/>
    <cellStyle name="差_104抛光砖 6" xfId="2856"/>
    <cellStyle name="差_104抛光砖 6 2" xfId="9798"/>
    <cellStyle name="差_104抛光砖 7" xfId="9801"/>
    <cellStyle name="差_104抛光砖 7 2" xfId="10089"/>
    <cellStyle name="差_104抛光砖 8" xfId="19418"/>
    <cellStyle name="差_104抛光砖_1" xfId="8680"/>
    <cellStyle name="差_104抛光砖_1 2" xfId="19455"/>
    <cellStyle name="差_104抛光砖_1 2 2" xfId="19457"/>
    <cellStyle name="差_104抛光砖_1 3" xfId="19458"/>
    <cellStyle name="差_104抛光砖_1 3 2" xfId="19459"/>
    <cellStyle name="差_104抛光砖_1 4" xfId="19460"/>
    <cellStyle name="差_104抛光砖_1 4 2" xfId="19461"/>
    <cellStyle name="差_104抛光砖_1 5" xfId="19462"/>
    <cellStyle name="差_104抛光砖_1 5 2" xfId="19463"/>
    <cellStyle name="差_104抛光砖_1 6" xfId="19464"/>
    <cellStyle name="差_104抛光砖_1_聊城样板房工程量计算稿" xfId="11836"/>
    <cellStyle name="差_104抛光砖_1_终板 潍坊翡翠华庭样板房清单" xfId="11549"/>
    <cellStyle name="差_104抛光砖_102洁具-陶瓷" xfId="19466"/>
    <cellStyle name="差_104抛光砖_102洁具-陶瓷 2" xfId="16798"/>
    <cellStyle name="差_104抛光砖_102洁具-陶瓷 2 2" xfId="639"/>
    <cellStyle name="差_104抛光砖_102洁具-陶瓷 3" xfId="19467"/>
    <cellStyle name="差_104抛光砖_102洁具-陶瓷 3 2" xfId="1515"/>
    <cellStyle name="差_104抛光砖_102洁具-陶瓷 4" xfId="19468"/>
    <cellStyle name="差_104抛光砖_102洁具-陶瓷 4 2" xfId="1525"/>
    <cellStyle name="差_104抛光砖_102洁具-陶瓷 5" xfId="4484"/>
    <cellStyle name="差_104抛光砖_102洁具-陶瓷 5 2" xfId="4486"/>
    <cellStyle name="差_104抛光砖_102洁具-陶瓷 6" xfId="4510"/>
    <cellStyle name="差_104抛光砖_102洁具-陶瓷_聊城样板房工程量计算稿" xfId="1180"/>
    <cellStyle name="差_104抛光砖_102洁具-陶瓷_终板 潍坊翡翠华庭样板房清单" xfId="15455"/>
    <cellStyle name="差_104抛光砖_105瓷片 " xfId="19469"/>
    <cellStyle name="差_104抛光砖_105瓷片  2" xfId="19470"/>
    <cellStyle name="差_104抛光砖_105瓷片  2 2" xfId="4824"/>
    <cellStyle name="差_104抛光砖_105瓷片  3" xfId="6519"/>
    <cellStyle name="差_104抛光砖_105瓷片  3 2" xfId="215"/>
    <cellStyle name="差_104抛光砖_105瓷片  4" xfId="6539"/>
    <cellStyle name="差_104抛光砖_105瓷片  4 2" xfId="5944"/>
    <cellStyle name="差_104抛光砖_105瓷片  5" xfId="6541"/>
    <cellStyle name="差_104抛光砖_105瓷片  5 2" xfId="6543"/>
    <cellStyle name="差_104抛光砖_105瓷片  6" xfId="5709"/>
    <cellStyle name="差_104抛光砖_105瓷片 _聊城样板房工程量计算稿" xfId="19471"/>
    <cellStyle name="差_104抛光砖_105瓷片 _终板 潍坊翡翠华庭样板房清单" xfId="19472"/>
    <cellStyle name="差_104抛光砖_109吸顶灯" xfId="19473"/>
    <cellStyle name="差_104抛光砖_109吸顶灯 2" xfId="19477"/>
    <cellStyle name="差_104抛光砖_109吸顶灯 2 2" xfId="19480"/>
    <cellStyle name="差_104抛光砖_109吸顶灯 3" xfId="19482"/>
    <cellStyle name="差_104抛光砖_109吸顶灯 3 2" xfId="19485"/>
    <cellStyle name="差_104抛光砖_109吸顶灯 4" xfId="19487"/>
    <cellStyle name="差_104抛光砖_109吸顶灯 4 2" xfId="19490"/>
    <cellStyle name="差_104抛光砖_109吸顶灯 5" xfId="19492"/>
    <cellStyle name="差_104抛光砖_109吸顶灯 5 2" xfId="19494"/>
    <cellStyle name="差_104抛光砖_109吸顶灯 6" xfId="19497"/>
    <cellStyle name="差_104抛光砖_109吸顶灯_聊城样板房工程量计算稿" xfId="16921"/>
    <cellStyle name="差_104抛光砖_109吸顶灯_终板 潍坊翡翠华庭样板房清单" xfId="12836"/>
    <cellStyle name="差_104抛光砖_110水晶灯" xfId="10052"/>
    <cellStyle name="差_104抛光砖_110水晶灯 2" xfId="19499"/>
    <cellStyle name="差_104抛光砖_110水晶灯 2 2" xfId="19500"/>
    <cellStyle name="差_104抛光砖_110水晶灯 3" xfId="8720"/>
    <cellStyle name="差_104抛光砖_110水晶灯 3 2" xfId="8722"/>
    <cellStyle name="差_104抛光砖_110水晶灯 4" xfId="19501"/>
    <cellStyle name="差_104抛光砖_110水晶灯 4 2" xfId="19504"/>
    <cellStyle name="差_104抛光砖_110水晶灯 5" xfId="19506"/>
    <cellStyle name="差_104抛光砖_110水晶灯 5 2" xfId="19508"/>
    <cellStyle name="差_104抛光砖_110水晶灯 6" xfId="19509"/>
    <cellStyle name="差_104抛光砖_110水晶灯_聊城样板房工程量计算稿" xfId="17645"/>
    <cellStyle name="差_104抛光砖_110水晶灯_终板 潍坊翡翠华庭样板房清单" xfId="19510"/>
    <cellStyle name="差_104抛光砖_118仿石砖" xfId="14377"/>
    <cellStyle name="差_104抛光砖_118仿石砖 2" xfId="14381"/>
    <cellStyle name="差_104抛光砖_118仿石砖 2 2" xfId="19512"/>
    <cellStyle name="差_104抛光砖_118仿石砖 3" xfId="19514"/>
    <cellStyle name="差_104抛光砖_118仿石砖 3 2" xfId="19516"/>
    <cellStyle name="差_104抛光砖_118仿石砖 4" xfId="4919"/>
    <cellStyle name="差_104抛光砖_118仿石砖 4 2" xfId="19517"/>
    <cellStyle name="差_104抛光砖_118仿石砖 5" xfId="19518"/>
    <cellStyle name="差_104抛光砖_118仿石砖 5 2" xfId="19519"/>
    <cellStyle name="差_104抛光砖_118仿石砖 6" xfId="19520"/>
    <cellStyle name="差_104抛光砖_118仿石砖_聊城样板房工程量计算稿" xfId="2428"/>
    <cellStyle name="差_104抛光砖_118仿石砖_终板 潍坊翡翠华庭样板房清单" xfId="19521"/>
    <cellStyle name="差_104抛光砖_119仿古砖" xfId="19522"/>
    <cellStyle name="差_104抛光砖_119仿古砖 2" xfId="19523"/>
    <cellStyle name="差_104抛光砖_119仿古砖 2 2" xfId="3763"/>
    <cellStyle name="差_104抛光砖_119仿古砖 3" xfId="19525"/>
    <cellStyle name="差_104抛光砖_119仿古砖 3 2" xfId="3769"/>
    <cellStyle name="差_104抛光砖_119仿古砖 4" xfId="19527"/>
    <cellStyle name="差_104抛光砖_119仿古砖 4 2" xfId="5594"/>
    <cellStyle name="差_104抛光砖_119仿古砖 5" xfId="19529"/>
    <cellStyle name="差_104抛光砖_119仿古砖 5 2" xfId="5643"/>
    <cellStyle name="差_104抛光砖_119仿古砖 6" xfId="19532"/>
    <cellStyle name="差_104抛光砖_119仿古砖_聊城样板房工程量计算稿" xfId="2297"/>
    <cellStyle name="差_104抛光砖_119仿古砖_终板 潍坊翡翠华庭样板房清单" xfId="19533"/>
    <cellStyle name="差_104抛光砖_2009年6月甲供材料模板（29类版）" xfId="19534"/>
    <cellStyle name="差_104抛光砖_2009年6月甲供材料模板（29类版） 2" xfId="19536"/>
    <cellStyle name="差_104抛光砖_2009年6月甲供材料模板（29类版） 2 2" xfId="16627"/>
    <cellStyle name="差_104抛光砖_2009年6月甲供材料模板（29类版） 3" xfId="19537"/>
    <cellStyle name="差_104抛光砖_2009年6月甲供材料模板（29类版） 3 2" xfId="16637"/>
    <cellStyle name="差_104抛光砖_2009年6月甲供材料模板（29类版） 4" xfId="19539"/>
    <cellStyle name="差_104抛光砖_2009年6月甲供材料模板（29类版） 4 2" xfId="19540"/>
    <cellStyle name="差_104抛光砖_2009年6月甲供材料模板（29类版） 5" xfId="19541"/>
    <cellStyle name="差_104抛光砖_2009年6月甲供材料模板（29类版） 5 2" xfId="19542"/>
    <cellStyle name="差_104抛光砖_2009年6月甲供材料模板（29类版） 6" xfId="19543"/>
    <cellStyle name="差_104抛光砖_2009年6月甲供材料模板（29类版）_聊城样板房工程量计算稿" xfId="19545"/>
    <cellStyle name="差_104抛光砖_2009年6月甲供材料模板（29类版）_终板 潍坊翡翠华庭样板房清单" xfId="19546"/>
    <cellStyle name="差_104抛光砖_编码细则" xfId="19547"/>
    <cellStyle name="差_104抛光砖_编码细则 2" xfId="19548"/>
    <cellStyle name="差_104抛光砖_编码细则 2 2" xfId="19550"/>
    <cellStyle name="差_104抛光砖_编码细则 3" xfId="19551"/>
    <cellStyle name="差_104抛光砖_编码细则 3 2" xfId="19553"/>
    <cellStyle name="差_104抛光砖_编码细则 4" xfId="4697"/>
    <cellStyle name="差_104抛光砖_编码细则 4 2" xfId="19554"/>
    <cellStyle name="差_104抛光砖_编码细则 5" xfId="19555"/>
    <cellStyle name="差_104抛光砖_编码细则 5 2" xfId="10547"/>
    <cellStyle name="差_104抛光砖_编码细则 6" xfId="19557"/>
    <cellStyle name="差_104抛光砖_编码细则_聊城样板房工程量计算稿" xfId="19558"/>
    <cellStyle name="差_104抛光砖_编码细则_终板 潍坊翡翠华庭样板房清单" xfId="17843"/>
    <cellStyle name="差_104抛光砖_聊城样板房工程量计算稿" xfId="16749"/>
    <cellStyle name="差_104抛光砖_终板 潍坊翡翠华庭样板房清单" xfId="19559"/>
    <cellStyle name="差_105瓷片 " xfId="19560"/>
    <cellStyle name="差_105瓷片  2" xfId="19561"/>
    <cellStyle name="差_105瓷片  2 2" xfId="19330"/>
    <cellStyle name="差_105瓷片  2 2 2" xfId="19333"/>
    <cellStyle name="差_105瓷片  2 3" xfId="19335"/>
    <cellStyle name="差_105瓷片  2 3 2" xfId="19337"/>
    <cellStyle name="差_105瓷片  2 4" xfId="19339"/>
    <cellStyle name="差_105瓷片  2 4 2" xfId="19563"/>
    <cellStyle name="差_105瓷片  2 5" xfId="19564"/>
    <cellStyle name="差_105瓷片  2_聊城样板房工程量计算稿" xfId="19562"/>
    <cellStyle name="差_105瓷片  2_终板 潍坊翡翠华庭样板房清单" xfId="19565"/>
    <cellStyle name="差_105瓷片  3" xfId="19566"/>
    <cellStyle name="差_105瓷片  3 2" xfId="19568"/>
    <cellStyle name="差_105瓷片  3 2 2" xfId="19569"/>
    <cellStyle name="差_105瓷片  3 3" xfId="8926"/>
    <cellStyle name="差_105瓷片  3 3 2" xfId="19570"/>
    <cellStyle name="差_105瓷片  3 4" xfId="19571"/>
    <cellStyle name="差_105瓷片  3 4 2" xfId="19572"/>
    <cellStyle name="差_105瓷片  3 5" xfId="19573"/>
    <cellStyle name="差_105瓷片  4" xfId="19574"/>
    <cellStyle name="差_105瓷片  4 2" xfId="19575"/>
    <cellStyle name="差_105瓷片  5" xfId="19577"/>
    <cellStyle name="差_105瓷片  5 2" xfId="19578"/>
    <cellStyle name="差_105瓷片  6" xfId="19579"/>
    <cellStyle name="差_105瓷片  6 2" xfId="19580"/>
    <cellStyle name="差_105瓷片  7" xfId="10493"/>
    <cellStyle name="差_105瓷片  7 2" xfId="19581"/>
    <cellStyle name="差_105瓷片  8" xfId="19582"/>
    <cellStyle name="差_105瓷片 _1" xfId="19584"/>
    <cellStyle name="差_105瓷片 _1 2" xfId="19586"/>
    <cellStyle name="差_105瓷片 _1 2 2" xfId="14375"/>
    <cellStyle name="差_105瓷片 _1 3" xfId="19588"/>
    <cellStyle name="差_105瓷片 _1 3 2" xfId="14446"/>
    <cellStyle name="差_105瓷片 _1 4" xfId="19589"/>
    <cellStyle name="差_105瓷片 _1 4 2" xfId="14489"/>
    <cellStyle name="差_105瓷片 _1 5" xfId="19590"/>
    <cellStyle name="差_105瓷片 _1 5 2" xfId="14527"/>
    <cellStyle name="差_105瓷片 _1 6" xfId="19591"/>
    <cellStyle name="差_105瓷片 _1_聊城样板房工程量计算稿" xfId="11743"/>
    <cellStyle name="差_105瓷片 _1_终板 潍坊翡翠华庭样板房清单" xfId="17125"/>
    <cellStyle name="差_105瓷片 _102洁具-陶瓷" xfId="19592"/>
    <cellStyle name="差_105瓷片 _102洁具-陶瓷 2" xfId="19594"/>
    <cellStyle name="差_105瓷片 _102洁具-陶瓷 2 2" xfId="9472"/>
    <cellStyle name="差_105瓷片 _102洁具-陶瓷 3" xfId="19596"/>
    <cellStyle name="差_105瓷片 _102洁具-陶瓷 3 2" xfId="19597"/>
    <cellStyle name="差_105瓷片 _102洁具-陶瓷 4" xfId="19601"/>
    <cellStyle name="差_105瓷片 _102洁具-陶瓷 4 2" xfId="19295"/>
    <cellStyle name="差_105瓷片 _102洁具-陶瓷 5" xfId="19603"/>
    <cellStyle name="差_105瓷片 _102洁具-陶瓷 5 2" xfId="19604"/>
    <cellStyle name="差_105瓷片 _102洁具-陶瓷 6" xfId="19606"/>
    <cellStyle name="差_105瓷片 _102洁具-陶瓷_聊城样板房工程量计算稿" xfId="19608"/>
    <cellStyle name="差_105瓷片 _102洁具-陶瓷_终板 潍坊翡翠华庭样板房清单" xfId="19609"/>
    <cellStyle name="差_105瓷片 _105瓷片 " xfId="19612"/>
    <cellStyle name="差_105瓷片 _105瓷片  2" xfId="19615"/>
    <cellStyle name="差_105瓷片 _105瓷片  2 2" xfId="19618"/>
    <cellStyle name="差_105瓷片 _105瓷片  3" xfId="19620"/>
    <cellStyle name="差_105瓷片 _105瓷片  3 2" xfId="19622"/>
    <cellStyle name="差_105瓷片 _105瓷片  4" xfId="19624"/>
    <cellStyle name="差_105瓷片 _105瓷片  4 2" xfId="19627"/>
    <cellStyle name="差_105瓷片 _105瓷片  5" xfId="19629"/>
    <cellStyle name="差_105瓷片 _105瓷片  5 2" xfId="19631"/>
    <cellStyle name="差_105瓷片 _105瓷片  6" xfId="19632"/>
    <cellStyle name="差_105瓷片 _105瓷片 _聊城样板房工程量计算稿" xfId="19635"/>
    <cellStyle name="差_105瓷片 _105瓷片 _终板 潍坊翡翠华庭样板房清单" xfId="19638"/>
    <cellStyle name="差_105瓷片 _109吸顶灯" xfId="12878"/>
    <cellStyle name="差_105瓷片 _109吸顶灯 2" xfId="14334"/>
    <cellStyle name="差_105瓷片 _109吸顶灯 2 2" xfId="10709"/>
    <cellStyle name="差_105瓷片 _109吸顶灯 3" xfId="3896"/>
    <cellStyle name="差_105瓷片 _109吸顶灯 3 2" xfId="7235"/>
    <cellStyle name="差_105瓷片 _109吸顶灯 4" xfId="7237"/>
    <cellStyle name="差_105瓷片 _109吸顶灯 4 2" xfId="7239"/>
    <cellStyle name="差_105瓷片 _109吸顶灯 5" xfId="7241"/>
    <cellStyle name="差_105瓷片 _109吸顶灯 5 2" xfId="7243"/>
    <cellStyle name="差_105瓷片 _109吸顶灯 6" xfId="2070"/>
    <cellStyle name="差_105瓷片 _109吸顶灯_聊城样板房工程量计算稿" xfId="6996"/>
    <cellStyle name="差_105瓷片 _109吸顶灯_终板 潍坊翡翠华庭样板房清单" xfId="12390"/>
    <cellStyle name="差_105瓷片 _110水晶灯" xfId="19639"/>
    <cellStyle name="差_105瓷片 _110水晶灯 2" xfId="19640"/>
    <cellStyle name="差_105瓷片 _110水晶灯 2 2" xfId="19255"/>
    <cellStyle name="差_105瓷片 _110水晶灯 3" xfId="9240"/>
    <cellStyle name="差_105瓷片 _110水晶灯 3 2" xfId="19641"/>
    <cellStyle name="差_105瓷片 _110水晶灯 4" xfId="19642"/>
    <cellStyle name="差_105瓷片 _110水晶灯 4 2" xfId="19645"/>
    <cellStyle name="差_105瓷片 _110水晶灯 5" xfId="19646"/>
    <cellStyle name="差_105瓷片 _110水晶灯 5 2" xfId="19648"/>
    <cellStyle name="差_105瓷片 _110水晶灯 6" xfId="7773"/>
    <cellStyle name="差_105瓷片 _110水晶灯_聊城样板房工程量计算稿" xfId="19649"/>
    <cellStyle name="差_105瓷片 _110水晶灯_终板 潍坊翡翠华庭样板房清单" xfId="17568"/>
    <cellStyle name="差_105瓷片 _118仿石砖" xfId="18441"/>
    <cellStyle name="差_105瓷片 _118仿石砖 2" xfId="19652"/>
    <cellStyle name="差_105瓷片 _118仿石砖 2 2" xfId="19657"/>
    <cellStyle name="差_105瓷片 _118仿石砖 3" xfId="19660"/>
    <cellStyle name="差_105瓷片 _118仿石砖 3 2" xfId="19664"/>
    <cellStyle name="差_105瓷片 _118仿石砖 4" xfId="19668"/>
    <cellStyle name="差_105瓷片 _118仿石砖 4 2" xfId="19669"/>
    <cellStyle name="差_105瓷片 _118仿石砖 5" xfId="19670"/>
    <cellStyle name="差_105瓷片 _118仿石砖 5 2" xfId="19671"/>
    <cellStyle name="差_105瓷片 _118仿石砖 6" xfId="19207"/>
    <cellStyle name="差_105瓷片 _118仿石砖_聊城样板房工程量计算稿" xfId="1694"/>
    <cellStyle name="差_105瓷片 _118仿石砖_终板 潍坊翡翠华庭样板房清单" xfId="19672"/>
    <cellStyle name="差_105瓷片 _119仿古砖" xfId="19445"/>
    <cellStyle name="差_105瓷片 _119仿古砖 2" xfId="17454"/>
    <cellStyle name="差_105瓷片 _119仿古砖 2 2" xfId="17457"/>
    <cellStyle name="差_105瓷片 _119仿古砖 3" xfId="5231"/>
    <cellStyle name="差_105瓷片 _119仿古砖 3 2" xfId="19674"/>
    <cellStyle name="差_105瓷片 _119仿古砖 4" xfId="17467"/>
    <cellStyle name="差_105瓷片 _119仿古砖 4 2" xfId="19675"/>
    <cellStyle name="差_105瓷片 _119仿古砖 5" xfId="17470"/>
    <cellStyle name="差_105瓷片 _119仿古砖 5 2" xfId="19676"/>
    <cellStyle name="差_105瓷片 _119仿古砖 6" xfId="17473"/>
    <cellStyle name="差_105瓷片 _119仿古砖_聊城样板房工程量计算稿" xfId="19677"/>
    <cellStyle name="差_105瓷片 _119仿古砖_终板 潍坊翡翠华庭样板房清单" xfId="19678"/>
    <cellStyle name="差_105瓷片 _2009年6月甲供材料模板（29类版）" xfId="17164"/>
    <cellStyle name="差_105瓷片 _2009年6月甲供材料模板（29类版） 2" xfId="17167"/>
    <cellStyle name="差_105瓷片 _2009年6月甲供材料模板（29类版） 2 2" xfId="17169"/>
    <cellStyle name="差_105瓷片 _2009年6月甲供材料模板（29类版） 3" xfId="2099"/>
    <cellStyle name="差_105瓷片 _2009年6月甲供材料模板（29类版） 3 2" xfId="19679"/>
    <cellStyle name="差_105瓷片 _2009年6月甲供材料模板（29类版） 4" xfId="17171"/>
    <cellStyle name="差_105瓷片 _2009年6月甲供材料模板（29类版） 4 2" xfId="19680"/>
    <cellStyle name="差_105瓷片 _2009年6月甲供材料模板（29类版） 5" xfId="17177"/>
    <cellStyle name="差_105瓷片 _2009年6月甲供材料模板（29类版） 5 2" xfId="19682"/>
    <cellStyle name="差_105瓷片 _2009年6月甲供材料模板（29类版） 6" xfId="17182"/>
    <cellStyle name="差_105瓷片 _2009年6月甲供材料模板（29类版）_聊城样板房工程量计算稿" xfId="15688"/>
    <cellStyle name="差_105瓷片 _2009年6月甲供材料模板（29类版）_终板 潍坊翡翠华庭样板房清单" xfId="19684"/>
    <cellStyle name="差_105瓷片 _聊城样板房工程量计算稿" xfId="18119"/>
    <cellStyle name="差_105瓷片 _终板 潍坊翡翠华庭样板房清单" xfId="19686"/>
    <cellStyle name="差_107开关面板" xfId="19689"/>
    <cellStyle name="差_107开关面板 2" xfId="19690"/>
    <cellStyle name="差_107开关面板 2 2" xfId="19691"/>
    <cellStyle name="差_107开关面板 2 2 2" xfId="19692"/>
    <cellStyle name="差_107开关面板 2 3" xfId="19693"/>
    <cellStyle name="差_107开关面板 2 3 2" xfId="19694"/>
    <cellStyle name="差_107开关面板 2 4" xfId="19695"/>
    <cellStyle name="差_107开关面板 2 4 2" xfId="19696"/>
    <cellStyle name="差_107开关面板 2 5" xfId="19697"/>
    <cellStyle name="差_107开关面板 2_聊城样板房工程量计算稿" xfId="19699"/>
    <cellStyle name="差_107开关面板 2_终板 潍坊翡翠华庭样板房清单" xfId="19700"/>
    <cellStyle name="差_107开关面板 3" xfId="19702"/>
    <cellStyle name="差_107开关面板 3 2" xfId="19703"/>
    <cellStyle name="差_107开关面板 3 2 2" xfId="19704"/>
    <cellStyle name="差_107开关面板 3 3" xfId="19705"/>
    <cellStyle name="差_107开关面板 3 3 2" xfId="19706"/>
    <cellStyle name="差_107开关面板 3 4" xfId="19707"/>
    <cellStyle name="差_107开关面板 3 4 2" xfId="19708"/>
    <cellStyle name="差_107开关面板 3 5" xfId="19709"/>
    <cellStyle name="差_107开关面板 4" xfId="1370"/>
    <cellStyle name="差_107开关面板 4 2" xfId="19710"/>
    <cellStyle name="差_107开关面板 5" xfId="19711"/>
    <cellStyle name="差_107开关面板 5 2" xfId="19712"/>
    <cellStyle name="差_107开关面板 6" xfId="19713"/>
    <cellStyle name="差_107开关面板 6 2" xfId="19714"/>
    <cellStyle name="差_107开关面板 7" xfId="19715"/>
    <cellStyle name="差_107开关面板 7 2" xfId="19716"/>
    <cellStyle name="差_107开关面板 8" xfId="19717"/>
    <cellStyle name="差_107开关面板_102洁具-陶瓷" xfId="19719"/>
    <cellStyle name="差_107开关面板_102洁具-陶瓷 2" xfId="19720"/>
    <cellStyle name="差_107开关面板_102洁具-陶瓷 2 2" xfId="19721"/>
    <cellStyle name="差_107开关面板_102洁具-陶瓷 3" xfId="19722"/>
    <cellStyle name="差_107开关面板_102洁具-陶瓷 3 2" xfId="19723"/>
    <cellStyle name="差_107开关面板_102洁具-陶瓷 4" xfId="19724"/>
    <cellStyle name="差_107开关面板_102洁具-陶瓷 4 2" xfId="19725"/>
    <cellStyle name="差_107开关面板_102洁具-陶瓷 5" xfId="19726"/>
    <cellStyle name="差_107开关面板_102洁具-陶瓷 5 2" xfId="19727"/>
    <cellStyle name="差_107开关面板_102洁具-陶瓷 6" xfId="19728"/>
    <cellStyle name="差_107开关面板_102洁具-陶瓷_聊城样板房工程量计算稿" xfId="19729"/>
    <cellStyle name="差_107开关面板_102洁具-陶瓷_终板 潍坊翡翠华庭样板房清单" xfId="19731"/>
    <cellStyle name="差_107开关面板_105瓷片 " xfId="19732"/>
    <cellStyle name="差_107开关面板_105瓷片  2" xfId="19733"/>
    <cellStyle name="差_107开关面板_105瓷片  2 2" xfId="19734"/>
    <cellStyle name="差_107开关面板_105瓷片  3" xfId="19736"/>
    <cellStyle name="差_107开关面板_105瓷片  3 2" xfId="19737"/>
    <cellStyle name="差_107开关面板_105瓷片  4" xfId="19739"/>
    <cellStyle name="差_107开关面板_105瓷片  4 2" xfId="19740"/>
    <cellStyle name="差_107开关面板_105瓷片  5" xfId="19743"/>
    <cellStyle name="差_107开关面板_105瓷片  5 2" xfId="13940"/>
    <cellStyle name="差_107开关面板_105瓷片  6" xfId="19744"/>
    <cellStyle name="差_107开关面板_105瓷片 _聊城样板房工程量计算稿" xfId="19745"/>
    <cellStyle name="差_107开关面板_105瓷片 _终板 潍坊翡翠华庭样板房清单" xfId="5569"/>
    <cellStyle name="差_107开关面板_109吸顶灯" xfId="19746"/>
    <cellStyle name="差_107开关面板_109吸顶灯 2" xfId="19747"/>
    <cellStyle name="差_107开关面板_109吸顶灯 2 2" xfId="19748"/>
    <cellStyle name="差_107开关面板_109吸顶灯 3" xfId="19750"/>
    <cellStyle name="差_107开关面板_109吸顶灯 3 2" xfId="19751"/>
    <cellStyle name="差_107开关面板_109吸顶灯 4" xfId="19753"/>
    <cellStyle name="差_107开关面板_109吸顶灯 4 2" xfId="19754"/>
    <cellStyle name="差_107开关面板_109吸顶灯 5" xfId="19756"/>
    <cellStyle name="差_107开关面板_109吸顶灯 5 2" xfId="19757"/>
    <cellStyle name="差_107开关面板_109吸顶灯 6" xfId="19759"/>
    <cellStyle name="差_107开关面板_109吸顶灯_聊城样板房工程量计算稿" xfId="15623"/>
    <cellStyle name="差_107开关面板_109吸顶灯_终板 潍坊翡翠华庭样板房清单" xfId="17768"/>
    <cellStyle name="差_107开关面板_110水晶灯" xfId="19288"/>
    <cellStyle name="差_107开关面板_110水晶灯 2" xfId="19761"/>
    <cellStyle name="差_107开关面板_110水晶灯 2 2" xfId="19762"/>
    <cellStyle name="差_107开关面板_110水晶灯 3" xfId="19764"/>
    <cellStyle name="差_107开关面板_110水晶灯 3 2" xfId="19765"/>
    <cellStyle name="差_107开关面板_110水晶灯 4" xfId="19766"/>
    <cellStyle name="差_107开关面板_110水晶灯 4 2" xfId="19767"/>
    <cellStyle name="差_107开关面板_110水晶灯 5" xfId="19768"/>
    <cellStyle name="差_107开关面板_110水晶灯 5 2" xfId="19770"/>
    <cellStyle name="差_107开关面板_110水晶灯 6" xfId="19772"/>
    <cellStyle name="差_107开关面板_110水晶灯_聊城样板房工程量计算稿" xfId="19774"/>
    <cellStyle name="差_107开关面板_110水晶灯_终板 潍坊翡翠华庭样板房清单" xfId="19776"/>
    <cellStyle name="差_107开关面板_118仿石砖" xfId="11370"/>
    <cellStyle name="差_107开关面板_118仿石砖 2" xfId="11375"/>
    <cellStyle name="差_107开关面板_118仿石砖 2 2" xfId="19779"/>
    <cellStyle name="差_107开关面板_118仿石砖 3" xfId="19781"/>
    <cellStyle name="差_107开关面板_118仿石砖 3 2" xfId="19782"/>
    <cellStyle name="差_107开关面板_118仿石砖 4" xfId="19784"/>
    <cellStyle name="差_107开关面板_118仿石砖 4 2" xfId="19785"/>
    <cellStyle name="差_107开关面板_118仿石砖 5" xfId="19786"/>
    <cellStyle name="差_107开关面板_118仿石砖 5 2" xfId="19787"/>
    <cellStyle name="差_107开关面板_118仿石砖 6" xfId="19788"/>
    <cellStyle name="差_107开关面板_118仿石砖_聊城样板房工程量计算稿" xfId="19789"/>
    <cellStyle name="差_107开关面板_118仿石砖_终板 潍坊翡翠华庭样板房清单" xfId="19793"/>
    <cellStyle name="差_107开关面板_119仿古砖" xfId="16881"/>
    <cellStyle name="差_107开关面板_119仿古砖 2" xfId="19794"/>
    <cellStyle name="差_107开关面板_119仿古砖 2 2" xfId="19795"/>
    <cellStyle name="差_107开关面板_119仿古砖 3" xfId="10002"/>
    <cellStyle name="差_107开关面板_119仿古砖 3 2" xfId="10004"/>
    <cellStyle name="差_107开关面板_119仿古砖 4" xfId="10006"/>
    <cellStyle name="差_107开关面板_119仿古砖 4 2" xfId="10008"/>
    <cellStyle name="差_107开关面板_119仿古砖 5" xfId="10010"/>
    <cellStyle name="差_107开关面板_119仿古砖 5 2" xfId="10013"/>
    <cellStyle name="差_107开关面板_119仿古砖 6" xfId="10015"/>
    <cellStyle name="差_107开关面板_119仿古砖_聊城样板房工程量计算稿" xfId="19798"/>
    <cellStyle name="差_107开关面板_119仿古砖_终板 潍坊翡翠华庭样板房清单" xfId="19799"/>
    <cellStyle name="差_107开关面板_2009年6月甲供材料模板（29类版）" xfId="2758"/>
    <cellStyle name="差_107开关面板_2009年6月甲供材料模板（29类版） 2" xfId="2761"/>
    <cellStyle name="差_107开关面板_2009年6月甲供材料模板（29类版） 2 2" xfId="19801"/>
    <cellStyle name="差_107开关面板_2009年6月甲供材料模板（29类版） 3" xfId="14028"/>
    <cellStyle name="差_107开关面板_2009年6月甲供材料模板（29类版） 3 2" xfId="19804"/>
    <cellStyle name="差_107开关面板_2009年6月甲供材料模板（29类版） 4" xfId="19806"/>
    <cellStyle name="差_107开关面板_2009年6月甲供材料模板（29类版） 4 2" xfId="19809"/>
    <cellStyle name="差_107开关面板_2009年6月甲供材料模板（29类版） 5" xfId="2870"/>
    <cellStyle name="差_107开关面板_2009年6月甲供材料模板（29类版） 5 2" xfId="19812"/>
    <cellStyle name="差_107开关面板_2009年6月甲供材料模板（29类版） 6" xfId="19814"/>
    <cellStyle name="差_107开关面板_2009年6月甲供材料模板（29类版）_聊城样板房工程量计算稿" xfId="19815"/>
    <cellStyle name="差_107开关面板_2009年6月甲供材料模板（29类版）_终板 潍坊翡翠华庭样板房清单" xfId="3894"/>
    <cellStyle name="差_107开关面板_编码细则" xfId="18489"/>
    <cellStyle name="差_107开关面板_编码细则 2" xfId="19816"/>
    <cellStyle name="差_107开关面板_编码细则 2 2" xfId="11669"/>
    <cellStyle name="差_107开关面板_编码细则 3" xfId="19817"/>
    <cellStyle name="差_107开关面板_编码细则 3 2" xfId="11686"/>
    <cellStyle name="差_107开关面板_编码细则 4" xfId="19818"/>
    <cellStyle name="差_107开关面板_编码细则 4 2" xfId="11708"/>
    <cellStyle name="差_107开关面板_编码细则 5" xfId="19821"/>
    <cellStyle name="差_107开关面板_编码细则 5 2" xfId="11730"/>
    <cellStyle name="差_107开关面板_编码细则 6" xfId="19824"/>
    <cellStyle name="差_107开关面板_编码细则_聊城样板房工程量计算稿" xfId="10312"/>
    <cellStyle name="差_107开关面板_编码细则_终板 潍坊翡翠华庭样板房清单" xfId="19826"/>
    <cellStyle name="差_107开关面板_聊城样板房工程量计算稿" xfId="19827"/>
    <cellStyle name="差_107开关面板_终板 潍坊翡翠华庭样板房清单" xfId="19828"/>
    <cellStyle name="差_108欧雅墙纸" xfId="19832"/>
    <cellStyle name="差_108欧雅墙纸 2" xfId="16759"/>
    <cellStyle name="差_108欧雅墙纸 2 2" xfId="19833"/>
    <cellStyle name="差_108欧雅墙纸 2 2 2" xfId="19834"/>
    <cellStyle name="差_108欧雅墙纸 2 3" xfId="19835"/>
    <cellStyle name="差_108欧雅墙纸 2 3 2" xfId="14926"/>
    <cellStyle name="差_108欧雅墙纸 2 4" xfId="19836"/>
    <cellStyle name="差_108欧雅墙纸 2 4 2" xfId="14947"/>
    <cellStyle name="差_108欧雅墙纸 2 5" xfId="19837"/>
    <cellStyle name="差_108欧雅墙纸 2_聊城样板房工程量计算稿" xfId="19839"/>
    <cellStyle name="差_108欧雅墙纸 2_终板 潍坊翡翠华庭样板房清单" xfId="19840"/>
    <cellStyle name="差_108欧雅墙纸 3" xfId="19841"/>
    <cellStyle name="差_108欧雅墙纸 3 2" xfId="19842"/>
    <cellStyle name="差_108欧雅墙纸 3 2 2" xfId="19843"/>
    <cellStyle name="差_108欧雅墙纸 3 3" xfId="19844"/>
    <cellStyle name="差_108欧雅墙纸 3 3 2" xfId="14984"/>
    <cellStyle name="差_108欧雅墙纸 3 4" xfId="19845"/>
    <cellStyle name="差_108欧雅墙纸 3 4 2" xfId="14995"/>
    <cellStyle name="差_108欧雅墙纸 3 5" xfId="19846"/>
    <cellStyle name="差_108欧雅墙纸 4" xfId="19848"/>
    <cellStyle name="差_108欧雅墙纸 4 2" xfId="19849"/>
    <cellStyle name="差_108欧雅墙纸 5" xfId="19850"/>
    <cellStyle name="差_108欧雅墙纸 5 2" xfId="8052"/>
    <cellStyle name="差_108欧雅墙纸 6" xfId="19851"/>
    <cellStyle name="差_108欧雅墙纸 6 2" xfId="8065"/>
    <cellStyle name="差_108欧雅墙纸 7" xfId="19852"/>
    <cellStyle name="差_108欧雅墙纸 7 2" xfId="19853"/>
    <cellStyle name="差_108欧雅墙纸 8" xfId="19855"/>
    <cellStyle name="差_108欧雅墙纸_102洁具-陶瓷" xfId="8541"/>
    <cellStyle name="差_108欧雅墙纸_102洁具-陶瓷 2" xfId="19857"/>
    <cellStyle name="差_108欧雅墙纸_102洁具-陶瓷 2 2" xfId="19861"/>
    <cellStyle name="差_108欧雅墙纸_102洁具-陶瓷 3" xfId="10572"/>
    <cellStyle name="差_108欧雅墙纸_102洁具-陶瓷 3 2" xfId="19864"/>
    <cellStyle name="差_108欧雅墙纸_102洁具-陶瓷 4" xfId="19865"/>
    <cellStyle name="差_108欧雅墙纸_102洁具-陶瓷 4 2" xfId="19867"/>
    <cellStyle name="差_108欧雅墙纸_102洁具-陶瓷 5" xfId="19869"/>
    <cellStyle name="差_108欧雅墙纸_102洁具-陶瓷 5 2" xfId="17744"/>
    <cellStyle name="差_108欧雅墙纸_102洁具-陶瓷 6" xfId="19873"/>
    <cellStyle name="差_108欧雅墙纸_102洁具-陶瓷_聊城样板房工程量计算稿" xfId="19876"/>
    <cellStyle name="差_108欧雅墙纸_102洁具-陶瓷_终板 潍坊翡翠华庭样板房清单" xfId="14744"/>
    <cellStyle name="差_108欧雅墙纸_105瓷片 " xfId="19877"/>
    <cellStyle name="差_108欧雅墙纸_105瓷片  2" xfId="19878"/>
    <cellStyle name="差_108欧雅墙纸_105瓷片  2 2" xfId="19879"/>
    <cellStyle name="差_108欧雅墙纸_105瓷片  3" xfId="19880"/>
    <cellStyle name="差_108欧雅墙纸_105瓷片  3 2" xfId="1736"/>
    <cellStyle name="差_108欧雅墙纸_105瓷片  4" xfId="19882"/>
    <cellStyle name="差_108欧雅墙纸_105瓷片  4 2" xfId="1246"/>
    <cellStyle name="差_108欧雅墙纸_105瓷片  5" xfId="19885"/>
    <cellStyle name="差_108欧雅墙纸_105瓷片  5 2" xfId="19886"/>
    <cellStyle name="差_108欧雅墙纸_105瓷片  6" xfId="19888"/>
    <cellStyle name="差_108欧雅墙纸_105瓷片 _聊城样板房工程量计算稿" xfId="5510"/>
    <cellStyle name="差_108欧雅墙纸_105瓷片 _终板 潍坊翡翠华庭样板房清单" xfId="19889"/>
    <cellStyle name="差_108欧雅墙纸_109吸顶灯" xfId="19890"/>
    <cellStyle name="差_108欧雅墙纸_109吸顶灯 2" xfId="3304"/>
    <cellStyle name="差_108欧雅墙纸_109吸顶灯 2 2" xfId="3307"/>
    <cellStyle name="差_108欧雅墙纸_109吸顶灯 3" xfId="3360"/>
    <cellStyle name="差_108欧雅墙纸_109吸顶灯 3 2" xfId="3362"/>
    <cellStyle name="差_108欧雅墙纸_109吸顶灯 4" xfId="3413"/>
    <cellStyle name="差_108欧雅墙纸_109吸顶灯 4 2" xfId="3418"/>
    <cellStyle name="差_108欧雅墙纸_109吸顶灯 5" xfId="3442"/>
    <cellStyle name="差_108欧雅墙纸_109吸顶灯 5 2" xfId="3448"/>
    <cellStyle name="差_108欧雅墙纸_109吸顶灯 6" xfId="1502"/>
    <cellStyle name="差_108欧雅墙纸_109吸顶灯_聊城样板房工程量计算稿" xfId="4973"/>
    <cellStyle name="差_108欧雅墙纸_109吸顶灯_终板 潍坊翡翠华庭样板房清单" xfId="19892"/>
    <cellStyle name="差_108欧雅墙纸_110水晶灯" xfId="19893"/>
    <cellStyle name="差_108欧雅墙纸_110水晶灯 2" xfId="19894"/>
    <cellStyle name="差_108欧雅墙纸_110水晶灯 2 2" xfId="19897"/>
    <cellStyle name="差_108欧雅墙纸_110水晶灯 3" xfId="19900"/>
    <cellStyle name="差_108欧雅墙纸_110水晶灯 3 2" xfId="9336"/>
    <cellStyle name="差_108欧雅墙纸_110水晶灯 4" xfId="19902"/>
    <cellStyle name="差_108欧雅墙纸_110水晶灯 4 2" xfId="19905"/>
    <cellStyle name="差_108欧雅墙纸_110水晶灯 5" xfId="19907"/>
    <cellStyle name="差_108欧雅墙纸_110水晶灯 5 2" xfId="19913"/>
    <cellStyle name="差_108欧雅墙纸_110水晶灯 6" xfId="19915"/>
    <cellStyle name="差_108欧雅墙纸_110水晶灯_聊城样板房工程量计算稿" xfId="19916"/>
    <cellStyle name="差_108欧雅墙纸_110水晶灯_终板 潍坊翡翠华庭样板房清单" xfId="19918"/>
    <cellStyle name="差_108欧雅墙纸_118仿石砖" xfId="19919"/>
    <cellStyle name="差_108欧雅墙纸_118仿石砖 2" xfId="19920"/>
    <cellStyle name="差_108欧雅墙纸_118仿石砖 2 2" xfId="9133"/>
    <cellStyle name="差_108欧雅墙纸_118仿石砖 3" xfId="1506"/>
    <cellStyle name="差_108欧雅墙纸_118仿石砖 3 2" xfId="9144"/>
    <cellStyle name="差_108欧雅墙纸_118仿石砖 4" xfId="15182"/>
    <cellStyle name="差_108欧雅墙纸_118仿石砖 4 2" xfId="9155"/>
    <cellStyle name="差_108欧雅墙纸_118仿石砖 5" xfId="19921"/>
    <cellStyle name="差_108欧雅墙纸_118仿石砖 5 2" xfId="19922"/>
    <cellStyle name="差_108欧雅墙纸_118仿石砖 6" xfId="19923"/>
    <cellStyle name="差_108欧雅墙纸_118仿石砖_聊城样板房工程量计算稿" xfId="19924"/>
    <cellStyle name="差_108欧雅墙纸_118仿石砖_终板 潍坊翡翠华庭样板房清单" xfId="4274"/>
    <cellStyle name="差_108欧雅墙纸_119仿古砖" xfId="19926"/>
    <cellStyle name="差_108欧雅墙纸_119仿古砖 2" xfId="16920"/>
    <cellStyle name="差_108欧雅墙纸_119仿古砖 2 2" xfId="17564"/>
    <cellStyle name="差_108欧雅墙纸_119仿古砖 3" xfId="19928"/>
    <cellStyle name="差_108欧雅墙纸_119仿古砖 3 2" xfId="17574"/>
    <cellStyle name="差_108欧雅墙纸_119仿古砖 4" xfId="19930"/>
    <cellStyle name="差_108欧雅墙纸_119仿古砖 4 2" xfId="17581"/>
    <cellStyle name="差_108欧雅墙纸_119仿古砖 5" xfId="19932"/>
    <cellStyle name="差_108欧雅墙纸_119仿古砖 5 2" xfId="17589"/>
    <cellStyle name="差_108欧雅墙纸_119仿古砖 6" xfId="19934"/>
    <cellStyle name="差_108欧雅墙纸_119仿古砖_聊城样板房工程量计算稿" xfId="19935"/>
    <cellStyle name="差_108欧雅墙纸_119仿古砖_终板 潍坊翡翠华庭样板房清单" xfId="6782"/>
    <cellStyle name="差_108欧雅墙纸_2009年6月甲供材料模板（29类版）" xfId="2212"/>
    <cellStyle name="差_108欧雅墙纸_2009年6月甲供材料模板（29类版） 2" xfId="19936"/>
    <cellStyle name="差_108欧雅墙纸_2009年6月甲供材料模板（29类版） 2 2" xfId="19937"/>
    <cellStyle name="差_108欧雅墙纸_2009年6月甲供材料模板（29类版） 3" xfId="19938"/>
    <cellStyle name="差_108欧雅墙纸_2009年6月甲供材料模板（29类版） 3 2" xfId="19939"/>
    <cellStyle name="差_108欧雅墙纸_2009年6月甲供材料模板（29类版） 4" xfId="12110"/>
    <cellStyle name="差_108欧雅墙纸_2009年6月甲供材料模板（29类版） 4 2" xfId="19940"/>
    <cellStyle name="差_108欧雅墙纸_2009年6月甲供材料模板（29类版） 5" xfId="19941"/>
    <cellStyle name="差_108欧雅墙纸_2009年6月甲供材料模板（29类版） 5 2" xfId="19942"/>
    <cellStyle name="差_108欧雅墙纸_2009年6月甲供材料模板（29类版） 6" xfId="19943"/>
    <cellStyle name="差_108欧雅墙纸_2009年6月甲供材料模板（29类版）_聊城样板房工程量计算稿" xfId="19944"/>
    <cellStyle name="差_108欧雅墙纸_2009年6月甲供材料模板（29类版）_终板 潍坊翡翠华庭样板房清单" xfId="19945"/>
    <cellStyle name="差_108欧雅墙纸_聊城样板房工程量计算稿" xfId="19946"/>
    <cellStyle name="差_108欧雅墙纸_终板 潍坊翡翠华庭样板房清单" xfId="19947"/>
    <cellStyle name="差_109吸顶灯" xfId="19948"/>
    <cellStyle name="差_109吸顶灯 2" xfId="19951"/>
    <cellStyle name="差_109吸顶灯 2 2" xfId="19953"/>
    <cellStyle name="差_109吸顶灯 2 2 2" xfId="18043"/>
    <cellStyle name="差_109吸顶灯 2 3" xfId="19955"/>
    <cellStyle name="差_109吸顶灯 2 3 2" xfId="19956"/>
    <cellStyle name="差_109吸顶灯 2 4" xfId="19957"/>
    <cellStyle name="差_109吸顶灯 2 4 2" xfId="19958"/>
    <cellStyle name="差_109吸顶灯 2 5" xfId="9900"/>
    <cellStyle name="差_109吸顶灯 2_聊城样板房工程量计算稿" xfId="1945"/>
    <cellStyle name="差_109吸顶灯 2_终板 潍坊翡翠华庭样板房清单" xfId="2269"/>
    <cellStyle name="差_109吸顶灯 3" xfId="19960"/>
    <cellStyle name="差_109吸顶灯 3 2" xfId="19963"/>
    <cellStyle name="差_109吸顶灯 3 2 2" xfId="19965"/>
    <cellStyle name="差_109吸顶灯 3 3" xfId="19967"/>
    <cellStyle name="差_109吸顶灯 3 3 2" xfId="19968"/>
    <cellStyle name="差_109吸顶灯 3 4" xfId="10608"/>
    <cellStyle name="差_109吸顶灯 3 4 2" xfId="19969"/>
    <cellStyle name="差_109吸顶灯 3 5" xfId="19970"/>
    <cellStyle name="差_109吸顶灯 4" xfId="19971"/>
    <cellStyle name="差_109吸顶灯 4 2" xfId="19973"/>
    <cellStyle name="差_109吸顶灯 5" xfId="19975"/>
    <cellStyle name="差_109吸顶灯 5 2" xfId="19977"/>
    <cellStyle name="差_109吸顶灯 6" xfId="19979"/>
    <cellStyle name="差_109吸顶灯 6 2" xfId="19982"/>
    <cellStyle name="差_109吸顶灯 7" xfId="19984"/>
    <cellStyle name="差_109吸顶灯 7 2" xfId="19986"/>
    <cellStyle name="差_109吸顶灯 8" xfId="19989"/>
    <cellStyle name="差_109吸顶灯_1" xfId="3823"/>
    <cellStyle name="差_109吸顶灯_1 2" xfId="1165"/>
    <cellStyle name="差_109吸顶灯_1 2 2" xfId="19990"/>
    <cellStyle name="差_109吸顶灯_1 3" xfId="19992"/>
    <cellStyle name="差_109吸顶灯_1 3 2" xfId="19993"/>
    <cellStyle name="差_109吸顶灯_1 4" xfId="19994"/>
    <cellStyle name="差_109吸顶灯_1 4 2" xfId="19995"/>
    <cellStyle name="差_109吸顶灯_1 5" xfId="19996"/>
    <cellStyle name="差_109吸顶灯_1 5 2" xfId="19997"/>
    <cellStyle name="差_109吸顶灯_1 6" xfId="19999"/>
    <cellStyle name="差_109吸顶灯_1_聊城样板房工程量计算稿" xfId="20000"/>
    <cellStyle name="差_109吸顶灯_1_终板 潍坊翡翠华庭样板房清单" xfId="17180"/>
    <cellStyle name="差_109吸顶灯_102洁具-陶瓷" xfId="13934"/>
    <cellStyle name="差_109吸顶灯_102洁具-陶瓷 2" xfId="13936"/>
    <cellStyle name="差_109吸顶灯_102洁具-陶瓷 2 2" xfId="13484"/>
    <cellStyle name="差_109吸顶灯_102洁具-陶瓷 3" xfId="13974"/>
    <cellStyle name="差_109吸顶灯_102洁具-陶瓷 3 2" xfId="13499"/>
    <cellStyle name="差_109吸顶灯_102洁具-陶瓷 4" xfId="13981"/>
    <cellStyle name="差_109吸顶灯_102洁具-陶瓷 4 2" xfId="13983"/>
    <cellStyle name="差_109吸顶灯_102洁具-陶瓷 5" xfId="13992"/>
    <cellStyle name="差_109吸顶灯_102洁具-陶瓷 5 2" xfId="13995"/>
    <cellStyle name="差_109吸顶灯_102洁具-陶瓷 6" xfId="13998"/>
    <cellStyle name="差_109吸顶灯_102洁具-陶瓷_聊城样板房工程量计算稿" xfId="20002"/>
    <cellStyle name="差_109吸顶灯_102洁具-陶瓷_终板 潍坊翡翠华庭样板房清单" xfId="20003"/>
    <cellStyle name="差_109吸顶灯_105瓷片 " xfId="20004"/>
    <cellStyle name="差_109吸顶灯_105瓷片  2" xfId="20005"/>
    <cellStyle name="差_109吸顶灯_105瓷片  2 2" xfId="20006"/>
    <cellStyle name="差_109吸顶灯_105瓷片  3" xfId="20007"/>
    <cellStyle name="差_109吸顶灯_105瓷片  3 2" xfId="20008"/>
    <cellStyle name="差_109吸顶灯_105瓷片  4" xfId="20010"/>
    <cellStyle name="差_109吸顶灯_105瓷片  4 2" xfId="20011"/>
    <cellStyle name="差_109吸顶灯_105瓷片  5" xfId="11349"/>
    <cellStyle name="差_109吸顶灯_105瓷片  5 2" xfId="11352"/>
    <cellStyle name="差_109吸顶灯_105瓷片  6" xfId="11355"/>
    <cellStyle name="差_109吸顶灯_105瓷片 _聊城样板房工程量计算稿" xfId="20013"/>
    <cellStyle name="差_109吸顶灯_105瓷片 _终板 潍坊翡翠华庭样板房清单" xfId="11650"/>
    <cellStyle name="差_109吸顶灯_109吸顶灯" xfId="14330"/>
    <cellStyle name="差_109吸顶灯_109吸顶灯 2" xfId="20014"/>
    <cellStyle name="差_109吸顶灯_109吸顶灯 2 2" xfId="20015"/>
    <cellStyle name="差_109吸顶灯_109吸顶灯 3" xfId="20016"/>
    <cellStyle name="差_109吸顶灯_109吸顶灯 3 2" xfId="20017"/>
    <cellStyle name="差_109吸顶灯_109吸顶灯 4" xfId="20018"/>
    <cellStyle name="差_109吸顶灯_109吸顶灯 4 2" xfId="20019"/>
    <cellStyle name="差_109吸顶灯_109吸顶灯 5" xfId="20020"/>
    <cellStyle name="差_109吸顶灯_109吸顶灯 5 2" xfId="20021"/>
    <cellStyle name="差_109吸顶灯_109吸顶灯 6" xfId="20022"/>
    <cellStyle name="差_109吸顶灯_109吸顶灯_聊城样板房工程量计算稿" xfId="8842"/>
    <cellStyle name="差_109吸顶灯_109吸顶灯_终板 潍坊翡翠华庭样板房清单" xfId="20023"/>
    <cellStyle name="差_109吸顶灯_110水晶灯" xfId="15808"/>
    <cellStyle name="差_109吸顶灯_110水晶灯 2" xfId="12979"/>
    <cellStyle name="差_109吸顶灯_110水晶灯 2 2" xfId="12983"/>
    <cellStyle name="差_109吸顶灯_110水晶灯 3" xfId="12987"/>
    <cellStyle name="差_109吸顶灯_110水晶灯 3 2" xfId="14698"/>
    <cellStyle name="差_109吸顶灯_110水晶灯 4" xfId="14701"/>
    <cellStyle name="差_109吸顶灯_110水晶灯 4 2" xfId="15812"/>
    <cellStyle name="差_109吸顶灯_110水晶灯 5" xfId="12704"/>
    <cellStyle name="差_109吸顶灯_110水晶灯 5 2" xfId="20025"/>
    <cellStyle name="差_109吸顶灯_110水晶灯 6" xfId="20026"/>
    <cellStyle name="差_109吸顶灯_110水晶灯_聊城样板房工程量计算稿" xfId="20027"/>
    <cellStyle name="差_109吸顶灯_110水晶灯_终板 潍坊翡翠华庭样板房清单" xfId="15054"/>
    <cellStyle name="差_109吸顶灯_118仿石砖" xfId="20029"/>
    <cellStyle name="差_109吸顶灯_118仿石砖 2" xfId="20030"/>
    <cellStyle name="差_109吸顶灯_118仿石砖 2 2" xfId="20031"/>
    <cellStyle name="差_109吸顶灯_118仿石砖 3" xfId="20032"/>
    <cellStyle name="差_109吸顶灯_118仿石砖 3 2" xfId="20033"/>
    <cellStyle name="差_109吸顶灯_118仿石砖 4" xfId="10215"/>
    <cellStyle name="差_109吸顶灯_118仿石砖 4 2" xfId="20034"/>
    <cellStyle name="差_109吸顶灯_118仿石砖 5" xfId="5686"/>
    <cellStyle name="差_109吸顶灯_118仿石砖 5 2" xfId="20035"/>
    <cellStyle name="差_109吸顶灯_118仿石砖 6" xfId="20036"/>
    <cellStyle name="差_109吸顶灯_118仿石砖_聊城样板房工程量计算稿" xfId="20037"/>
    <cellStyle name="差_109吸顶灯_118仿石砖_终板 潍坊翡翠华庭样板房清单" xfId="5980"/>
    <cellStyle name="差_109吸顶灯_119仿古砖" xfId="14234"/>
    <cellStyle name="差_109吸顶灯_119仿古砖 2" xfId="14236"/>
    <cellStyle name="差_109吸顶灯_119仿古砖 2 2" xfId="20038"/>
    <cellStyle name="差_109吸顶灯_119仿古砖 3" xfId="20040"/>
    <cellStyle name="差_109吸顶灯_119仿古砖 3 2" xfId="20041"/>
    <cellStyle name="差_109吸顶灯_119仿古砖 4" xfId="20042"/>
    <cellStyle name="差_109吸顶灯_119仿古砖 4 2" xfId="20043"/>
    <cellStyle name="差_109吸顶灯_119仿古砖 5" xfId="20044"/>
    <cellStyle name="差_109吸顶灯_119仿古砖 5 2" xfId="20045"/>
    <cellStyle name="差_109吸顶灯_119仿古砖 6" xfId="20046"/>
    <cellStyle name="差_109吸顶灯_119仿古砖_聊城样板房工程量计算稿" xfId="20048"/>
    <cellStyle name="差_109吸顶灯_119仿古砖_终板 潍坊翡翠华庭样板房清单" xfId="4270"/>
    <cellStyle name="差_109吸顶灯_2009年6月甲供材料模板（29类版）" xfId="1885"/>
    <cellStyle name="差_109吸顶灯_2009年6月甲供材料模板（29类版） 2" xfId="1233"/>
    <cellStyle name="差_109吸顶灯_2009年6月甲供材料模板（29类版） 2 2" xfId="1237"/>
    <cellStyle name="差_109吸顶灯_2009年6月甲供材料模板（29类版） 3" xfId="1244"/>
    <cellStyle name="差_109吸顶灯_2009年6月甲供材料模板（29类版） 3 2" xfId="1427"/>
    <cellStyle name="差_109吸顶灯_2009年6月甲供材料模板（29类版） 4" xfId="4361"/>
    <cellStyle name="差_109吸顶灯_2009年6月甲供材料模板（29类版） 4 2" xfId="20050"/>
    <cellStyle name="差_109吸顶灯_2009年6月甲供材料模板（29类版） 5" xfId="20053"/>
    <cellStyle name="差_109吸顶灯_2009年6月甲供材料模板（29类版） 5 2" xfId="20054"/>
    <cellStyle name="差_109吸顶灯_2009年6月甲供材料模板（29类版） 6" xfId="20056"/>
    <cellStyle name="差_109吸顶灯_2009年6月甲供材料模板（29类版）_聊城样板房工程量计算稿" xfId="20057"/>
    <cellStyle name="差_109吸顶灯_2009年6月甲供材料模板（29类版）_终板 潍坊翡翠华庭样板房清单" xfId="20060"/>
    <cellStyle name="差_109吸顶灯_聊城样板房工程量计算稿" xfId="20061"/>
    <cellStyle name="差_109吸顶灯_终板 潍坊翡翠华庭样板房清单" xfId="8470"/>
    <cellStyle name="差_110水晶灯" xfId="11944"/>
    <cellStyle name="差_110水晶灯 2" xfId="11946"/>
    <cellStyle name="差_110水晶灯 2 2" xfId="11948"/>
    <cellStyle name="差_110水晶灯 2 2 2" xfId="11950"/>
    <cellStyle name="差_110水晶灯 2 3" xfId="11952"/>
    <cellStyle name="差_110水晶灯 2 3 2" xfId="11954"/>
    <cellStyle name="差_110水晶灯 2 4" xfId="11956"/>
    <cellStyle name="差_110水晶灯 2 4 2" xfId="11958"/>
    <cellStyle name="差_110水晶灯 2 5" xfId="11960"/>
    <cellStyle name="差_110水晶灯 2_聊城样板房工程量计算稿" xfId="6682"/>
    <cellStyle name="差_110水晶灯 2_终板 潍坊翡翠华庭样板房清单" xfId="20065"/>
    <cellStyle name="差_110水晶灯 3" xfId="11962"/>
    <cellStyle name="差_110水晶灯 3 2" xfId="11965"/>
    <cellStyle name="差_110水晶灯 3 2 2" xfId="11968"/>
    <cellStyle name="差_110水晶灯 3 3" xfId="11970"/>
    <cellStyle name="差_110水晶灯 3 3 2" xfId="11972"/>
    <cellStyle name="差_110水晶灯 3 4" xfId="11974"/>
    <cellStyle name="差_110水晶灯 3 4 2" xfId="20066"/>
    <cellStyle name="差_110水晶灯 3 5" xfId="20068"/>
    <cellStyle name="差_110水晶灯 4" xfId="11976"/>
    <cellStyle name="差_110水晶灯 4 2" xfId="11978"/>
    <cellStyle name="差_110水晶灯 5" xfId="11980"/>
    <cellStyle name="差_110水晶灯 5 2" xfId="20069"/>
    <cellStyle name="差_110水晶灯 6" xfId="10234"/>
    <cellStyle name="差_110水晶灯 6 2" xfId="20072"/>
    <cellStyle name="差_110水晶灯 7" xfId="20075"/>
    <cellStyle name="差_110水晶灯 7 2" xfId="20077"/>
    <cellStyle name="差_110水晶灯 8" xfId="20080"/>
    <cellStyle name="差_110水晶灯_1" xfId="20083"/>
    <cellStyle name="差_110水晶灯_1 2" xfId="20085"/>
    <cellStyle name="差_110水晶灯_1 2 2" xfId="20087"/>
    <cellStyle name="差_110水晶灯_1 3" xfId="20088"/>
    <cellStyle name="差_110水晶灯_1 3 2" xfId="20090"/>
    <cellStyle name="差_110水晶灯_1 4" xfId="16102"/>
    <cellStyle name="差_110水晶灯_1 4 2" xfId="20092"/>
    <cellStyle name="差_110水晶灯_1 5" xfId="20094"/>
    <cellStyle name="差_110水晶灯_1 5 2" xfId="20096"/>
    <cellStyle name="差_110水晶灯_1 6" xfId="20097"/>
    <cellStyle name="差_110水晶灯_1_聊城样板房工程量计算稿" xfId="20098"/>
    <cellStyle name="差_110水晶灯_1_终板 潍坊翡翠华庭样板房清单" xfId="9438"/>
    <cellStyle name="差_110水晶灯_102洁具-陶瓷" xfId="20101"/>
    <cellStyle name="差_110水晶灯_102洁具-陶瓷 2" xfId="20104"/>
    <cellStyle name="差_110水晶灯_102洁具-陶瓷 2 2" xfId="20106"/>
    <cellStyle name="差_110水晶灯_102洁具-陶瓷 3" xfId="20108"/>
    <cellStyle name="差_110水晶灯_102洁具-陶瓷 3 2" xfId="16915"/>
    <cellStyle name="差_110水晶灯_102洁具-陶瓷 4" xfId="20110"/>
    <cellStyle name="差_110水晶灯_102洁具-陶瓷 4 2" xfId="16975"/>
    <cellStyle name="差_110水晶灯_102洁具-陶瓷 5" xfId="20113"/>
    <cellStyle name="差_110水晶灯_102洁具-陶瓷 5 2" xfId="16995"/>
    <cellStyle name="差_110水晶灯_102洁具-陶瓷 6" xfId="20115"/>
    <cellStyle name="差_110水晶灯_102洁具-陶瓷_聊城样板房工程量计算稿" xfId="20117"/>
    <cellStyle name="差_110水晶灯_102洁具-陶瓷_终板 潍坊翡翠华庭样板房清单" xfId="20118"/>
    <cellStyle name="差_110水晶灯_105瓷片 " xfId="20120"/>
    <cellStyle name="差_110水晶灯_105瓷片  2" xfId="20122"/>
    <cellStyle name="差_110水晶灯_105瓷片  2 2" xfId="20124"/>
    <cellStyle name="差_110水晶灯_105瓷片  3" xfId="12955"/>
    <cellStyle name="差_110水晶灯_105瓷片  3 2" xfId="20127"/>
    <cellStyle name="差_110水晶灯_105瓷片  4" xfId="20129"/>
    <cellStyle name="差_110水晶灯_105瓷片  4 2" xfId="20131"/>
    <cellStyle name="差_110水晶灯_105瓷片  5" xfId="10247"/>
    <cellStyle name="差_110水晶灯_105瓷片  5 2" xfId="10250"/>
    <cellStyle name="差_110水晶灯_105瓷片  6" xfId="10253"/>
    <cellStyle name="差_110水晶灯_105瓷片 _聊城样板房工程量计算稿" xfId="4362"/>
    <cellStyle name="差_110水晶灯_105瓷片 _终板 潍坊翡翠华庭样板房清单" xfId="20132"/>
    <cellStyle name="差_110水晶灯_109吸顶灯" xfId="20133"/>
    <cellStyle name="差_110水晶灯_109吸顶灯 2" xfId="20134"/>
    <cellStyle name="差_110水晶灯_109吸顶灯 2 2" xfId="20135"/>
    <cellStyle name="差_110水晶灯_109吸顶灯 3" xfId="20136"/>
    <cellStyle name="差_110水晶灯_109吸顶灯 3 2" xfId="20009"/>
    <cellStyle name="差_110水晶灯_109吸顶灯 4" xfId="20137"/>
    <cellStyle name="差_110水晶灯_109吸顶灯 4 2" xfId="12026"/>
    <cellStyle name="差_110水晶灯_109吸顶灯 5" xfId="20141"/>
    <cellStyle name="差_110水晶灯_109吸顶灯 5 2" xfId="12037"/>
    <cellStyle name="差_110水晶灯_109吸顶灯 6" xfId="20142"/>
    <cellStyle name="差_110水晶灯_109吸顶灯_聊城样板房工程量计算稿" xfId="20144"/>
    <cellStyle name="差_110水晶灯_109吸顶灯_终板 潍坊翡翠华庭样板房清单" xfId="20145"/>
    <cellStyle name="差_110水晶灯_110水晶灯" xfId="13745"/>
    <cellStyle name="差_110水晶灯_110水晶灯 2" xfId="16616"/>
    <cellStyle name="差_110水晶灯_110水晶灯 2 2" xfId="12722"/>
    <cellStyle name="差_110水晶灯_110水晶灯 3" xfId="20146"/>
    <cellStyle name="差_110水晶灯_110水晶灯 3 2" xfId="12737"/>
    <cellStyle name="差_110水晶灯_110水晶灯 4" xfId="20147"/>
    <cellStyle name="差_110水晶灯_110水晶灯 4 2" xfId="20148"/>
    <cellStyle name="差_110水晶灯_110水晶灯 5" xfId="20149"/>
    <cellStyle name="差_110水晶灯_110水晶灯 5 2" xfId="20150"/>
    <cellStyle name="差_110水晶灯_110水晶灯 6" xfId="20151"/>
    <cellStyle name="差_110水晶灯_110水晶灯_聊城样板房工程量计算稿" xfId="20152"/>
    <cellStyle name="差_110水晶灯_110水晶灯_终板 潍坊翡翠华庭样板房清单" xfId="1436"/>
    <cellStyle name="差_110水晶灯_118仿石砖" xfId="20155"/>
    <cellStyle name="差_110水晶灯_118仿石砖 2" xfId="20156"/>
    <cellStyle name="差_110水晶灯_118仿石砖 2 2" xfId="20157"/>
    <cellStyle name="差_110水晶灯_118仿石砖 3" xfId="20158"/>
    <cellStyle name="差_110水晶灯_118仿石砖 3 2" xfId="13189"/>
    <cellStyle name="差_110水晶灯_118仿石砖 4" xfId="20159"/>
    <cellStyle name="差_110水晶灯_118仿石砖 4 2" xfId="20160"/>
    <cellStyle name="差_110水晶灯_118仿石砖 5" xfId="20161"/>
    <cellStyle name="差_110水晶灯_118仿石砖 5 2" xfId="20162"/>
    <cellStyle name="差_110水晶灯_118仿石砖 6" xfId="18885"/>
    <cellStyle name="差_110水晶灯_118仿石砖_聊城样板房工程量计算稿" xfId="20165"/>
    <cellStyle name="差_110水晶灯_118仿石砖_终板 潍坊翡翠华庭样板房清单" xfId="20167"/>
    <cellStyle name="差_110水晶灯_119仿古砖" xfId="19324"/>
    <cellStyle name="差_110水晶灯_119仿古砖 2" xfId="19326"/>
    <cellStyle name="差_110水晶灯_119仿古砖 2 2" xfId="20168"/>
    <cellStyle name="差_110水晶灯_119仿古砖 3" xfId="20170"/>
    <cellStyle name="差_110水晶灯_119仿古砖 3 2" xfId="20171"/>
    <cellStyle name="差_110水晶灯_119仿古砖 4" xfId="20173"/>
    <cellStyle name="差_110水晶灯_119仿古砖 4 2" xfId="20174"/>
    <cellStyle name="差_110水晶灯_119仿古砖 5" xfId="20177"/>
    <cellStyle name="差_110水晶灯_119仿古砖 5 2" xfId="20178"/>
    <cellStyle name="差_110水晶灯_119仿古砖 6" xfId="20181"/>
    <cellStyle name="差_110水晶灯_119仿古砖_聊城样板房工程量计算稿" xfId="20183"/>
    <cellStyle name="差_110水晶灯_119仿古砖_终板 潍坊翡翠华庭样板房清单" xfId="20184"/>
    <cellStyle name="差_110水晶灯_2009年6月甲供材料模板（29类版）" xfId="20185"/>
    <cellStyle name="差_110水晶灯_2009年6月甲供材料模板（29类版） 2" xfId="20186"/>
    <cellStyle name="差_110水晶灯_2009年6月甲供材料模板（29类版） 2 2" xfId="20187"/>
    <cellStyle name="差_110水晶灯_2009年6月甲供材料模板（29类版） 3" xfId="20188"/>
    <cellStyle name="差_110水晶灯_2009年6月甲供材料模板（29类版） 3 2" xfId="20189"/>
    <cellStyle name="差_110水晶灯_2009年6月甲供材料模板（29类版） 4" xfId="20190"/>
    <cellStyle name="差_110水晶灯_2009年6月甲供材料模板（29类版） 4 2" xfId="20191"/>
    <cellStyle name="差_110水晶灯_2009年6月甲供材料模板（29类版） 5" xfId="20192"/>
    <cellStyle name="差_110水晶灯_2009年6月甲供材料模板（29类版） 5 2" xfId="20193"/>
    <cellStyle name="差_110水晶灯_2009年6月甲供材料模板（29类版） 6" xfId="10796"/>
    <cellStyle name="差_110水晶灯_2009年6月甲供材料模板（29类版）_聊城样板房工程量计算稿" xfId="20194"/>
    <cellStyle name="差_110水晶灯_2009年6月甲供材料模板（29类版）_终板 潍坊翡翠华庭样板房清单" xfId="20195"/>
    <cellStyle name="差_110水晶灯_聊城样板房工程量计算稿" xfId="20196"/>
    <cellStyle name="差_110水晶灯_终板 潍坊翡翠华庭样板房清单" xfId="17965"/>
    <cellStyle name="差_111橱柜浴室柜" xfId="20197"/>
    <cellStyle name="差_111橱柜浴室柜 2" xfId="20200"/>
    <cellStyle name="差_111橱柜浴室柜 2 2" xfId="20203"/>
    <cellStyle name="差_111橱柜浴室柜 2 2 2" xfId="15310"/>
    <cellStyle name="差_111橱柜浴室柜 2 3" xfId="20204"/>
    <cellStyle name="差_111橱柜浴室柜 2 3 2" xfId="5205"/>
    <cellStyle name="差_111橱柜浴室柜 2 4" xfId="20206"/>
    <cellStyle name="差_111橱柜浴室柜 2 4 2" xfId="5870"/>
    <cellStyle name="差_111橱柜浴室柜 2 5" xfId="20208"/>
    <cellStyle name="差_111橱柜浴室柜 2_聊城样板房工程量计算稿" xfId="20209"/>
    <cellStyle name="差_111橱柜浴室柜 2_终板 潍坊翡翠华庭样板房清单" xfId="20210"/>
    <cellStyle name="差_111橱柜浴室柜 3" xfId="20212"/>
    <cellStyle name="差_111橱柜浴室柜 3 2" xfId="20214"/>
    <cellStyle name="差_111橱柜浴室柜 3 2 2" xfId="15380"/>
    <cellStyle name="差_111橱柜浴室柜 3 3" xfId="20215"/>
    <cellStyle name="差_111橱柜浴室柜 3 3 2" xfId="1018"/>
    <cellStyle name="差_111橱柜浴室柜 3 4" xfId="20217"/>
    <cellStyle name="差_111橱柜浴室柜 3 4 2" xfId="20218"/>
    <cellStyle name="差_111橱柜浴室柜 3 5" xfId="20221"/>
    <cellStyle name="差_111橱柜浴室柜 4" xfId="20222"/>
    <cellStyle name="差_111橱柜浴室柜 4 2" xfId="20223"/>
    <cellStyle name="差_111橱柜浴室柜 5" xfId="20224"/>
    <cellStyle name="差_111橱柜浴室柜 5 2" xfId="20226"/>
    <cellStyle name="差_111橱柜浴室柜 6" xfId="20227"/>
    <cellStyle name="差_111橱柜浴室柜 6 2" xfId="20228"/>
    <cellStyle name="差_111橱柜浴室柜 7" xfId="20229"/>
    <cellStyle name="差_111橱柜浴室柜 7 2" xfId="20230"/>
    <cellStyle name="差_111橱柜浴室柜 8" xfId="20231"/>
    <cellStyle name="差_111橱柜浴室柜_102洁具-陶瓷" xfId="20233"/>
    <cellStyle name="差_111橱柜浴室柜_102洁具-陶瓷 2" xfId="20235"/>
    <cellStyle name="差_111橱柜浴室柜_102洁具-陶瓷 2 2" xfId="20237"/>
    <cellStyle name="差_111橱柜浴室柜_102洁具-陶瓷 3" xfId="20239"/>
    <cellStyle name="差_111橱柜浴室柜_102洁具-陶瓷 3 2" xfId="20241"/>
    <cellStyle name="差_111橱柜浴室柜_102洁具-陶瓷 4" xfId="20245"/>
    <cellStyle name="差_111橱柜浴室柜_102洁具-陶瓷 4 2" xfId="20247"/>
    <cellStyle name="差_111橱柜浴室柜_102洁具-陶瓷 5" xfId="20249"/>
    <cellStyle name="差_111橱柜浴室柜_102洁具-陶瓷 5 2" xfId="20250"/>
    <cellStyle name="差_111橱柜浴室柜_102洁具-陶瓷 6" xfId="20252"/>
    <cellStyle name="差_111橱柜浴室柜_102洁具-陶瓷_聊城样板房工程量计算稿" xfId="20253"/>
    <cellStyle name="差_111橱柜浴室柜_102洁具-陶瓷_终板 潍坊翡翠华庭样板房清单" xfId="4406"/>
    <cellStyle name="差_111橱柜浴室柜_105瓷片 " xfId="20255"/>
    <cellStyle name="差_111橱柜浴室柜_105瓷片  2" xfId="20256"/>
    <cellStyle name="差_111橱柜浴室柜_105瓷片  2 2" xfId="20257"/>
    <cellStyle name="差_111橱柜浴室柜_105瓷片  3" xfId="20258"/>
    <cellStyle name="差_111橱柜浴室柜_105瓷片  3 2" xfId="20259"/>
    <cellStyle name="差_111橱柜浴室柜_105瓷片  4" xfId="20260"/>
    <cellStyle name="差_111橱柜浴室柜_105瓷片  4 2" xfId="20261"/>
    <cellStyle name="差_111橱柜浴室柜_105瓷片  5" xfId="2909"/>
    <cellStyle name="差_111橱柜浴室柜_105瓷片  5 2" xfId="20263"/>
    <cellStyle name="差_111橱柜浴室柜_105瓷片  6" xfId="14081"/>
    <cellStyle name="差_111橱柜浴室柜_105瓷片 _聊城样板房工程量计算稿" xfId="20264"/>
    <cellStyle name="差_111橱柜浴室柜_105瓷片 _终板 潍坊翡翠华庭样板房清单" xfId="20266"/>
    <cellStyle name="差_111橱柜浴室柜_109吸顶灯" xfId="20267"/>
    <cellStyle name="差_111橱柜浴室柜_109吸顶灯 2" xfId="20268"/>
    <cellStyle name="差_111橱柜浴室柜_109吸顶灯 2 2" xfId="20269"/>
    <cellStyle name="差_111橱柜浴室柜_109吸顶灯 3" xfId="20270"/>
    <cellStyle name="差_111橱柜浴室柜_109吸顶灯 3 2" xfId="9911"/>
    <cellStyle name="差_111橱柜浴室柜_109吸顶灯 4" xfId="20271"/>
    <cellStyle name="差_111橱柜浴室柜_109吸顶灯 4 2" xfId="19891"/>
    <cellStyle name="差_111橱柜浴室柜_109吸顶灯 5" xfId="20272"/>
    <cellStyle name="差_111橱柜浴室柜_109吸顶灯 5 2" xfId="19439"/>
    <cellStyle name="差_111橱柜浴室柜_109吸顶灯 6" xfId="20273"/>
    <cellStyle name="差_111橱柜浴室柜_109吸顶灯_聊城样板房工程量计算稿" xfId="3368"/>
    <cellStyle name="差_111橱柜浴室柜_109吸顶灯_终板 潍坊翡翠华庭样板房清单" xfId="20276"/>
    <cellStyle name="差_111橱柜浴室柜_110水晶灯" xfId="20277"/>
    <cellStyle name="差_111橱柜浴室柜_110水晶灯 2" xfId="20278"/>
    <cellStyle name="差_111橱柜浴室柜_110水晶灯 2 2" xfId="20280"/>
    <cellStyle name="差_111橱柜浴室柜_110水晶灯 3" xfId="20281"/>
    <cellStyle name="差_111橱柜浴室柜_110水晶灯 3 2" xfId="4809"/>
    <cellStyle name="差_111橱柜浴室柜_110水晶灯 4" xfId="20283"/>
    <cellStyle name="差_111橱柜浴室柜_110水晶灯 4 2" xfId="20285"/>
    <cellStyle name="差_111橱柜浴室柜_110水晶灯 5" xfId="20287"/>
    <cellStyle name="差_111橱柜浴室柜_110水晶灯 5 2" xfId="20291"/>
    <cellStyle name="差_111橱柜浴室柜_110水晶灯 6" xfId="19962"/>
    <cellStyle name="差_111橱柜浴室柜_110水晶灯_聊城样板房工程量计算稿" xfId="20294"/>
    <cellStyle name="差_111橱柜浴室柜_110水晶灯_终板 潍坊翡翠华庭样板房清单" xfId="1985"/>
    <cellStyle name="差_111橱柜浴室柜_118仿石砖" xfId="13228"/>
    <cellStyle name="差_111橱柜浴室柜_118仿石砖 2" xfId="20296"/>
    <cellStyle name="差_111橱柜浴室柜_118仿石砖 2 2" xfId="20298"/>
    <cellStyle name="差_111橱柜浴室柜_118仿石砖 3" xfId="20300"/>
    <cellStyle name="差_111橱柜浴室柜_118仿石砖 3 2" xfId="20302"/>
    <cellStyle name="差_111橱柜浴室柜_118仿石砖 4" xfId="20304"/>
    <cellStyle name="差_111橱柜浴室柜_118仿石砖 4 2" xfId="20306"/>
    <cellStyle name="差_111橱柜浴室柜_118仿石砖 5" xfId="20310"/>
    <cellStyle name="差_111橱柜浴室柜_118仿石砖 5 2" xfId="20312"/>
    <cellStyle name="差_111橱柜浴室柜_118仿石砖 6" xfId="20315"/>
    <cellStyle name="差_111橱柜浴室柜_118仿石砖_聊城样板房工程量计算稿" xfId="20316"/>
    <cellStyle name="差_111橱柜浴室柜_118仿石砖_终板 潍坊翡翠华庭样板房清单" xfId="2384"/>
    <cellStyle name="差_111橱柜浴室柜_119仿古砖" xfId="4158"/>
    <cellStyle name="差_111橱柜浴室柜_119仿古砖 2" xfId="6039"/>
    <cellStyle name="差_111橱柜浴室柜_119仿古砖 2 2" xfId="7151"/>
    <cellStyle name="差_111橱柜浴室柜_119仿古砖 3" xfId="7154"/>
    <cellStyle name="差_111橱柜浴室柜_119仿古砖 3 2" xfId="7162"/>
    <cellStyle name="差_111橱柜浴室柜_119仿古砖 4" xfId="6607"/>
    <cellStyle name="差_111橱柜浴室柜_119仿古砖 4 2" xfId="20319"/>
    <cellStyle name="差_111橱柜浴室柜_119仿古砖 5" xfId="20320"/>
    <cellStyle name="差_111橱柜浴室柜_119仿古砖 5 2" xfId="20324"/>
    <cellStyle name="差_111橱柜浴室柜_119仿古砖 6" xfId="20325"/>
    <cellStyle name="差_111橱柜浴室柜_119仿古砖_聊城样板房工程量计算稿" xfId="12573"/>
    <cellStyle name="差_111橱柜浴室柜_119仿古砖_终板 潍坊翡翠华庭样板房清单" xfId="20326"/>
    <cellStyle name="差_111橱柜浴室柜_2009年6月甲供材料模板（29类版）" xfId="9486"/>
    <cellStyle name="差_111橱柜浴室柜_2009年6月甲供材料模板（29类版） 2" xfId="9489"/>
    <cellStyle name="差_111橱柜浴室柜_2009年6月甲供材料模板（29类版） 2 2" xfId="10447"/>
    <cellStyle name="差_111橱柜浴室柜_2009年6月甲供材料模板（29类版） 3" xfId="10450"/>
    <cellStyle name="差_111橱柜浴室柜_2009年6月甲供材料模板（29类版） 3 2" xfId="6328"/>
    <cellStyle name="差_111橱柜浴室柜_2009年6月甲供材料模板（29类版） 4" xfId="10453"/>
    <cellStyle name="差_111橱柜浴室柜_2009年6月甲供材料模板（29类版） 4 2" xfId="6364"/>
    <cellStyle name="差_111橱柜浴室柜_2009年6月甲供材料模板（29类版） 5" xfId="10455"/>
    <cellStyle name="差_111橱柜浴室柜_2009年6月甲供材料模板（29类版） 5 2" xfId="6379"/>
    <cellStyle name="差_111橱柜浴室柜_2009年6月甲供材料模板（29类版） 6" xfId="20327"/>
    <cellStyle name="差_111橱柜浴室柜_2009年6月甲供材料模板（29类版）_聊城样板房工程量计算稿" xfId="20328"/>
    <cellStyle name="差_111橱柜浴室柜_2009年6月甲供材料模板（29类版）_终板 潍坊翡翠华庭样板房清单" xfId="20329"/>
    <cellStyle name="差_111橱柜浴室柜_聊城样板房工程量计算稿" xfId="20330"/>
    <cellStyle name="差_111橱柜浴室柜_终板 潍坊翡翠华庭样板房清单" xfId="10742"/>
    <cellStyle name="差_112淋浴间隔" xfId="4645"/>
    <cellStyle name="差_112淋浴间隔 2" xfId="20331"/>
    <cellStyle name="差_112淋浴间隔 2 2" xfId="20333"/>
    <cellStyle name="差_112淋浴间隔 2 2 2" xfId="20334"/>
    <cellStyle name="差_112淋浴间隔 2 3" xfId="9931"/>
    <cellStyle name="差_112淋浴间隔 2 3 2" xfId="9933"/>
    <cellStyle name="差_112淋浴间隔 2 4" xfId="9936"/>
    <cellStyle name="差_112淋浴间隔 2 4 2" xfId="9938"/>
    <cellStyle name="差_112淋浴间隔 2 5" xfId="9943"/>
    <cellStyle name="差_112淋浴间隔 2_聊城样板房工程量计算稿" xfId="20336"/>
    <cellStyle name="差_112淋浴间隔 2_终板 潍坊翡翠华庭样板房清单" xfId="3716"/>
    <cellStyle name="差_112淋浴间隔 3" xfId="20338"/>
    <cellStyle name="差_112淋浴间隔 3 2" xfId="20341"/>
    <cellStyle name="差_112淋浴间隔 3 2 2" xfId="20343"/>
    <cellStyle name="差_112淋浴间隔 3 3" xfId="9949"/>
    <cellStyle name="差_112淋浴间隔 3 3 2" xfId="20344"/>
    <cellStyle name="差_112淋浴间隔 3 4" xfId="20347"/>
    <cellStyle name="差_112淋浴间隔 3 4 2" xfId="20348"/>
    <cellStyle name="差_112淋浴间隔 3 5" xfId="20350"/>
    <cellStyle name="差_112淋浴间隔 4" xfId="20351"/>
    <cellStyle name="差_112淋浴间隔 4 2" xfId="20354"/>
    <cellStyle name="差_112淋浴间隔 5" xfId="20356"/>
    <cellStyle name="差_112淋浴间隔 5 2" xfId="20360"/>
    <cellStyle name="差_112淋浴间隔 6" xfId="10157"/>
    <cellStyle name="差_112淋浴间隔 6 2" xfId="20364"/>
    <cellStyle name="差_112淋浴间隔 7" xfId="15320"/>
    <cellStyle name="差_112淋浴间隔 7 2" xfId="20367"/>
    <cellStyle name="差_112淋浴间隔 8" xfId="20370"/>
    <cellStyle name="差_112淋浴间隔_102洁具-陶瓷" xfId="20373"/>
    <cellStyle name="差_112淋浴间隔_102洁具-陶瓷 2" xfId="20375"/>
    <cellStyle name="差_112淋浴间隔_102洁具-陶瓷 2 2" xfId="122"/>
    <cellStyle name="差_112淋浴间隔_102洁具-陶瓷 3" xfId="20376"/>
    <cellStyle name="差_112淋浴间隔_102洁具-陶瓷 3 2" xfId="20380"/>
    <cellStyle name="差_112淋浴间隔_102洁具-陶瓷 4" xfId="20381"/>
    <cellStyle name="差_112淋浴间隔_102洁具-陶瓷 4 2" xfId="20382"/>
    <cellStyle name="差_112淋浴间隔_102洁具-陶瓷 5" xfId="20384"/>
    <cellStyle name="差_112淋浴间隔_102洁具-陶瓷 5 2" xfId="19192"/>
    <cellStyle name="差_112淋浴间隔_102洁具-陶瓷 6" xfId="20386"/>
    <cellStyle name="差_112淋浴间隔_102洁具-陶瓷_聊城样板房工程量计算稿" xfId="19465"/>
    <cellStyle name="差_112淋浴间隔_102洁具-陶瓷_终板 潍坊翡翠华庭样板房清单" xfId="20387"/>
    <cellStyle name="差_112淋浴间隔_105瓷片 " xfId="20388"/>
    <cellStyle name="差_112淋浴间隔_105瓷片  2" xfId="20389"/>
    <cellStyle name="差_112淋浴间隔_105瓷片  2 2" xfId="20390"/>
    <cellStyle name="差_112淋浴间隔_105瓷片  3" xfId="20391"/>
    <cellStyle name="差_112淋浴间隔_105瓷片  3 2" xfId="18545"/>
    <cellStyle name="差_112淋浴间隔_105瓷片  4" xfId="20394"/>
    <cellStyle name="差_112淋浴间隔_105瓷片  4 2" xfId="18557"/>
    <cellStyle name="差_112淋浴间隔_105瓷片  5" xfId="20397"/>
    <cellStyle name="差_112淋浴间隔_105瓷片  5 2" xfId="20400"/>
    <cellStyle name="差_112淋浴间隔_105瓷片  6" xfId="20401"/>
    <cellStyle name="差_112淋浴间隔_105瓷片 _聊城样板房工程量计算稿" xfId="20406"/>
    <cellStyle name="差_112淋浴间隔_105瓷片 _终板 潍坊翡翠华庭样板房清单" xfId="20408"/>
    <cellStyle name="差_112淋浴间隔_109吸顶灯" xfId="20410"/>
    <cellStyle name="差_112淋浴间隔_109吸顶灯 2" xfId="20411"/>
    <cellStyle name="差_112淋浴间隔_109吸顶灯 2 2" xfId="20412"/>
    <cellStyle name="差_112淋浴间隔_109吸顶灯 3" xfId="7223"/>
    <cellStyle name="差_112淋浴间隔_109吸顶灯 3 2" xfId="8429"/>
    <cellStyle name="差_112淋浴间隔_109吸顶灯 4" xfId="20413"/>
    <cellStyle name="差_112淋浴间隔_109吸顶灯 4 2" xfId="20416"/>
    <cellStyle name="差_112淋浴间隔_109吸顶灯 5" xfId="20421"/>
    <cellStyle name="差_112淋浴间隔_109吸顶灯 5 2" xfId="18056"/>
    <cellStyle name="差_112淋浴间隔_109吸顶灯 6" xfId="20424"/>
    <cellStyle name="差_112淋浴间隔_109吸顶灯_聊城样板房工程量计算稿" xfId="20429"/>
    <cellStyle name="差_112淋浴间隔_109吸顶灯_终板 潍坊翡翠华庭样板房清单" xfId="20432"/>
    <cellStyle name="差_112淋浴间隔_110水晶灯" xfId="1168"/>
    <cellStyle name="差_112淋浴间隔_110水晶灯 2" xfId="1174"/>
    <cellStyle name="差_112淋浴间隔_110水晶灯 2 2" xfId="1179"/>
    <cellStyle name="差_112淋浴间隔_110水晶灯 3" xfId="1187"/>
    <cellStyle name="差_112淋浴间隔_110水晶灯 3 2" xfId="1191"/>
    <cellStyle name="差_112淋浴间隔_110水晶灯 4" xfId="1195"/>
    <cellStyle name="差_112淋浴间隔_110水晶灯 4 2" xfId="3866"/>
    <cellStyle name="差_112淋浴间隔_110水晶灯 5" xfId="3869"/>
    <cellStyle name="差_112淋浴间隔_110水晶灯 5 2" xfId="19278"/>
    <cellStyle name="差_112淋浴间隔_110水晶灯 6" xfId="20433"/>
    <cellStyle name="差_112淋浴间隔_110水晶灯_聊城样板房工程量计算稿" xfId="5647"/>
    <cellStyle name="差_112淋浴间隔_110水晶灯_终板 潍坊翡翠华庭样板房清单" xfId="20435"/>
    <cellStyle name="差_112淋浴间隔_118仿石砖" xfId="20436"/>
    <cellStyle name="差_112淋浴间隔_118仿石砖 2" xfId="20437"/>
    <cellStyle name="差_112淋浴间隔_118仿石砖 2 2" xfId="11612"/>
    <cellStyle name="差_112淋浴间隔_118仿石砖 3" xfId="16724"/>
    <cellStyle name="差_112淋浴间隔_118仿石砖 3 2" xfId="16726"/>
    <cellStyle name="差_112淋浴间隔_118仿石砖 4" xfId="16729"/>
    <cellStyle name="差_112淋浴间隔_118仿石砖 4 2" xfId="16733"/>
    <cellStyle name="差_112淋浴间隔_118仿石砖 5" xfId="16736"/>
    <cellStyle name="差_112淋浴间隔_118仿石砖 5 2" xfId="20440"/>
    <cellStyle name="差_112淋浴间隔_118仿石砖 6" xfId="20442"/>
    <cellStyle name="差_112淋浴间隔_118仿石砖_聊城样板房工程量计算稿" xfId="20444"/>
    <cellStyle name="差_112淋浴间隔_118仿石砖_终板 潍坊翡翠华庭样板房清单" xfId="20445"/>
    <cellStyle name="差_112淋浴间隔_119仿古砖" xfId="5775"/>
    <cellStyle name="差_112淋浴间隔_119仿古砖 2" xfId="15271"/>
    <cellStyle name="差_112淋浴间隔_119仿古砖 2 2" xfId="15954"/>
    <cellStyle name="差_112淋浴间隔_119仿古砖 3" xfId="14514"/>
    <cellStyle name="差_112淋浴间隔_119仿古砖 3 2" xfId="15956"/>
    <cellStyle name="差_112淋浴间隔_119仿古砖 4" xfId="15958"/>
    <cellStyle name="差_112淋浴间隔_119仿古砖 4 2" xfId="20448"/>
    <cellStyle name="差_112淋浴间隔_119仿古砖 5" xfId="11814"/>
    <cellStyle name="差_112淋浴间隔_119仿古砖 5 2" xfId="20449"/>
    <cellStyle name="差_112淋浴间隔_119仿古砖 6" xfId="20450"/>
    <cellStyle name="差_112淋浴间隔_119仿古砖_聊城样板房工程量计算稿" xfId="20452"/>
    <cellStyle name="差_112淋浴间隔_119仿古砖_终板 潍坊翡翠华庭样板房清单" xfId="24"/>
    <cellStyle name="差_112淋浴间隔_2009年6月甲供材料模板（29类版）" xfId="20454"/>
    <cellStyle name="差_112淋浴间隔_2009年6月甲供材料模板（29类版） 2" xfId="20455"/>
    <cellStyle name="差_112淋浴间隔_2009年6月甲供材料模板（29类版） 2 2" xfId="20457"/>
    <cellStyle name="差_112淋浴间隔_2009年6月甲供材料模板（29类版） 3" xfId="20459"/>
    <cellStyle name="差_112淋浴间隔_2009年6月甲供材料模板（29类版） 3 2" xfId="20461"/>
    <cellStyle name="差_112淋浴间隔_2009年6月甲供材料模板（29类版） 4" xfId="20462"/>
    <cellStyle name="差_112淋浴间隔_2009年6月甲供材料模板（29类版） 4 2" xfId="20465"/>
    <cellStyle name="差_112淋浴间隔_2009年6月甲供材料模板（29类版） 5" xfId="20466"/>
    <cellStyle name="差_112淋浴间隔_2009年6月甲供材料模板（29类版） 5 2" xfId="20467"/>
    <cellStyle name="差_112淋浴间隔_2009年6月甲供材料模板（29类版） 6" xfId="20468"/>
    <cellStyle name="差_112淋浴间隔_2009年6月甲供材料模板（29类版）_聊城样板房工程量计算稿" xfId="20471"/>
    <cellStyle name="差_112淋浴间隔_2009年6月甲供材料模板（29类版）_终板 潍坊翡翠华庭样板房清单" xfId="20472"/>
    <cellStyle name="差_112淋浴间隔_聊城样板房工程量计算稿" xfId="20473"/>
    <cellStyle name="差_112淋浴间隔_终板 潍坊翡翠华庭样板房清单" xfId="20474"/>
    <cellStyle name="差_114门锁五金" xfId="20481"/>
    <cellStyle name="差_114门锁五金 2" xfId="20484"/>
    <cellStyle name="差_114门锁五金 2 2" xfId="20485"/>
    <cellStyle name="差_114门锁五金 2 2 2" xfId="20490"/>
    <cellStyle name="差_114门锁五金 2 3" xfId="20493"/>
    <cellStyle name="差_114门锁五金 2 3 2" xfId="20498"/>
    <cellStyle name="差_114门锁五金 2 4" xfId="20502"/>
    <cellStyle name="差_114门锁五金 2 4 2" xfId="20505"/>
    <cellStyle name="差_114门锁五金 2 5" xfId="20506"/>
    <cellStyle name="差_114门锁五金 2_聊城样板房工程量计算稿" xfId="20508"/>
    <cellStyle name="差_114门锁五金 2_终板 潍坊翡翠华庭样板房清单" xfId="20510"/>
    <cellStyle name="差_114门锁五金 3" xfId="20512"/>
    <cellStyle name="差_114门锁五金 3 2" xfId="20514"/>
    <cellStyle name="差_114门锁五金 3 2 2" xfId="20515"/>
    <cellStyle name="差_114门锁五金 3 3" xfId="20516"/>
    <cellStyle name="差_114门锁五金 3 3 2" xfId="20517"/>
    <cellStyle name="差_114门锁五金 3 4" xfId="4539"/>
    <cellStyle name="差_114门锁五金 3 4 2" xfId="4541"/>
    <cellStyle name="差_114门锁五金 3 5" xfId="3663"/>
    <cellStyle name="差_114门锁五金 4" xfId="20519"/>
    <cellStyle name="差_114门锁五金 4 2" xfId="20521"/>
    <cellStyle name="差_114门锁五金 5" xfId="20523"/>
    <cellStyle name="差_114门锁五金 5 2" xfId="20525"/>
    <cellStyle name="差_114门锁五金 6" xfId="20527"/>
    <cellStyle name="差_114门锁五金 6 2" xfId="20528"/>
    <cellStyle name="差_114门锁五金 7" xfId="20529"/>
    <cellStyle name="差_114门锁五金 7 2" xfId="20530"/>
    <cellStyle name="差_114门锁五金 8" xfId="8504"/>
    <cellStyle name="差_114门锁五金_102洁具-陶瓷" xfId="20531"/>
    <cellStyle name="差_114门锁五金_102洁具-陶瓷 2" xfId="20533"/>
    <cellStyle name="差_114门锁五金_102洁具-陶瓷 2 2" xfId="20534"/>
    <cellStyle name="差_114门锁五金_102洁具-陶瓷 3" xfId="20535"/>
    <cellStyle name="差_114门锁五金_102洁具-陶瓷 3 2" xfId="15316"/>
    <cellStyle name="差_114门锁五金_102洁具-陶瓷 4" xfId="20536"/>
    <cellStyle name="差_114门锁五金_102洁具-陶瓷 4 2" xfId="15384"/>
    <cellStyle name="差_114门锁五金_102洁具-陶瓷 5" xfId="20538"/>
    <cellStyle name="差_114门锁五金_102洁具-陶瓷 5 2" xfId="20540"/>
    <cellStyle name="差_114门锁五金_102洁具-陶瓷 6" xfId="20542"/>
    <cellStyle name="差_114门锁五金_102洁具-陶瓷_聊城样板房工程量计算稿" xfId="20543"/>
    <cellStyle name="差_114门锁五金_102洁具-陶瓷_终板 潍坊翡翠华庭样板房清单" xfId="7805"/>
    <cellStyle name="差_114门锁五金_105瓷片 " xfId="20544"/>
    <cellStyle name="差_114门锁五金_105瓷片  2" xfId="20547"/>
    <cellStyle name="差_114门锁五金_105瓷片  2 2" xfId="20548"/>
    <cellStyle name="差_114门锁五金_105瓷片  3" xfId="20552"/>
    <cellStyle name="差_114门锁五金_105瓷片  3 2" xfId="20553"/>
    <cellStyle name="差_114门锁五金_105瓷片  4" xfId="20554"/>
    <cellStyle name="差_114门锁五金_105瓷片  4 2" xfId="20555"/>
    <cellStyle name="差_114门锁五金_105瓷片  5" xfId="20556"/>
    <cellStyle name="差_114门锁五金_105瓷片  5 2" xfId="20557"/>
    <cellStyle name="差_114门锁五金_105瓷片  6" xfId="20559"/>
    <cellStyle name="差_114门锁五金_105瓷片 _聊城样板房工程量计算稿" xfId="20560"/>
    <cellStyle name="差_114门锁五金_105瓷片 _终板 潍坊翡翠华庭样板房清单" xfId="20563"/>
    <cellStyle name="差_114门锁五金_109吸顶灯" xfId="6535"/>
    <cellStyle name="差_114门锁五金_109吸顶灯 2" xfId="6973"/>
    <cellStyle name="差_114门锁五金_109吸顶灯 2 2" xfId="20564"/>
    <cellStyle name="差_114门锁五金_109吸顶灯 3" xfId="15440"/>
    <cellStyle name="差_114门锁五金_109吸顶灯 3 2" xfId="20566"/>
    <cellStyle name="差_114门锁五金_109吸顶灯 4" xfId="20568"/>
    <cellStyle name="差_114门锁五金_109吸顶灯 4 2" xfId="20569"/>
    <cellStyle name="差_114门锁五金_109吸顶灯 5" xfId="20570"/>
    <cellStyle name="差_114门锁五金_109吸顶灯 5 2" xfId="20571"/>
    <cellStyle name="差_114门锁五金_109吸顶灯 6" xfId="20573"/>
    <cellStyle name="差_114门锁五金_109吸顶灯_聊城样板房工程量计算稿" xfId="20574"/>
    <cellStyle name="差_114门锁五金_109吸顶灯_终板 潍坊翡翠华庭样板房清单" xfId="20575"/>
    <cellStyle name="差_114门锁五金_110水晶灯" xfId="10694"/>
    <cellStyle name="差_114门锁五金_110水晶灯 2" xfId="10696"/>
    <cellStyle name="差_114门锁五金_110水晶灯 2 2" xfId="20577"/>
    <cellStyle name="差_114门锁五金_110水晶灯 3" xfId="20578"/>
    <cellStyle name="差_114门锁五金_110水晶灯 3 2" xfId="20580"/>
    <cellStyle name="差_114门锁五金_110水晶灯 4" xfId="20581"/>
    <cellStyle name="差_114门锁五金_110水晶灯 4 2" xfId="20582"/>
    <cellStyle name="差_114门锁五金_110水晶灯 5" xfId="20583"/>
    <cellStyle name="差_114门锁五金_110水晶灯 5 2" xfId="18540"/>
    <cellStyle name="差_114门锁五金_110水晶灯 6" xfId="5106"/>
    <cellStyle name="差_114门锁五金_110水晶灯_聊城样板房工程量计算稿" xfId="20586"/>
    <cellStyle name="差_114门锁五金_110水晶灯_终板 潍坊翡翠华庭样板房清单" xfId="20587"/>
    <cellStyle name="差_114门锁五金_118仿石砖" xfId="20589"/>
    <cellStyle name="差_114门锁五金_118仿石砖 2" xfId="20372"/>
    <cellStyle name="差_114门锁五金_118仿石砖 2 2" xfId="20374"/>
    <cellStyle name="差_114门锁五金_118仿石砖 3" xfId="20590"/>
    <cellStyle name="差_114门锁五金_118仿石砖 3 2" xfId="20591"/>
    <cellStyle name="差_114门锁五金_118仿石砖 4" xfId="20592"/>
    <cellStyle name="差_114门锁五金_118仿石砖 4 2" xfId="20593"/>
    <cellStyle name="差_114门锁五金_118仿石砖 5" xfId="20594"/>
    <cellStyle name="差_114门锁五金_118仿石砖 5 2" xfId="20596"/>
    <cellStyle name="差_114门锁五金_118仿石砖 6" xfId="20597"/>
    <cellStyle name="差_114门锁五金_118仿石砖_聊城样板房工程量计算稿" xfId="20599"/>
    <cellStyle name="差_114门锁五金_118仿石砖_终板 潍坊翡翠华庭样板房清单" xfId="20409"/>
    <cellStyle name="差_114门锁五金_119仿古砖" xfId="502"/>
    <cellStyle name="差_114门锁五金_119仿古砖 2" xfId="20601"/>
    <cellStyle name="差_114门锁五金_119仿古砖 2 2" xfId="20602"/>
    <cellStyle name="差_114门锁五金_119仿古砖 3" xfId="20603"/>
    <cellStyle name="差_114门锁五金_119仿古砖 3 2" xfId="20604"/>
    <cellStyle name="差_114门锁五金_119仿古砖 4" xfId="20605"/>
    <cellStyle name="差_114门锁五金_119仿古砖 4 2" xfId="20606"/>
    <cellStyle name="差_114门锁五金_119仿古砖 5" xfId="20608"/>
    <cellStyle name="差_114门锁五金_119仿古砖 5 2" xfId="20609"/>
    <cellStyle name="差_114门锁五金_119仿古砖 6" xfId="20610"/>
    <cellStyle name="差_114门锁五金_119仿古砖_聊城样板房工程量计算稿" xfId="20611"/>
    <cellStyle name="差_114门锁五金_119仿古砖_终板 潍坊翡翠华庭样板房清单" xfId="20612"/>
    <cellStyle name="差_114门锁五金_2009年6月甲供材料模板（29类版）" xfId="20613"/>
    <cellStyle name="差_114门锁五金_2009年6月甲供材料模板（29类版） 2" xfId="20614"/>
    <cellStyle name="差_114门锁五金_2009年6月甲供材料模板（29类版） 2 2" xfId="16951"/>
    <cellStyle name="差_114门锁五金_2009年6月甲供材料模板（29类版） 3" xfId="20615"/>
    <cellStyle name="差_114门锁五金_2009年6月甲供材料模板（29类版） 3 2" xfId="16963"/>
    <cellStyle name="差_114门锁五金_2009年6月甲供材料模板（29类版） 4" xfId="20616"/>
    <cellStyle name="差_114门锁五金_2009年6月甲供材料模板（29类版） 4 2" xfId="16971"/>
    <cellStyle name="差_114门锁五金_2009年6月甲供材料模板（29类版） 5" xfId="20617"/>
    <cellStyle name="差_114门锁五金_2009年6月甲供材料模板（29类版） 5 2" xfId="16977"/>
    <cellStyle name="差_114门锁五金_2009年6月甲供材料模板（29类版） 6" xfId="20618"/>
    <cellStyle name="差_114门锁五金_2009年6月甲供材料模板（29类版）_聊城样板房工程量计算稿" xfId="20619"/>
    <cellStyle name="差_114门锁五金_2009年6月甲供材料模板（29类版）_终板 潍坊翡翠华庭样板房清单" xfId="17250"/>
    <cellStyle name="差_114门锁五金_聊城样板房工程量计算稿" xfId="20622"/>
    <cellStyle name="差_114门锁五金_终板 潍坊翡翠华庭样板房清单" xfId="16377"/>
    <cellStyle name="差_115木地板" xfId="20623"/>
    <cellStyle name="差_115木地板 2" xfId="20624"/>
    <cellStyle name="差_115木地板 2 2" xfId="20625"/>
    <cellStyle name="差_115木地板 2 2 2" xfId="13790"/>
    <cellStyle name="差_115木地板 2 3" xfId="20627"/>
    <cellStyle name="差_115木地板 2 3 2" xfId="20629"/>
    <cellStyle name="差_115木地板 2 4" xfId="120"/>
    <cellStyle name="差_115木地板 2 4 2" xfId="20631"/>
    <cellStyle name="差_115木地板 2 5" xfId="148"/>
    <cellStyle name="差_115木地板 2_聊城样板房工程量计算稿" xfId="5405"/>
    <cellStyle name="差_115木地板 2_终板 潍坊翡翠华庭样板房清单" xfId="17873"/>
    <cellStyle name="差_115木地板 3" xfId="15763"/>
    <cellStyle name="差_115木地板 3 2" xfId="15765"/>
    <cellStyle name="差_115木地板 3 2 2" xfId="20633"/>
    <cellStyle name="差_115木地板 3 3" xfId="20634"/>
    <cellStyle name="差_115木地板 3 3 2" xfId="20635"/>
    <cellStyle name="差_115木地板 3 4" xfId="251"/>
    <cellStyle name="差_115木地板 3 4 2" xfId="20636"/>
    <cellStyle name="差_115木地板 3 5" xfId="256"/>
    <cellStyle name="差_115木地板 4" xfId="15767"/>
    <cellStyle name="差_115木地板 4 2" xfId="15769"/>
    <cellStyle name="差_115木地板 5" xfId="15771"/>
    <cellStyle name="差_115木地板 5 2" xfId="15773"/>
    <cellStyle name="差_115木地板 6" xfId="15775"/>
    <cellStyle name="差_115木地板 6 2" xfId="20637"/>
    <cellStyle name="差_115木地板 7" xfId="20638"/>
    <cellStyle name="差_115木地板 7 2" xfId="20639"/>
    <cellStyle name="差_115木地板 8" xfId="20641"/>
    <cellStyle name="差_115木地板_102洁具-陶瓷" xfId="20642"/>
    <cellStyle name="差_115木地板_102洁具-陶瓷 2" xfId="20643"/>
    <cellStyle name="差_115木地板_102洁具-陶瓷 2 2" xfId="20644"/>
    <cellStyle name="差_115木地板_102洁具-陶瓷 3" xfId="20645"/>
    <cellStyle name="差_115木地板_102洁具-陶瓷 3 2" xfId="20646"/>
    <cellStyle name="差_115木地板_102洁具-陶瓷 4" xfId="845"/>
    <cellStyle name="差_115木地板_102洁具-陶瓷 4 2" xfId="20648"/>
    <cellStyle name="差_115木地板_102洁具-陶瓷 5" xfId="20649"/>
    <cellStyle name="差_115木地板_102洁具-陶瓷 5 2" xfId="20651"/>
    <cellStyle name="差_115木地板_102洁具-陶瓷 6" xfId="20652"/>
    <cellStyle name="差_115木地板_102洁具-陶瓷_聊城样板房工程量计算稿" xfId="20653"/>
    <cellStyle name="差_115木地板_102洁具-陶瓷_终板 潍坊翡翠华庭样板房清单" xfId="20654"/>
    <cellStyle name="差_115木地板_105瓷片 " xfId="18396"/>
    <cellStyle name="差_115木地板_105瓷片  2" xfId="20657"/>
    <cellStyle name="差_115木地板_105瓷片  2 2" xfId="20659"/>
    <cellStyle name="差_115木地板_105瓷片  3" xfId="20661"/>
    <cellStyle name="差_115木地板_105瓷片  3 2" xfId="20663"/>
    <cellStyle name="差_115木地板_105瓷片  4" xfId="7642"/>
    <cellStyle name="差_115木地板_105瓷片  4 2" xfId="20665"/>
    <cellStyle name="差_115木地板_105瓷片  5" xfId="20667"/>
    <cellStyle name="差_115木地板_105瓷片  5 2" xfId="9508"/>
    <cellStyle name="差_115木地板_105瓷片  6" xfId="20670"/>
    <cellStyle name="差_115木地板_105瓷片 _聊城样板房工程量计算稿" xfId="19981"/>
    <cellStyle name="差_115木地板_105瓷片 _终板 潍坊翡翠华庭样板房清单" xfId="9978"/>
    <cellStyle name="差_115木地板_109吸顶灯" xfId="629"/>
    <cellStyle name="差_115木地板_109吸顶灯 2" xfId="20672"/>
    <cellStyle name="差_115木地板_109吸顶灯 2 2" xfId="20676"/>
    <cellStyle name="差_115木地板_109吸顶灯 3" xfId="20677"/>
    <cellStyle name="差_115木地板_109吸顶灯 3 2" xfId="20681"/>
    <cellStyle name="差_115木地板_109吸顶灯 4" xfId="20684"/>
    <cellStyle name="差_115木地板_109吸顶灯 4 2" xfId="20686"/>
    <cellStyle name="差_115木地板_109吸顶灯 5" xfId="20687"/>
    <cellStyle name="差_115木地板_109吸顶灯 5 2" xfId="20690"/>
    <cellStyle name="差_115木地板_109吸顶灯 6" xfId="20692"/>
    <cellStyle name="差_115木地板_109吸顶灯_聊城样板房工程量计算稿" xfId="10670"/>
    <cellStyle name="差_115木地板_109吸顶灯_终板 潍坊翡翠华庭样板房清单" xfId="20695"/>
    <cellStyle name="差_115木地板_110水晶灯" xfId="20697"/>
    <cellStyle name="差_115木地板_110水晶灯 2" xfId="20699"/>
    <cellStyle name="差_115木地板_110水晶灯 2 2" xfId="6912"/>
    <cellStyle name="差_115木地板_110水晶灯 3" xfId="20700"/>
    <cellStyle name="差_115木地板_110水晶灯 3 2" xfId="6922"/>
    <cellStyle name="差_115木地板_110水晶灯 4" xfId="20701"/>
    <cellStyle name="差_115木地板_110水晶灯 4 2" xfId="6931"/>
    <cellStyle name="差_115木地板_110水晶灯 5" xfId="20703"/>
    <cellStyle name="差_115木地板_110水晶灯 5 2" xfId="20704"/>
    <cellStyle name="差_115木地板_110水晶灯 6" xfId="4215"/>
    <cellStyle name="差_115木地板_110水晶灯_聊城样板房工程量计算稿" xfId="13443"/>
    <cellStyle name="差_115木地板_110水晶灯_终板 潍坊翡翠华庭样板房清单" xfId="19901"/>
    <cellStyle name="差_115木地板_118仿石砖" xfId="20705"/>
    <cellStyle name="差_115木地板_118仿石砖 2" xfId="20706"/>
    <cellStyle name="差_115木地板_118仿石砖 2 2" xfId="20368"/>
    <cellStyle name="差_115木地板_118仿石砖 3" xfId="20710"/>
    <cellStyle name="差_115木地板_118仿石砖 3 2" xfId="20711"/>
    <cellStyle name="差_115木地板_118仿石砖 4" xfId="20712"/>
    <cellStyle name="差_115木地板_118仿石砖 4 2" xfId="20713"/>
    <cellStyle name="差_115木地板_118仿石砖 5" xfId="20714"/>
    <cellStyle name="差_115木地板_118仿石砖 5 2" xfId="20715"/>
    <cellStyle name="差_115木地板_118仿石砖 6" xfId="20716"/>
    <cellStyle name="差_115木地板_118仿石砖_聊城样板房工程量计算稿" xfId="20718"/>
    <cellStyle name="差_115木地板_118仿石砖_终板 潍坊翡翠华庭样板房清单" xfId="7074"/>
    <cellStyle name="差_115木地板_119仿古砖" xfId="13188"/>
    <cellStyle name="差_115木地板_119仿古砖 2" xfId="13191"/>
    <cellStyle name="差_115木地板_119仿古砖 2 2" xfId="20719"/>
    <cellStyle name="差_115木地板_119仿古砖 3" xfId="20720"/>
    <cellStyle name="差_115木地板_119仿古砖 3 2" xfId="20721"/>
    <cellStyle name="差_115木地板_119仿古砖 4" xfId="20723"/>
    <cellStyle name="差_115木地板_119仿古砖 4 2" xfId="20724"/>
    <cellStyle name="差_115木地板_119仿古砖 5" xfId="20726"/>
    <cellStyle name="差_115木地板_119仿古砖 5 2" xfId="20727"/>
    <cellStyle name="差_115木地板_119仿古砖 6" xfId="1423"/>
    <cellStyle name="差_115木地板_119仿古砖_聊城样板房工程量计算稿" xfId="20728"/>
    <cellStyle name="差_115木地板_119仿古砖_终板 潍坊翡翠华庭样板房清单" xfId="20730"/>
    <cellStyle name="差_115木地板_2009年6月甲供材料模板（29类版）" xfId="20731"/>
    <cellStyle name="差_115木地板_2009年6月甲供材料模板（29类版） 2" xfId="20732"/>
    <cellStyle name="差_115木地板_2009年6月甲供材料模板（29类版） 2 2" xfId="20733"/>
    <cellStyle name="差_115木地板_2009年6月甲供材料模板（29类版） 3" xfId="20735"/>
    <cellStyle name="差_115木地板_2009年6月甲供材料模板（29类版） 3 2" xfId="20736"/>
    <cellStyle name="差_115木地板_2009年6月甲供材料模板（29类版） 4" xfId="20739"/>
    <cellStyle name="差_115木地板_2009年6月甲供材料模板（29类版） 4 2" xfId="20741"/>
    <cellStyle name="差_115木地板_2009年6月甲供材料模板（29类版） 5" xfId="2638"/>
    <cellStyle name="差_115木地板_2009年6月甲供材料模板（29类版） 5 2" xfId="20743"/>
    <cellStyle name="差_115木地板_2009年6月甲供材料模板（29类版） 6" xfId="20744"/>
    <cellStyle name="差_115木地板_2009年6月甲供材料模板（29类版）_聊城样板房工程量计算稿" xfId="11517"/>
    <cellStyle name="差_115木地板_2009年6月甲供材料模板（29类版）_终板 潍坊翡翠华庭样板房清单" xfId="16926"/>
    <cellStyle name="差_115木地板_聊城样板房工程量计算稿" xfId="2344"/>
    <cellStyle name="差_115木地板_终板 潍坊翡翠华庭样板房清单" xfId="20747"/>
    <cellStyle name="差_118仿石砖" xfId="12214"/>
    <cellStyle name="差_118仿石砖 2" xfId="13733"/>
    <cellStyle name="差_118仿石砖 2 2" xfId="13738"/>
    <cellStyle name="差_118仿石砖 3" xfId="13744"/>
    <cellStyle name="差_118仿石砖 3 2" xfId="16615"/>
    <cellStyle name="差_118仿石砖 4" xfId="16618"/>
    <cellStyle name="差_118仿石砖 4 2" xfId="20748"/>
    <cellStyle name="差_118仿石砖 5" xfId="20749"/>
    <cellStyle name="差_118仿石砖 5 2" xfId="20750"/>
    <cellStyle name="差_118仿石砖 6" xfId="20751"/>
    <cellStyle name="差_118仿石砖_聊城样板房工程量计算稿" xfId="6295"/>
    <cellStyle name="差_118仿石砖_终板 潍坊翡翠华庭样板房清单" xfId="20752"/>
    <cellStyle name="差_119仿古砖" xfId="4334"/>
    <cellStyle name="差_119仿古砖 2" xfId="20755"/>
    <cellStyle name="差_119仿古砖 2 2" xfId="20758"/>
    <cellStyle name="差_119仿古砖 2 2 2" xfId="20761"/>
    <cellStyle name="差_119仿古砖 2 3" xfId="20763"/>
    <cellStyle name="差_119仿古砖 2 3 2" xfId="20765"/>
    <cellStyle name="差_119仿古砖 2 4" xfId="20767"/>
    <cellStyle name="差_119仿古砖 2 4 2" xfId="20768"/>
    <cellStyle name="差_119仿古砖 2 5" xfId="20769"/>
    <cellStyle name="差_119仿古砖 2_聊城样板房工程量计算稿" xfId="20770"/>
    <cellStyle name="差_119仿古砖 2_终板 潍坊翡翠华庭样板房清单" xfId="8773"/>
    <cellStyle name="差_119仿古砖 3" xfId="20774"/>
    <cellStyle name="差_119仿古砖 3 2" xfId="20776"/>
    <cellStyle name="差_119仿古砖 3 2 2" xfId="20777"/>
    <cellStyle name="差_119仿古砖 3 3" xfId="20778"/>
    <cellStyle name="差_119仿古砖 3 3 2" xfId="20779"/>
    <cellStyle name="差_119仿古砖 3 4" xfId="20780"/>
    <cellStyle name="差_119仿古砖 3 4 2" xfId="20781"/>
    <cellStyle name="差_119仿古砖 3 5" xfId="4600"/>
    <cellStyle name="差_119仿古砖 4" xfId="20784"/>
    <cellStyle name="差_119仿古砖 4 2" xfId="20786"/>
    <cellStyle name="差_119仿古砖 5" xfId="20789"/>
    <cellStyle name="差_119仿古砖 5 2" xfId="20791"/>
    <cellStyle name="差_119仿古砖 6" xfId="20794"/>
    <cellStyle name="差_119仿古砖 6 2" xfId="20795"/>
    <cellStyle name="差_119仿古砖 7" xfId="20797"/>
    <cellStyle name="差_119仿古砖 7 2" xfId="20798"/>
    <cellStyle name="差_119仿古砖 8" xfId="20800"/>
    <cellStyle name="差_119仿古砖_1" xfId="20801"/>
    <cellStyle name="差_119仿古砖_1 2" xfId="20802"/>
    <cellStyle name="差_119仿古砖_1 2 2" xfId="20803"/>
    <cellStyle name="差_119仿古砖_1 3" xfId="20804"/>
    <cellStyle name="差_119仿古砖_1 3 2" xfId="16316"/>
    <cellStyle name="差_119仿古砖_1 4" xfId="20805"/>
    <cellStyle name="差_119仿古砖_1 4 2" xfId="16328"/>
    <cellStyle name="差_119仿古砖_1 5" xfId="20806"/>
    <cellStyle name="差_119仿古砖_1 5 2" xfId="20807"/>
    <cellStyle name="差_119仿古砖_1 6" xfId="20808"/>
    <cellStyle name="差_119仿古砖_1_聊城样板房工程量计算稿" xfId="609"/>
    <cellStyle name="差_119仿古砖_1_终板 潍坊翡翠华庭样板房清单" xfId="20809"/>
    <cellStyle name="差_119仿古砖_102洁具-陶瓷" xfId="11223"/>
    <cellStyle name="差_119仿古砖_102洁具-陶瓷 2" xfId="11227"/>
    <cellStyle name="差_119仿古砖_102洁具-陶瓷 2 2" xfId="6381"/>
    <cellStyle name="差_119仿古砖_102洁具-陶瓷 3" xfId="20810"/>
    <cellStyle name="差_119仿古砖_102洁具-陶瓷 3 2" xfId="6430"/>
    <cellStyle name="差_119仿古砖_102洁具-陶瓷 4" xfId="20811"/>
    <cellStyle name="差_119仿古砖_102洁具-陶瓷 4 2" xfId="6446"/>
    <cellStyle name="差_119仿古砖_102洁具-陶瓷 5" xfId="20812"/>
    <cellStyle name="差_119仿古砖_102洁具-陶瓷 5 2" xfId="5741"/>
    <cellStyle name="差_119仿古砖_102洁具-陶瓷 6" xfId="20814"/>
    <cellStyle name="差_119仿古砖_102洁具-陶瓷_聊城样板房工程量计算稿" xfId="20815"/>
    <cellStyle name="差_119仿古砖_102洁具-陶瓷_终板 潍坊翡翠华庭样板房清单" xfId="20817"/>
    <cellStyle name="差_119仿古砖_105瓷片 " xfId="20818"/>
    <cellStyle name="差_119仿古砖_105瓷片  2" xfId="8968"/>
    <cellStyle name="差_119仿古砖_105瓷片  2 2" xfId="8971"/>
    <cellStyle name="差_119仿古砖_105瓷片  3" xfId="8979"/>
    <cellStyle name="差_119仿古砖_105瓷片  3 2" xfId="8981"/>
    <cellStyle name="差_119仿古砖_105瓷片  4" xfId="8983"/>
    <cellStyle name="差_119仿古砖_105瓷片  4 2" xfId="20819"/>
    <cellStyle name="差_119仿古砖_105瓷片  5" xfId="20820"/>
    <cellStyle name="差_119仿古砖_105瓷片  5 2" xfId="20821"/>
    <cellStyle name="差_119仿古砖_105瓷片  6" xfId="20823"/>
    <cellStyle name="差_119仿古砖_105瓷片 _聊城样板房工程量计算稿" xfId="4353"/>
    <cellStyle name="差_119仿古砖_105瓷片 _终板 潍坊翡翠华庭样板房清单" xfId="20824"/>
    <cellStyle name="差_119仿古砖_109吸顶灯" xfId="20827"/>
    <cellStyle name="差_119仿古砖_109吸顶灯 2" xfId="20828"/>
    <cellStyle name="差_119仿古砖_109吸顶灯 2 2" xfId="20829"/>
    <cellStyle name="差_119仿古砖_109吸顶灯 3" xfId="20830"/>
    <cellStyle name="差_119仿古砖_109吸顶灯 3 2" xfId="20831"/>
    <cellStyle name="差_119仿古砖_109吸顶灯 4" xfId="20834"/>
    <cellStyle name="差_119仿古砖_109吸顶灯 4 2" xfId="20836"/>
    <cellStyle name="差_119仿古砖_109吸顶灯 5" xfId="20838"/>
    <cellStyle name="差_119仿古砖_109吸顶灯 5 2" xfId="20841"/>
    <cellStyle name="差_119仿古砖_109吸顶灯 6" xfId="20843"/>
    <cellStyle name="差_119仿古砖_109吸顶灯_聊城样板房工程量计算稿" xfId="20845"/>
    <cellStyle name="差_119仿古砖_109吸顶灯_终板 潍坊翡翠华庭样板房清单" xfId="11357"/>
    <cellStyle name="差_119仿古砖_110水晶灯" xfId="20846"/>
    <cellStyle name="差_119仿古砖_110水晶灯 2" xfId="20847"/>
    <cellStyle name="差_119仿古砖_110水晶灯 2 2" xfId="813"/>
    <cellStyle name="差_119仿古砖_110水晶灯 3" xfId="20848"/>
    <cellStyle name="差_119仿古砖_110水晶灯 3 2" xfId="20849"/>
    <cellStyle name="差_119仿古砖_110水晶灯 4" xfId="20850"/>
    <cellStyle name="差_119仿古砖_110水晶灯 4 2" xfId="20851"/>
    <cellStyle name="差_119仿古砖_110水晶灯 5" xfId="20852"/>
    <cellStyle name="差_119仿古砖_110水晶灯 5 2" xfId="20853"/>
    <cellStyle name="差_119仿古砖_110水晶灯 6" xfId="20859"/>
    <cellStyle name="差_119仿古砖_110水晶灯_聊城样板房工程量计算稿" xfId="20860"/>
    <cellStyle name="差_119仿古砖_110水晶灯_终板 潍坊翡翠华庭样板房清单" xfId="20861"/>
    <cellStyle name="差_119仿古砖_118仿石砖" xfId="20862"/>
    <cellStyle name="差_119仿古砖_118仿石砖 2" xfId="11153"/>
    <cellStyle name="差_119仿古砖_118仿石砖 2 2" xfId="11155"/>
    <cellStyle name="差_119仿古砖_118仿石砖 3" xfId="11164"/>
    <cellStyle name="差_119仿古砖_118仿石砖 3 2" xfId="11166"/>
    <cellStyle name="差_119仿古砖_118仿石砖 4" xfId="11175"/>
    <cellStyle name="差_119仿古砖_118仿石砖 4 2" xfId="11177"/>
    <cellStyle name="差_119仿古砖_118仿石砖 5" xfId="20863"/>
    <cellStyle name="差_119仿古砖_118仿石砖 5 2" xfId="20865"/>
    <cellStyle name="差_119仿古砖_118仿石砖 6" xfId="20867"/>
    <cellStyle name="差_119仿古砖_118仿石砖_聊城样板房工程量计算稿" xfId="17998"/>
    <cellStyle name="差_119仿古砖_118仿石砖_终板 潍坊翡翠华庭样板房清单" xfId="20870"/>
    <cellStyle name="差_119仿古砖_119仿古砖" xfId="20871"/>
    <cellStyle name="差_119仿古砖_119仿古砖 2" xfId="7635"/>
    <cellStyle name="差_119仿古砖_119仿古砖 2 2" xfId="20874"/>
    <cellStyle name="差_119仿古砖_119仿古砖 3" xfId="20877"/>
    <cellStyle name="差_119仿古砖_119仿古砖 3 2" xfId="20879"/>
    <cellStyle name="差_119仿古砖_119仿古砖 4" xfId="20880"/>
    <cellStyle name="差_119仿古砖_119仿古砖 4 2" xfId="20882"/>
    <cellStyle name="差_119仿古砖_119仿古砖 5" xfId="20883"/>
    <cellStyle name="差_119仿古砖_119仿古砖 5 2" xfId="20884"/>
    <cellStyle name="差_119仿古砖_119仿古砖 6" xfId="20885"/>
    <cellStyle name="差_119仿古砖_119仿古砖_聊城样板房工程量计算稿" xfId="20886"/>
    <cellStyle name="差_119仿古砖_119仿古砖_终板 潍坊翡翠华庭样板房清单" xfId="2842"/>
    <cellStyle name="差_119仿古砖_2009年6月甲供材料模板（29类版）" xfId="20887"/>
    <cellStyle name="差_119仿古砖_2009年6月甲供材料模板（29类版） 2" xfId="20889"/>
    <cellStyle name="差_119仿古砖_2009年6月甲供材料模板（29类版） 2 2" xfId="10869"/>
    <cellStyle name="差_119仿古砖_2009年6月甲供材料模板（29类版） 3" xfId="20891"/>
    <cellStyle name="差_119仿古砖_2009年6月甲供材料模板（29类版） 3 2" xfId="10888"/>
    <cellStyle name="差_119仿古砖_2009年6月甲供材料模板（29类版） 4" xfId="3540"/>
    <cellStyle name="差_119仿古砖_2009年6月甲供材料模板（29类版） 4 2" xfId="3541"/>
    <cellStyle name="差_119仿古砖_2009年6月甲供材料模板（29类版） 5" xfId="2535"/>
    <cellStyle name="差_119仿古砖_2009年6月甲供材料模板（29类版） 5 2" xfId="3547"/>
    <cellStyle name="差_119仿古砖_2009年6月甲供材料模板（29类版） 6" xfId="3550"/>
    <cellStyle name="差_119仿古砖_2009年6月甲供材料模板（29类版）_聊城样板房工程量计算稿" xfId="14210"/>
    <cellStyle name="差_119仿古砖_2009年6月甲供材料模板（29类版）_终板 潍坊翡翠华庭样板房清单" xfId="20895"/>
    <cellStyle name="差_119仿古砖_聊城样板房工程量计算稿" xfId="20896"/>
    <cellStyle name="差_119仿古砖_终板 潍坊翡翠华庭样板房清单" xfId="20897"/>
    <cellStyle name="差_12#A、B、C户型云浮二期样板房装修20111028" xfId="20898"/>
    <cellStyle name="差_12#A、B、C户型云浮二期样板房装修20111028 2" xfId="20899"/>
    <cellStyle name="差_12#A、B、C户型云浮二期样板房装修20111028_聊城样板房工程量计算稿" xfId="20901"/>
    <cellStyle name="差_12.22济南恒大城运动中心室内外装修工程清单" xfId="10397"/>
    <cellStyle name="差_2009年6月甲供材料模板（29类版）" xfId="20902"/>
    <cellStyle name="差_2009年6月甲供材料模板（29类版） 2" xfId="20903"/>
    <cellStyle name="差_2009年6月甲供材料模板（29类版） 2 2" xfId="20904"/>
    <cellStyle name="差_2009年6月甲供材料模板（29类版） 3" xfId="20905"/>
    <cellStyle name="差_2009年6月甲供材料模板（29类版） 3 2" xfId="20907"/>
    <cellStyle name="差_2009年6月甲供材料模板（29类版） 4" xfId="20908"/>
    <cellStyle name="差_2009年6月甲供材料模板（29类版） 4 2" xfId="20093"/>
    <cellStyle name="差_2009年6月甲供材料模板（29类版） 5" xfId="18475"/>
    <cellStyle name="差_2009年6月甲供材料模板（29类版） 5 2" xfId="20909"/>
    <cellStyle name="差_2009年6月甲供材料模板（29类版） 6" xfId="18477"/>
    <cellStyle name="差_2009年6月甲供材料模板（29类版）_聊城样板房工程量计算稿" xfId="20910"/>
    <cellStyle name="差_2009年6月甲供材料模板（29类版）_终板 潍坊翡翠华庭样板房清单" xfId="20913"/>
    <cellStyle name="差_203 西瓦" xfId="8110"/>
    <cellStyle name="差_203 西瓦 2" xfId="8112"/>
    <cellStyle name="差_203 西瓦 2 2" xfId="20914"/>
    <cellStyle name="差_203 西瓦 3" xfId="8114"/>
    <cellStyle name="差_203 西瓦 3 2" xfId="8116"/>
    <cellStyle name="差_203 西瓦 4" xfId="8120"/>
    <cellStyle name="差_203 西瓦 4 2" xfId="20915"/>
    <cellStyle name="差_203 西瓦 5" xfId="4622"/>
    <cellStyle name="差_203 西瓦 5 2" xfId="4627"/>
    <cellStyle name="差_203 西瓦 6" xfId="4630"/>
    <cellStyle name="差_203 西瓦_聊城样板房工程量计算稿" xfId="20917"/>
    <cellStyle name="差_203 西瓦_终板 潍坊翡翠华庭样板房清单" xfId="20918"/>
    <cellStyle name="差_212给排水管" xfId="8666"/>
    <cellStyle name="差_212给排水管 2" xfId="16864"/>
    <cellStyle name="差_212给排水管 2 2" xfId="20920"/>
    <cellStyle name="差_212给排水管 3" xfId="16866"/>
    <cellStyle name="差_212给排水管 3 2" xfId="20922"/>
    <cellStyle name="差_212给排水管 4" xfId="16372"/>
    <cellStyle name="差_212给排水管 4 2" xfId="19177"/>
    <cellStyle name="差_212给排水管 5" xfId="16868"/>
    <cellStyle name="差_212给排水管 5 2" xfId="20923"/>
    <cellStyle name="差_212给排水管 6" xfId="16870"/>
    <cellStyle name="差_212给排水管_聊城样板房工程量计算稿" xfId="20924"/>
    <cellStyle name="差_212给排水管_终板 潍坊翡翠华庭样板房清单" xfId="20925"/>
    <cellStyle name="差_405厨房电器" xfId="3571"/>
    <cellStyle name="差_405厨房电器 2" xfId="20926"/>
    <cellStyle name="差_405厨房电器 2 2" xfId="354"/>
    <cellStyle name="差_405厨房电器 2 2 2" xfId="1940"/>
    <cellStyle name="差_405厨房电器 2 3" xfId="1943"/>
    <cellStyle name="差_405厨房电器 2 3 2" xfId="20927"/>
    <cellStyle name="差_405厨房电器 2 4" xfId="6855"/>
    <cellStyle name="差_405厨房电器 2 4 2" xfId="6857"/>
    <cellStyle name="差_405厨房电器 2 5" xfId="6859"/>
    <cellStyle name="差_405厨房电器 2_聊城样板房工程量计算稿" xfId="20928"/>
    <cellStyle name="差_405厨房电器 2_终板 潍坊翡翠华庭样板房清单" xfId="1368"/>
    <cellStyle name="差_405厨房电器 3" xfId="20930"/>
    <cellStyle name="差_405厨房电器 3 2" xfId="20931"/>
    <cellStyle name="差_405厨房电器 3 2 2" xfId="20932"/>
    <cellStyle name="差_405厨房电器 3 3" xfId="20933"/>
    <cellStyle name="差_405厨房电器 3 3 2" xfId="20934"/>
    <cellStyle name="差_405厨房电器 3 4" xfId="6871"/>
    <cellStyle name="差_405厨房电器 3 4 2" xfId="6873"/>
    <cellStyle name="差_405厨房电器 3 5" xfId="6875"/>
    <cellStyle name="差_405厨房电器 4" xfId="5401"/>
    <cellStyle name="差_405厨房电器 4 2" xfId="5430"/>
    <cellStyle name="差_405厨房电器 5" xfId="5707"/>
    <cellStyle name="差_405厨房电器 5 2" xfId="5712"/>
    <cellStyle name="差_405厨房电器 6" xfId="5796"/>
    <cellStyle name="差_405厨房电器 6 2" xfId="5800"/>
    <cellStyle name="差_405厨房电器 7" xfId="5837"/>
    <cellStyle name="差_405厨房电器 7 2" xfId="5843"/>
    <cellStyle name="差_405厨房电器 8" xfId="5881"/>
    <cellStyle name="差_405厨房电器_102洁具-陶瓷" xfId="20935"/>
    <cellStyle name="差_405厨房电器_102洁具-陶瓷 2" xfId="20936"/>
    <cellStyle name="差_405厨房电器_102洁具-陶瓷 2 2" xfId="20937"/>
    <cellStyle name="差_405厨房电器_102洁具-陶瓷 3" xfId="20938"/>
    <cellStyle name="差_405厨房电器_102洁具-陶瓷 3 2" xfId="19847"/>
    <cellStyle name="差_405厨房电器_102洁具-陶瓷 4" xfId="9416"/>
    <cellStyle name="差_405厨房电器_102洁具-陶瓷 4 2" xfId="20939"/>
    <cellStyle name="差_405厨房电器_102洁具-陶瓷 5" xfId="20940"/>
    <cellStyle name="差_405厨房电器_102洁具-陶瓷 5 2" xfId="20941"/>
    <cellStyle name="差_405厨房电器_102洁具-陶瓷 6" xfId="20943"/>
    <cellStyle name="差_405厨房电器_102洁具-陶瓷_聊城样板房工程量计算稿" xfId="20945"/>
    <cellStyle name="差_405厨房电器_102洁具-陶瓷_终板 潍坊翡翠华庭样板房清单" xfId="20946"/>
    <cellStyle name="差_405厨房电器_105瓷片 " xfId="5821"/>
    <cellStyle name="差_405厨房电器_105瓷片  2" xfId="12849"/>
    <cellStyle name="差_405厨房电器_105瓷片  2 2" xfId="20948"/>
    <cellStyle name="差_405厨房电器_105瓷片  3" xfId="12851"/>
    <cellStyle name="差_405厨房电器_105瓷片  3 2" xfId="20949"/>
    <cellStyle name="差_405厨房电器_105瓷片  4" xfId="20950"/>
    <cellStyle name="差_405厨房电器_105瓷片  4 2" xfId="20954"/>
    <cellStyle name="差_405厨房电器_105瓷片  5" xfId="20955"/>
    <cellStyle name="差_405厨房电器_105瓷片  5 2" xfId="4943"/>
    <cellStyle name="差_405厨房电器_105瓷片  6" xfId="20956"/>
    <cellStyle name="差_405厨房电器_105瓷片 _聊城样板房工程量计算稿" xfId="20958"/>
    <cellStyle name="差_405厨房电器_105瓷片 _终板 潍坊翡翠华庭样板房清单" xfId="20960"/>
    <cellStyle name="差_405厨房电器_109吸顶灯" xfId="20961"/>
    <cellStyle name="差_405厨房电器_109吸顶灯 2" xfId="20962"/>
    <cellStyle name="差_405厨房电器_109吸顶灯 2 2" xfId="20963"/>
    <cellStyle name="差_405厨房电器_109吸顶灯 3" xfId="13039"/>
    <cellStyle name="差_405厨房电器_109吸顶灯 3 2" xfId="13042"/>
    <cellStyle name="差_405厨房电器_109吸顶灯 4" xfId="13044"/>
    <cellStyle name="差_405厨房电器_109吸顶灯 4 2" xfId="13047"/>
    <cellStyle name="差_405厨房电器_109吸顶灯 5" xfId="13053"/>
    <cellStyle name="差_405厨房电器_109吸顶灯 5 2" xfId="13061"/>
    <cellStyle name="差_405厨房电器_109吸顶灯 6" xfId="13064"/>
    <cellStyle name="差_405厨房电器_109吸顶灯_聊城样板房工程量计算稿" xfId="13754"/>
    <cellStyle name="差_405厨房电器_109吸顶灯_终板 潍坊翡翠华庭样板房清单" xfId="20964"/>
    <cellStyle name="差_405厨房电器_110水晶灯" xfId="20967"/>
    <cellStyle name="差_405厨房电器_110水晶灯 2" xfId="8617"/>
    <cellStyle name="差_405厨房电器_110水晶灯 2 2" xfId="8621"/>
    <cellStyle name="差_405厨房电器_110水晶灯 3" xfId="8624"/>
    <cellStyle name="差_405厨房电器_110水晶灯 3 2" xfId="8628"/>
    <cellStyle name="差_405厨房电器_110水晶灯 4" xfId="8630"/>
    <cellStyle name="差_405厨房电器_110水晶灯 4 2" xfId="20970"/>
    <cellStyle name="差_405厨房电器_110水晶灯 5" xfId="8633"/>
    <cellStyle name="差_405厨房电器_110水晶灯 5 2" xfId="20975"/>
    <cellStyle name="差_405厨房电器_110水晶灯 6" xfId="20978"/>
    <cellStyle name="差_405厨房电器_110水晶灯_聊城样板房工程量计算稿" xfId="19366"/>
    <cellStyle name="差_405厨房电器_110水晶灯_终板 潍坊翡翠华庭样板房清单" xfId="20980"/>
    <cellStyle name="差_405厨房电器_118仿石砖" xfId="1354"/>
    <cellStyle name="差_405厨房电器_118仿石砖 2" xfId="1357"/>
    <cellStyle name="差_405厨房电器_118仿石砖 2 2" xfId="1360"/>
    <cellStyle name="差_405厨房电器_118仿石砖 3" xfId="1340"/>
    <cellStyle name="差_405厨房电器_118仿石砖 3 2" xfId="1367"/>
    <cellStyle name="差_405厨房电器_118仿石砖 4" xfId="558"/>
    <cellStyle name="差_405厨房电器_118仿石砖 4 2" xfId="1090"/>
    <cellStyle name="差_405厨房电器_118仿石砖 5" xfId="565"/>
    <cellStyle name="差_405厨房电器_118仿石砖 5 2" xfId="2365"/>
    <cellStyle name="差_405厨房电器_118仿石砖 6" xfId="18103"/>
    <cellStyle name="差_405厨房电器_118仿石砖_聊城样板房工程量计算稿" xfId="20981"/>
    <cellStyle name="差_405厨房电器_118仿石砖_终板 潍坊翡翠华庭样板房清单" xfId="20982"/>
    <cellStyle name="差_405厨房电器_119仿古砖" xfId="20983"/>
    <cellStyle name="差_405厨房电器_119仿古砖 2" xfId="13688"/>
    <cellStyle name="差_405厨房电器_119仿古砖 2 2" xfId="13691"/>
    <cellStyle name="差_405厨房电器_119仿古砖 3" xfId="13693"/>
    <cellStyle name="差_405厨房电器_119仿古砖 3 2" xfId="20986"/>
    <cellStyle name="差_405厨房电器_119仿古砖 4" xfId="20987"/>
    <cellStyle name="差_405厨房电器_119仿古砖 4 2" xfId="20989"/>
    <cellStyle name="差_405厨房电器_119仿古砖 5" xfId="20990"/>
    <cellStyle name="差_405厨房电器_119仿古砖 5 2" xfId="20992"/>
    <cellStyle name="差_405厨房电器_119仿古砖 6" xfId="20993"/>
    <cellStyle name="差_405厨房电器_119仿古砖_聊城样板房工程量计算稿" xfId="20994"/>
    <cellStyle name="差_405厨房电器_119仿古砖_终板 潍坊翡翠华庭样板房清单" xfId="5174"/>
    <cellStyle name="差_405厨房电器_2009年6月甲供材料模板（29类版）" xfId="8864"/>
    <cellStyle name="差_405厨房电器_2009年6月甲供材料模板（29类版） 2" xfId="6423"/>
    <cellStyle name="差_405厨房电器_2009年6月甲供材料模板（29类版） 2 2" xfId="6425"/>
    <cellStyle name="差_405厨房电器_2009年6月甲供材料模板（29类版） 3" xfId="6429"/>
    <cellStyle name="差_405厨房电器_2009年6月甲供材料模板（29类版） 3 2" xfId="4806"/>
    <cellStyle name="差_405厨房电器_2009年6月甲供材料模板（29类版） 4" xfId="6432"/>
    <cellStyle name="差_405厨房电器_2009年6月甲供材料模板（29类版） 4 2" xfId="20995"/>
    <cellStyle name="差_405厨房电器_2009年6月甲供材料模板（29类版） 5" xfId="20996"/>
    <cellStyle name="差_405厨房电器_2009年6月甲供材料模板（29类版） 5 2" xfId="20997"/>
    <cellStyle name="差_405厨房电器_2009年6月甲供材料模板（29类版） 6" xfId="20998"/>
    <cellStyle name="差_405厨房电器_2009年6月甲供材料模板（29类版）_聊城样板房工程量计算稿" xfId="1635"/>
    <cellStyle name="差_405厨房电器_2009年6月甲供材料模板（29类版）_终板 潍坊翡翠华庭样板房清单" xfId="16286"/>
    <cellStyle name="差_405厨房电器_编码细则" xfId="20999"/>
    <cellStyle name="差_405厨房电器_编码细则 2" xfId="16907"/>
    <cellStyle name="差_405厨房电器_编码细则 2 2" xfId="21000"/>
    <cellStyle name="差_405厨房电器_编码细则 3" xfId="21001"/>
    <cellStyle name="差_405厨房电器_编码细则 3 2" xfId="21002"/>
    <cellStyle name="差_405厨房电器_编码细则 4" xfId="21003"/>
    <cellStyle name="差_405厨房电器_编码细则 4 2" xfId="21004"/>
    <cellStyle name="差_405厨房电器_编码细则 5" xfId="21005"/>
    <cellStyle name="差_405厨房电器_编码细则 5 2" xfId="21007"/>
    <cellStyle name="差_405厨房电器_编码细则 6" xfId="21008"/>
    <cellStyle name="差_405厨房电器_编码细则_聊城样板房工程量计算稿" xfId="4831"/>
    <cellStyle name="差_405厨房电器_编码细则_终板 潍坊翡翠华庭样板房清单" xfId="4820"/>
    <cellStyle name="差_405厨房电器_聊城样板房工程量计算稿" xfId="21009"/>
    <cellStyle name="差_405厨房电器_终板 潍坊翡翠华庭样板房清单" xfId="21011"/>
    <cellStyle name="差_MEMO1" xfId="12826"/>
    <cellStyle name="差_MEMO1_1" xfId="11374"/>
    <cellStyle name="差_MEMO1_1 2" xfId="19778"/>
    <cellStyle name="差_Sheet1" xfId="902"/>
    <cellStyle name="差_Sheet1 2" xfId="373"/>
    <cellStyle name="差_Sheet1 2 2" xfId="21014"/>
    <cellStyle name="差_Sheet1 3" xfId="21016"/>
    <cellStyle name="差_Sheet1 3 2" xfId="21018"/>
    <cellStyle name="差_Sheet1 4" xfId="742"/>
    <cellStyle name="差_Sheet1 4 2" xfId="20182"/>
    <cellStyle name="差_Sheet1 5" xfId="744"/>
    <cellStyle name="差_Sheet1 5 2" xfId="21019"/>
    <cellStyle name="差_Sheet1 6" xfId="748"/>
    <cellStyle name="差_Sheet1_101卫浴五金" xfId="21020"/>
    <cellStyle name="差_Sheet1_101卫浴五金 2" xfId="19906"/>
    <cellStyle name="差_Sheet1_101卫浴五金 2 2" xfId="19912"/>
    <cellStyle name="差_Sheet1_101卫浴五金 2 2 2" xfId="8231"/>
    <cellStyle name="差_Sheet1_101卫浴五金 2 3" xfId="21025"/>
    <cellStyle name="差_Sheet1_101卫浴五金 2 3 2" xfId="8287"/>
    <cellStyle name="差_Sheet1_101卫浴五金 2 4" xfId="21030"/>
    <cellStyle name="差_Sheet1_101卫浴五金 2 4 2" xfId="8343"/>
    <cellStyle name="差_Sheet1_101卫浴五金 2 5" xfId="21035"/>
    <cellStyle name="差_Sheet1_101卫浴五金 2_聊城样板房工程量计算稿" xfId="21036"/>
    <cellStyle name="差_Sheet1_101卫浴五金 2_终板 潍坊翡翠华庭样板房清单" xfId="21037"/>
    <cellStyle name="差_Sheet1_101卫浴五金 3" xfId="19914"/>
    <cellStyle name="差_Sheet1_101卫浴五金 3 2" xfId="21041"/>
    <cellStyle name="差_Sheet1_101卫浴五金 3 2 2" xfId="9622"/>
    <cellStyle name="差_Sheet1_101卫浴五金 3 3" xfId="21045"/>
    <cellStyle name="差_Sheet1_101卫浴五金 3 3 2" xfId="21047"/>
    <cellStyle name="差_Sheet1_101卫浴五金 3 4" xfId="21050"/>
    <cellStyle name="差_Sheet1_101卫浴五金 3 4 2" xfId="21052"/>
    <cellStyle name="差_Sheet1_101卫浴五金 3 5" xfId="21054"/>
    <cellStyle name="差_Sheet1_101卫浴五金 4" xfId="21055"/>
    <cellStyle name="差_Sheet1_101卫浴五金 4 2" xfId="21058"/>
    <cellStyle name="差_Sheet1_101卫浴五金 5" xfId="21059"/>
    <cellStyle name="差_Sheet1_101卫浴五金 5 2" xfId="21063"/>
    <cellStyle name="差_Sheet1_101卫浴五金 6" xfId="19352"/>
    <cellStyle name="差_Sheet1_101卫浴五金 6 2" xfId="2258"/>
    <cellStyle name="差_Sheet1_101卫浴五金 7" xfId="21064"/>
    <cellStyle name="差_Sheet1_101卫浴五金 7 2" xfId="1031"/>
    <cellStyle name="差_Sheet1_101卫浴五金 8" xfId="21065"/>
    <cellStyle name="差_Sheet1_101卫浴五金_102洁具-陶瓷" xfId="11426"/>
    <cellStyle name="差_Sheet1_101卫浴五金_102洁具-陶瓷 2" xfId="7097"/>
    <cellStyle name="差_Sheet1_101卫浴五金_102洁具-陶瓷 2 2" xfId="11428"/>
    <cellStyle name="差_Sheet1_101卫浴五金_102洁具-陶瓷 3" xfId="11431"/>
    <cellStyle name="差_Sheet1_101卫浴五金_102洁具-陶瓷 3 2" xfId="11434"/>
    <cellStyle name="差_Sheet1_101卫浴五金_102洁具-陶瓷 4" xfId="11437"/>
    <cellStyle name="差_Sheet1_101卫浴五金_102洁具-陶瓷 4 2" xfId="20001"/>
    <cellStyle name="差_Sheet1_101卫浴五金_102洁具-陶瓷 5" xfId="21066"/>
    <cellStyle name="差_Sheet1_101卫浴五金_102洁具-陶瓷 5 2" xfId="21067"/>
    <cellStyle name="差_Sheet1_101卫浴五金_102洁具-陶瓷 6" xfId="21069"/>
    <cellStyle name="差_Sheet1_101卫浴五金_102洁具-陶瓷_聊城样板房工程量计算稿" xfId="2457"/>
    <cellStyle name="差_Sheet1_101卫浴五金_102洁具-陶瓷_终板 潍坊翡翠华庭样板房清单" xfId="21070"/>
    <cellStyle name="差_Sheet1_101卫浴五金_105瓷片 " xfId="9615"/>
    <cellStyle name="差_Sheet1_101卫浴五金_105瓷片  2" xfId="21072"/>
    <cellStyle name="差_Sheet1_101卫浴五金_105瓷片  2 2" xfId="21073"/>
    <cellStyle name="差_Sheet1_101卫浴五金_105瓷片  3" xfId="21074"/>
    <cellStyle name="差_Sheet1_101卫浴五金_105瓷片  3 2" xfId="21075"/>
    <cellStyle name="差_Sheet1_101卫浴五金_105瓷片  4" xfId="895"/>
    <cellStyle name="差_Sheet1_101卫浴五金_105瓷片  4 2" xfId="2826"/>
    <cellStyle name="差_Sheet1_101卫浴五金_105瓷片  5" xfId="2835"/>
    <cellStyle name="差_Sheet1_101卫浴五金_105瓷片  5 2" xfId="3939"/>
    <cellStyle name="差_Sheet1_101卫浴五金_105瓷片  6" xfId="3941"/>
    <cellStyle name="差_Sheet1_101卫浴五金_105瓷片 _聊城样板房工程量计算稿" xfId="2967"/>
    <cellStyle name="差_Sheet1_101卫浴五金_105瓷片 _终板 潍坊翡翠华庭样板房清单" xfId="21076"/>
    <cellStyle name="差_Sheet1_101卫浴五金_109吸顶灯" xfId="10571"/>
    <cellStyle name="差_Sheet1_101卫浴五金_109吸顶灯 2" xfId="19863"/>
    <cellStyle name="差_Sheet1_101卫浴五金_109吸顶灯 2 2" xfId="21077"/>
    <cellStyle name="差_Sheet1_101卫浴五金_109吸顶灯 3" xfId="11084"/>
    <cellStyle name="差_Sheet1_101卫浴五金_109吸顶灯 3 2" xfId="21078"/>
    <cellStyle name="差_Sheet1_101卫浴五金_109吸顶灯 4" xfId="21079"/>
    <cellStyle name="差_Sheet1_101卫浴五金_109吸顶灯 4 2" xfId="21080"/>
    <cellStyle name="差_Sheet1_101卫浴五金_109吸顶灯 5" xfId="21081"/>
    <cellStyle name="差_Sheet1_101卫浴五金_109吸顶灯 5 2" xfId="21082"/>
    <cellStyle name="差_Sheet1_101卫浴五金_109吸顶灯 6" xfId="21084"/>
    <cellStyle name="差_Sheet1_101卫浴五金_109吸顶灯_聊城样板房工程量计算稿" xfId="11260"/>
    <cellStyle name="差_Sheet1_101卫浴五金_109吸顶灯_终板 潍坊翡翠华庭样板房清单" xfId="4637"/>
    <cellStyle name="差_Sheet1_101卫浴五金_110水晶灯" xfId="19820"/>
    <cellStyle name="差_Sheet1_101卫浴五金_110水晶灯 2" xfId="11711"/>
    <cellStyle name="差_Sheet1_101卫浴五金_110水晶灯 2 2" xfId="11715"/>
    <cellStyle name="差_Sheet1_101卫浴五金_110水晶灯 3" xfId="911"/>
    <cellStyle name="差_Sheet1_101卫浴五金_110水晶灯 3 2" xfId="924"/>
    <cellStyle name="差_Sheet1_101卫浴五金_110水晶灯 4" xfId="21090"/>
    <cellStyle name="差_Sheet1_101卫浴五金_110水晶灯 4 2" xfId="21091"/>
    <cellStyle name="差_Sheet1_101卫浴五金_110水晶灯 5" xfId="2650"/>
    <cellStyle name="差_Sheet1_101卫浴五金_110水晶灯 5 2" xfId="2655"/>
    <cellStyle name="差_Sheet1_101卫浴五金_110水晶灯 6" xfId="2658"/>
    <cellStyle name="差_Sheet1_101卫浴五金_110水晶灯_聊城样板房工程量计算稿" xfId="21092"/>
    <cellStyle name="差_Sheet1_101卫浴五金_110水晶灯_终板 潍坊翡翠华庭样板房清单" xfId="21095"/>
    <cellStyle name="差_Sheet1_101卫浴五金_118仿石砖" xfId="21096"/>
    <cellStyle name="差_Sheet1_101卫浴五金_118仿石砖 2" xfId="21097"/>
    <cellStyle name="差_Sheet1_101卫浴五金_118仿石砖 2 2" xfId="5252"/>
    <cellStyle name="差_Sheet1_101卫浴五金_118仿石砖 3" xfId="21098"/>
    <cellStyle name="差_Sheet1_101卫浴五金_118仿石砖 3 2" xfId="16224"/>
    <cellStyle name="差_Sheet1_101卫浴五金_118仿石砖 4" xfId="21099"/>
    <cellStyle name="差_Sheet1_101卫浴五金_118仿石砖 4 2" xfId="21100"/>
    <cellStyle name="差_Sheet1_101卫浴五金_118仿石砖 5" xfId="21102"/>
    <cellStyle name="差_Sheet1_101卫浴五金_118仿石砖 5 2" xfId="21103"/>
    <cellStyle name="差_Sheet1_101卫浴五金_118仿石砖 6" xfId="19576"/>
    <cellStyle name="差_Sheet1_101卫浴五金_118仿石砖_聊城样板房工程量计算稿" xfId="10520"/>
    <cellStyle name="差_Sheet1_101卫浴五金_118仿石砖_终板 潍坊翡翠华庭样板房清单" xfId="12791"/>
    <cellStyle name="差_Sheet1_101卫浴五金_119仿古砖" xfId="21104"/>
    <cellStyle name="差_Sheet1_101卫浴五金_119仿古砖 2" xfId="21105"/>
    <cellStyle name="差_Sheet1_101卫浴五金_119仿古砖 2 2" xfId="21106"/>
    <cellStyle name="差_Sheet1_101卫浴五金_119仿古砖 3" xfId="21107"/>
    <cellStyle name="差_Sheet1_101卫浴五金_119仿古砖 3 2" xfId="21108"/>
    <cellStyle name="差_Sheet1_101卫浴五金_119仿古砖 4" xfId="21109"/>
    <cellStyle name="差_Sheet1_101卫浴五金_119仿古砖 4 2" xfId="21110"/>
    <cellStyle name="差_Sheet1_101卫浴五金_119仿古砖 5" xfId="21111"/>
    <cellStyle name="差_Sheet1_101卫浴五金_119仿古砖 5 2" xfId="21112"/>
    <cellStyle name="差_Sheet1_101卫浴五金_119仿古砖 6" xfId="21114"/>
    <cellStyle name="差_Sheet1_101卫浴五金_119仿古砖_聊城样板房工程量计算稿" xfId="21115"/>
    <cellStyle name="差_Sheet1_101卫浴五金_119仿古砖_终板 潍坊翡翠华庭样板房清单" xfId="21116"/>
    <cellStyle name="差_Sheet1_101卫浴五金_2009年6月甲供材料模板（29类版）" xfId="21118"/>
    <cellStyle name="差_Sheet1_101卫浴五金_2009年6月甲供材料模板（29类版） 2" xfId="21119"/>
    <cellStyle name="差_Sheet1_101卫浴五金_2009年6月甲供材料模板（29类版） 2 2" xfId="21120"/>
    <cellStyle name="差_Sheet1_101卫浴五金_2009年6月甲供材料模板（29类版） 3" xfId="21122"/>
    <cellStyle name="差_Sheet1_101卫浴五金_2009年6月甲供材料模板（29类版） 3 2" xfId="21123"/>
    <cellStyle name="差_Sheet1_101卫浴五金_2009年6月甲供材料模板（29类版） 4" xfId="20585"/>
    <cellStyle name="差_Sheet1_101卫浴五金_2009年6月甲供材料模板（29类版） 4 2" xfId="21124"/>
    <cellStyle name="差_Sheet1_101卫浴五金_2009年6月甲供材料模板（29类版） 5" xfId="5609"/>
    <cellStyle name="差_Sheet1_101卫浴五金_2009年6月甲供材料模板（29类版） 5 2" xfId="9822"/>
    <cellStyle name="差_Sheet1_101卫浴五金_2009年6月甲供材料模板（29类版） 6" xfId="9824"/>
    <cellStyle name="差_Sheet1_101卫浴五金_2009年6月甲供材料模板（29类版）_聊城样板房工程量计算稿" xfId="13683"/>
    <cellStyle name="差_Sheet1_101卫浴五金_2009年6月甲供材料模板（29类版）_终板 潍坊翡翠华庭样板房清单" xfId="9579"/>
    <cellStyle name="差_Sheet1_101卫浴五金_聊城样板房工程量计算稿" xfId="21126"/>
    <cellStyle name="差_Sheet1_101卫浴五金_终板 潍坊翡翠华庭样板房清单" xfId="21127"/>
    <cellStyle name="差_Sheet1_102洁具-陶瓷" xfId="21129"/>
    <cellStyle name="差_Sheet1_102洁具-陶瓷 2" xfId="268"/>
    <cellStyle name="差_Sheet1_102洁具-陶瓷 2 2" xfId="100"/>
    <cellStyle name="差_Sheet1_102洁具-陶瓷 2 2 2" xfId="21130"/>
    <cellStyle name="差_Sheet1_102洁具-陶瓷 2 3" xfId="275"/>
    <cellStyle name="差_Sheet1_102洁具-陶瓷 2 3 2" xfId="21131"/>
    <cellStyle name="差_Sheet1_102洁具-陶瓷 2 4" xfId="21132"/>
    <cellStyle name="差_Sheet1_102洁具-陶瓷 2 4 2" xfId="21133"/>
    <cellStyle name="差_Sheet1_102洁具-陶瓷 2 5" xfId="21134"/>
    <cellStyle name="差_Sheet1_102洁具-陶瓷 2_聊城样板房工程量计算稿" xfId="8695"/>
    <cellStyle name="差_Sheet1_102洁具-陶瓷 2_终板 潍坊翡翠华庭样板房清单" xfId="21135"/>
    <cellStyle name="差_Sheet1_102洁具-陶瓷 3" xfId="288"/>
    <cellStyle name="差_Sheet1_102洁具-陶瓷 3 2" xfId="297"/>
    <cellStyle name="差_Sheet1_102洁具-陶瓷 3 2 2" xfId="21136"/>
    <cellStyle name="差_Sheet1_102洁具-陶瓷 3 3" xfId="314"/>
    <cellStyle name="差_Sheet1_102洁具-陶瓷 3 3 2" xfId="21137"/>
    <cellStyle name="差_Sheet1_102洁具-陶瓷 3 4" xfId="21138"/>
    <cellStyle name="差_Sheet1_102洁具-陶瓷 3 4 2" xfId="21139"/>
    <cellStyle name="差_Sheet1_102洁具-陶瓷 3 5" xfId="21140"/>
    <cellStyle name="差_Sheet1_102洁具-陶瓷 4" xfId="319"/>
    <cellStyle name="差_Sheet1_102洁具-陶瓷 4 2" xfId="324"/>
    <cellStyle name="差_Sheet1_102洁具-陶瓷 5" xfId="293"/>
    <cellStyle name="差_Sheet1_102洁具-陶瓷 5 2" xfId="335"/>
    <cellStyle name="差_Sheet1_102洁具-陶瓷 6" xfId="310"/>
    <cellStyle name="差_Sheet1_102洁具-陶瓷 6 2" xfId="36"/>
    <cellStyle name="差_Sheet1_102洁具-陶瓷 7" xfId="364"/>
    <cellStyle name="差_Sheet1_102洁具-陶瓷 7 2" xfId="369"/>
    <cellStyle name="差_Sheet1_102洁具-陶瓷 8" xfId="384"/>
    <cellStyle name="差_Sheet1_102洁具-陶瓷_102洁具-陶瓷" xfId="21143"/>
    <cellStyle name="差_Sheet1_102洁具-陶瓷_102洁具-陶瓷 2" xfId="21146"/>
    <cellStyle name="差_Sheet1_102洁具-陶瓷_102洁具-陶瓷 2 2" xfId="21150"/>
    <cellStyle name="差_Sheet1_102洁具-陶瓷_102洁具-陶瓷 3" xfId="21153"/>
    <cellStyle name="差_Sheet1_102洁具-陶瓷_102洁具-陶瓷 3 2" xfId="21156"/>
    <cellStyle name="差_Sheet1_102洁具-陶瓷_102洁具-陶瓷 4" xfId="21160"/>
    <cellStyle name="差_Sheet1_102洁具-陶瓷_102洁具-陶瓷 4 2" xfId="21161"/>
    <cellStyle name="差_Sheet1_102洁具-陶瓷_102洁具-陶瓷 5" xfId="20689"/>
    <cellStyle name="差_Sheet1_102洁具-陶瓷_102洁具-陶瓷 5 2" xfId="8810"/>
    <cellStyle name="差_Sheet1_102洁具-陶瓷_102洁具-陶瓷 6" xfId="21162"/>
    <cellStyle name="差_Sheet1_102洁具-陶瓷_102洁具-陶瓷_聊城样板房工程量计算稿" xfId="21164"/>
    <cellStyle name="差_Sheet1_102洁具-陶瓷_102洁具-陶瓷_终板 潍坊翡翠华庭样板房清单" xfId="21165"/>
    <cellStyle name="差_Sheet1_102洁具-陶瓷_105瓷片 " xfId="21166"/>
    <cellStyle name="差_Sheet1_102洁具-陶瓷_105瓷片  2" xfId="21167"/>
    <cellStyle name="差_Sheet1_102洁具-陶瓷_105瓷片  2 2" xfId="21171"/>
    <cellStyle name="差_Sheet1_102洁具-陶瓷_105瓷片  3" xfId="21173"/>
    <cellStyle name="差_Sheet1_102洁具-陶瓷_105瓷片  3 2" xfId="21180"/>
    <cellStyle name="差_Sheet1_102洁具-陶瓷_105瓷片  4" xfId="21181"/>
    <cellStyle name="差_Sheet1_102洁具-陶瓷_105瓷片  4 2" xfId="21187"/>
    <cellStyle name="差_Sheet1_102洁具-陶瓷_105瓷片  5" xfId="21189"/>
    <cellStyle name="差_Sheet1_102洁具-陶瓷_105瓷片  5 2" xfId="21191"/>
    <cellStyle name="差_Sheet1_102洁具-陶瓷_105瓷片  6" xfId="21192"/>
    <cellStyle name="差_Sheet1_102洁具-陶瓷_105瓷片 _聊城样板房工程量计算稿" xfId="21194"/>
    <cellStyle name="差_Sheet1_102洁具-陶瓷_105瓷片 _终板 潍坊翡翠华庭样板房清单" xfId="2844"/>
    <cellStyle name="差_Sheet1_102洁具-陶瓷_109吸顶灯" xfId="21195"/>
    <cellStyle name="差_Sheet1_102洁具-陶瓷_109吸顶灯 2" xfId="21197"/>
    <cellStyle name="差_Sheet1_102洁具-陶瓷_109吸顶灯 2 2" xfId="21199"/>
    <cellStyle name="差_Sheet1_102洁具-陶瓷_109吸顶灯 3" xfId="21201"/>
    <cellStyle name="差_Sheet1_102洁具-陶瓷_109吸顶灯 3 2" xfId="21202"/>
    <cellStyle name="差_Sheet1_102洁具-陶瓷_109吸顶灯 4" xfId="21203"/>
    <cellStyle name="差_Sheet1_102洁具-陶瓷_109吸顶灯 4 2" xfId="21204"/>
    <cellStyle name="差_Sheet1_102洁具-陶瓷_109吸顶灯 5" xfId="5063"/>
    <cellStyle name="差_Sheet1_102洁具-陶瓷_109吸顶灯 5 2" xfId="21205"/>
    <cellStyle name="差_Sheet1_102洁具-陶瓷_109吸顶灯 6" xfId="15516"/>
    <cellStyle name="差_Sheet1_102洁具-陶瓷_109吸顶灯_聊城样板房工程量计算稿" xfId="21206"/>
    <cellStyle name="差_Sheet1_102洁具-陶瓷_109吸顶灯_终板 潍坊翡翠华庭样板房清单" xfId="1351"/>
    <cellStyle name="差_Sheet1_102洁具-陶瓷_110水晶灯" xfId="21207"/>
    <cellStyle name="差_Sheet1_102洁具-陶瓷_110水晶灯 2" xfId="21208"/>
    <cellStyle name="差_Sheet1_102洁具-陶瓷_110水晶灯 2 2" xfId="7733"/>
    <cellStyle name="差_Sheet1_102洁具-陶瓷_110水晶灯 3" xfId="21209"/>
    <cellStyle name="差_Sheet1_102洁具-陶瓷_110水晶灯 3 2" xfId="21210"/>
    <cellStyle name="差_Sheet1_102洁具-陶瓷_110水晶灯 4" xfId="21211"/>
    <cellStyle name="差_Sheet1_102洁具-陶瓷_110水晶灯 4 2" xfId="21212"/>
    <cellStyle name="差_Sheet1_102洁具-陶瓷_110水晶灯 5" xfId="21213"/>
    <cellStyle name="差_Sheet1_102洁具-陶瓷_110水晶灯 5 2" xfId="21214"/>
    <cellStyle name="差_Sheet1_102洁具-陶瓷_110水晶灯 6" xfId="21215"/>
    <cellStyle name="差_Sheet1_102洁具-陶瓷_110水晶灯_聊城样板房工程量计算稿" xfId="6250"/>
    <cellStyle name="差_Sheet1_102洁具-陶瓷_110水晶灯_终板 潍坊翡翠华庭样板房清单" xfId="21217"/>
    <cellStyle name="差_Sheet1_102洁具-陶瓷_118仿石砖" xfId="21218"/>
    <cellStyle name="差_Sheet1_102洁具-陶瓷_118仿石砖 2" xfId="21219"/>
    <cellStyle name="差_Sheet1_102洁具-陶瓷_118仿石砖 2 2" xfId="21221"/>
    <cellStyle name="差_Sheet1_102洁具-陶瓷_118仿石砖 3" xfId="21222"/>
    <cellStyle name="差_Sheet1_102洁具-陶瓷_118仿石砖 3 2" xfId="21224"/>
    <cellStyle name="差_Sheet1_102洁具-陶瓷_118仿石砖 4" xfId="15094"/>
    <cellStyle name="差_Sheet1_102洁具-陶瓷_118仿石砖 4 2" xfId="21225"/>
    <cellStyle name="差_Sheet1_102洁具-陶瓷_118仿石砖 5" xfId="21226"/>
    <cellStyle name="差_Sheet1_102洁具-陶瓷_118仿石砖 5 2" xfId="21228"/>
    <cellStyle name="差_Sheet1_102洁具-陶瓷_118仿石砖 6" xfId="21229"/>
    <cellStyle name="差_Sheet1_102洁具-陶瓷_118仿石砖_聊城样板房工程量计算稿" xfId="21231"/>
    <cellStyle name="差_Sheet1_102洁具-陶瓷_118仿石砖_终板 潍坊翡翠华庭样板房清单" xfId="16722"/>
    <cellStyle name="差_Sheet1_102洁具-陶瓷_119仿古砖" xfId="21232"/>
    <cellStyle name="差_Sheet1_102洁具-陶瓷_119仿古砖 2" xfId="21233"/>
    <cellStyle name="差_Sheet1_102洁具-陶瓷_119仿古砖 2 2" xfId="21235"/>
    <cellStyle name="差_Sheet1_102洁具-陶瓷_119仿古砖 3" xfId="21236"/>
    <cellStyle name="差_Sheet1_102洁具-陶瓷_119仿古砖 3 2" xfId="21237"/>
    <cellStyle name="差_Sheet1_102洁具-陶瓷_119仿古砖 4" xfId="21238"/>
    <cellStyle name="差_Sheet1_102洁具-陶瓷_119仿古砖 4 2" xfId="21240"/>
    <cellStyle name="差_Sheet1_102洁具-陶瓷_119仿古砖 5" xfId="21241"/>
    <cellStyle name="差_Sheet1_102洁具-陶瓷_119仿古砖 5 2" xfId="21242"/>
    <cellStyle name="差_Sheet1_102洁具-陶瓷_119仿古砖 6" xfId="21243"/>
    <cellStyle name="差_Sheet1_102洁具-陶瓷_119仿古砖_聊城样板房工程量计算稿" xfId="21244"/>
    <cellStyle name="差_Sheet1_102洁具-陶瓷_119仿古砖_终板 潍坊翡翠华庭样板房清单" xfId="21247"/>
    <cellStyle name="差_Sheet1_102洁具-陶瓷_2009年6月甲供材料模板（29类版）" xfId="21249"/>
    <cellStyle name="差_Sheet1_102洁具-陶瓷_2009年6月甲供材料模板（29类版） 2" xfId="21250"/>
    <cellStyle name="差_Sheet1_102洁具-陶瓷_2009年6月甲供材料模板（29类版） 2 2" xfId="21253"/>
    <cellStyle name="差_Sheet1_102洁具-陶瓷_2009年6月甲供材料模板（29类版） 3" xfId="21255"/>
    <cellStyle name="差_Sheet1_102洁具-陶瓷_2009年6月甲供材料模板（29类版） 3 2" xfId="21257"/>
    <cellStyle name="差_Sheet1_102洁具-陶瓷_2009年6月甲供材料模板（29类版） 4" xfId="21258"/>
    <cellStyle name="差_Sheet1_102洁具-陶瓷_2009年6月甲供材料模板（29类版） 4 2" xfId="21260"/>
    <cellStyle name="差_Sheet1_102洁具-陶瓷_2009年6月甲供材料模板（29类版） 5" xfId="2072"/>
    <cellStyle name="差_Sheet1_102洁具-陶瓷_2009年6月甲供材料模板（29类版） 5 2" xfId="677"/>
    <cellStyle name="差_Sheet1_102洁具-陶瓷_2009年6月甲供材料模板（29类版） 6" xfId="2182"/>
    <cellStyle name="差_Sheet1_102洁具-陶瓷_2009年6月甲供材料模板（29类版）_聊城样板房工程量计算稿" xfId="21263"/>
    <cellStyle name="差_Sheet1_102洁具-陶瓷_2009年6月甲供材料模板（29类版）_终板 潍坊翡翠华庭样板房清单" xfId="21264"/>
    <cellStyle name="差_Sheet1_102洁具-陶瓷_聊城样板房工程量计算稿" xfId="21266"/>
    <cellStyle name="差_Sheet1_102洁具-陶瓷_终板 潍坊翡翠华庭样板房清单" xfId="21267"/>
    <cellStyle name="差_Sheet1_103洁具-龙头 " xfId="12761"/>
    <cellStyle name="差_Sheet1_103洁具-龙头  2" xfId="21271"/>
    <cellStyle name="差_Sheet1_103洁具-龙头  2 2" xfId="21275"/>
    <cellStyle name="差_Sheet1_103洁具-龙头  2 2 2" xfId="21279"/>
    <cellStyle name="差_Sheet1_103洁具-龙头  2 3" xfId="21283"/>
    <cellStyle name="差_Sheet1_103洁具-龙头  2 3 2" xfId="21288"/>
    <cellStyle name="差_Sheet1_103洁具-龙头  2 4" xfId="21291"/>
    <cellStyle name="差_Sheet1_103洁具-龙头  2 4 2" xfId="21292"/>
    <cellStyle name="差_Sheet1_103洁具-龙头  2 5" xfId="21293"/>
    <cellStyle name="差_Sheet1_103洁具-龙头  2_聊城样板房工程量计算稿" xfId="21294"/>
    <cellStyle name="差_Sheet1_103洁具-龙头  2_终板 潍坊翡翠华庭样板房清单" xfId="21295"/>
    <cellStyle name="差_Sheet1_103洁具-龙头  3" xfId="21298"/>
    <cellStyle name="差_Sheet1_103洁具-龙头  3 2" xfId="21301"/>
    <cellStyle name="差_Sheet1_103洁具-龙头  3 2 2" xfId="21304"/>
    <cellStyle name="差_Sheet1_103洁具-龙头  3 3" xfId="21307"/>
    <cellStyle name="差_Sheet1_103洁具-龙头  3 3 2" xfId="21310"/>
    <cellStyle name="差_Sheet1_103洁具-龙头  3 4" xfId="21312"/>
    <cellStyle name="差_Sheet1_103洁具-龙头  3 4 2" xfId="21314"/>
    <cellStyle name="差_Sheet1_103洁具-龙头  3 5" xfId="21316"/>
    <cellStyle name="差_Sheet1_103洁具-龙头  4" xfId="21320"/>
    <cellStyle name="差_Sheet1_103洁具-龙头  4 2" xfId="21321"/>
    <cellStyle name="差_Sheet1_103洁具-龙头  5" xfId="21322"/>
    <cellStyle name="差_Sheet1_103洁具-龙头  5 2" xfId="21323"/>
    <cellStyle name="差_Sheet1_103洁具-龙头  6" xfId="21324"/>
    <cellStyle name="差_Sheet1_103洁具-龙头  6 2" xfId="21325"/>
    <cellStyle name="差_Sheet1_103洁具-龙头  7" xfId="4249"/>
    <cellStyle name="差_Sheet1_103洁具-龙头  7 2" xfId="4251"/>
    <cellStyle name="差_Sheet1_103洁具-龙头  8" xfId="3824"/>
    <cellStyle name="差_Sheet1_103洁具-龙头 _102洁具-陶瓷" xfId="21326"/>
    <cellStyle name="差_Sheet1_103洁具-龙头 _102洁具-陶瓷 2" xfId="21327"/>
    <cellStyle name="差_Sheet1_103洁具-龙头 _102洁具-陶瓷 2 2" xfId="21329"/>
    <cellStyle name="差_Sheet1_103洁具-龙头 _102洁具-陶瓷 3" xfId="21330"/>
    <cellStyle name="差_Sheet1_103洁具-龙头 _102洁具-陶瓷 3 2" xfId="21332"/>
    <cellStyle name="差_Sheet1_103洁具-龙头 _102洁具-陶瓷 4" xfId="21333"/>
    <cellStyle name="差_Sheet1_103洁具-龙头 _102洁具-陶瓷 4 2" xfId="21336"/>
    <cellStyle name="差_Sheet1_103洁具-龙头 _102洁具-陶瓷 5" xfId="21337"/>
    <cellStyle name="差_Sheet1_103洁具-龙头 _102洁具-陶瓷 5 2" xfId="21339"/>
    <cellStyle name="差_Sheet1_103洁具-龙头 _102洁具-陶瓷 6" xfId="13950"/>
    <cellStyle name="差_Sheet1_103洁具-龙头 _102洁具-陶瓷_聊城样板房工程量计算稿" xfId="21340"/>
    <cellStyle name="差_Sheet1_103洁具-龙头 _102洁具-陶瓷_终板 潍坊翡翠华庭样板房清单" xfId="21341"/>
    <cellStyle name="差_Sheet1_103洁具-龙头 _105瓷片 " xfId="21343"/>
    <cellStyle name="差_Sheet1_103洁具-龙头 _105瓷片  2" xfId="21344"/>
    <cellStyle name="差_Sheet1_103洁具-龙头 _105瓷片  2 2" xfId="21345"/>
    <cellStyle name="差_Sheet1_103洁具-龙头 _105瓷片  3" xfId="21346"/>
    <cellStyle name="差_Sheet1_103洁具-龙头 _105瓷片  3 2" xfId="21347"/>
    <cellStyle name="差_Sheet1_103洁具-龙头 _105瓷片  4" xfId="21348"/>
    <cellStyle name="差_Sheet1_103洁具-龙头 _105瓷片  4 2" xfId="10616"/>
    <cellStyle name="差_Sheet1_103洁具-龙头 _105瓷片  5" xfId="21349"/>
    <cellStyle name="差_Sheet1_103洁具-龙头 _105瓷片  5 2" xfId="10767"/>
    <cellStyle name="差_Sheet1_103洁具-龙头 _105瓷片  6" xfId="21350"/>
    <cellStyle name="差_Sheet1_103洁具-龙头 _105瓷片 _聊城样板房工程量计算稿" xfId="21351"/>
    <cellStyle name="差_Sheet1_103洁具-龙头 _105瓷片 _终板 潍坊翡翠华庭样板房清单" xfId="21353"/>
    <cellStyle name="差_Sheet1_103洁具-龙头 _109吸顶灯" xfId="6971"/>
    <cellStyle name="差_Sheet1_103洁具-龙头 _109吸顶灯 2" xfId="6569"/>
    <cellStyle name="差_Sheet1_103洁具-龙头 _109吸顶灯 2 2" xfId="6526"/>
    <cellStyle name="差_Sheet1_103洁具-龙头 _109吸顶灯 3" xfId="5039"/>
    <cellStyle name="差_Sheet1_103洁具-龙头 _109吸顶灯 3 2" xfId="5974"/>
    <cellStyle name="差_Sheet1_103洁具-龙头 _109吸顶灯 4" xfId="6979"/>
    <cellStyle name="差_Sheet1_103洁具-龙头 _109吸顶灯 4 2" xfId="6981"/>
    <cellStyle name="差_Sheet1_103洁具-龙头 _109吸顶灯 5" xfId="6983"/>
    <cellStyle name="差_Sheet1_103洁具-龙头 _109吸顶灯 5 2" xfId="5753"/>
    <cellStyle name="差_Sheet1_103洁具-龙头 _109吸顶灯 6" xfId="11043"/>
    <cellStyle name="差_Sheet1_103洁具-龙头 _109吸顶灯_聊城样板房工程量计算稿" xfId="21357"/>
    <cellStyle name="差_Sheet1_103洁具-龙头 _109吸顶灯_终板 潍坊翡翠华庭样板房清单" xfId="1061"/>
    <cellStyle name="差_Sheet1_103洁具-龙头 _110水晶灯" xfId="21359"/>
    <cellStyle name="差_Sheet1_103洁具-龙头 _110水晶灯 2" xfId="21361"/>
    <cellStyle name="差_Sheet1_103洁具-龙头 _110水晶灯 2 2" xfId="21363"/>
    <cellStyle name="差_Sheet1_103洁具-龙头 _110水晶灯 3" xfId="21364"/>
    <cellStyle name="差_Sheet1_103洁具-龙头 _110水晶灯 3 2" xfId="21367"/>
    <cellStyle name="差_Sheet1_103洁具-龙头 _110水晶灯 4" xfId="21369"/>
    <cellStyle name="差_Sheet1_103洁具-龙头 _110水晶灯 4 2" xfId="21371"/>
    <cellStyle name="差_Sheet1_103洁具-龙头 _110水晶灯 5" xfId="21373"/>
    <cellStyle name="差_Sheet1_103洁具-龙头 _110水晶灯 5 2" xfId="21376"/>
    <cellStyle name="差_Sheet1_103洁具-龙头 _110水晶灯 6" xfId="13430"/>
    <cellStyle name="差_Sheet1_103洁具-龙头 _110水晶灯_聊城样板房工程量计算稿" xfId="21381"/>
    <cellStyle name="差_Sheet1_103洁具-龙头 _110水晶灯_终板 潍坊翡翠华庭样板房清单" xfId="6978"/>
    <cellStyle name="差_Sheet1_103洁具-龙头 _118仿石砖" xfId="21383"/>
    <cellStyle name="差_Sheet1_103洁具-龙头 _118仿石砖 2" xfId="21385"/>
    <cellStyle name="差_Sheet1_103洁具-龙头 _118仿石砖 2 2" xfId="21387"/>
    <cellStyle name="差_Sheet1_103洁具-龙头 _118仿石砖 3" xfId="21389"/>
    <cellStyle name="差_Sheet1_103洁具-龙头 _118仿石砖 3 2" xfId="21391"/>
    <cellStyle name="差_Sheet1_103洁具-龙头 _118仿石砖 4" xfId="21393"/>
    <cellStyle name="差_Sheet1_103洁具-龙头 _118仿石砖 4 2" xfId="21395"/>
    <cellStyle name="差_Sheet1_103洁具-龙头 _118仿石砖 5" xfId="21397"/>
    <cellStyle name="差_Sheet1_103洁具-龙头 _118仿石砖 5 2" xfId="21398"/>
    <cellStyle name="差_Sheet1_103洁具-龙头 _118仿石砖 6" xfId="21399"/>
    <cellStyle name="差_Sheet1_103洁具-龙头 _118仿石砖_聊城样板房工程量计算稿" xfId="21400"/>
    <cellStyle name="差_Sheet1_103洁具-龙头 _118仿石砖_终板 潍坊翡翠华庭样板房清单" xfId="16462"/>
    <cellStyle name="差_Sheet1_103洁具-龙头 _119仿古砖" xfId="14003"/>
    <cellStyle name="差_Sheet1_103洁具-龙头 _119仿古砖 2" xfId="14007"/>
    <cellStyle name="差_Sheet1_103洁具-龙头 _119仿古砖 2 2" xfId="14010"/>
    <cellStyle name="差_Sheet1_103洁具-龙头 _119仿古砖 3" xfId="14015"/>
    <cellStyle name="差_Sheet1_103洁具-龙头 _119仿古砖 3 2" xfId="14018"/>
    <cellStyle name="差_Sheet1_103洁具-龙头 _119仿古砖 4" xfId="14022"/>
    <cellStyle name="差_Sheet1_103洁具-龙头 _119仿古砖 4 2" xfId="14027"/>
    <cellStyle name="差_Sheet1_103洁具-龙头 _119仿古砖 5" xfId="12760"/>
    <cellStyle name="差_Sheet1_103洁具-龙头 _119仿古砖 5 2" xfId="21269"/>
    <cellStyle name="差_Sheet1_103洁具-龙头 _119仿古砖 6" xfId="21401"/>
    <cellStyle name="差_Sheet1_103洁具-龙头 _119仿古砖_聊城样板房工程量计算稿" xfId="19018"/>
    <cellStyle name="差_Sheet1_103洁具-龙头 _119仿古砖_终板 潍坊翡翠华庭样板房清单" xfId="9004"/>
    <cellStyle name="差_Sheet1_103洁具-龙头 _2009年6月甲供材料模板（29类版）" xfId="7822"/>
    <cellStyle name="差_Sheet1_103洁具-龙头 _2009年6月甲供材料模板（29类版） 2" xfId="9026"/>
    <cellStyle name="差_Sheet1_103洁具-龙头 _2009年6月甲供材料模板（29类版） 2 2" xfId="21402"/>
    <cellStyle name="差_Sheet1_103洁具-龙头 _2009年6月甲供材料模板（29类版） 3" xfId="1104"/>
    <cellStyle name="差_Sheet1_103洁具-龙头 _2009年6月甲供材料模板（29类版） 3 2" xfId="1108"/>
    <cellStyle name="差_Sheet1_103洁具-龙头 _2009年6月甲供材料模板（29类版） 4" xfId="1112"/>
    <cellStyle name="差_Sheet1_103洁具-龙头 _2009年6月甲供材料模板（29类版） 4 2" xfId="1115"/>
    <cellStyle name="差_Sheet1_103洁具-龙头 _2009年6月甲供材料模板（29类版） 5" xfId="1121"/>
    <cellStyle name="差_Sheet1_103洁具-龙头 _2009年6月甲供材料模板（29类版） 5 2" xfId="1124"/>
    <cellStyle name="差_Sheet1_103洁具-龙头 _2009年6月甲供材料模板（29类版） 6" xfId="1127"/>
    <cellStyle name="差_Sheet1_103洁具-龙头 _2009年6月甲供材料模板（29类版）_聊城样板房工程量计算稿" xfId="16469"/>
    <cellStyle name="差_Sheet1_103洁具-龙头 _2009年6月甲供材料模板（29类版）_终板 潍坊翡翠华庭样板房清单" xfId="21404"/>
    <cellStyle name="差_Sheet1_103洁具-龙头 _聊城样板房工程量计算稿" xfId="21405"/>
    <cellStyle name="差_Sheet1_103洁具-龙头 _终板 潍坊翡翠华庭样板房清单" xfId="21406"/>
    <cellStyle name="差_Sheet1_104抛光砖" xfId="1058"/>
    <cellStyle name="差_Sheet1_104抛光砖 2" xfId="758"/>
    <cellStyle name="差_Sheet1_104抛光砖 2 2" xfId="21408"/>
    <cellStyle name="差_Sheet1_104抛光砖 2 2 2" xfId="21410"/>
    <cellStyle name="差_Sheet1_104抛光砖 2 3" xfId="21412"/>
    <cellStyle name="差_Sheet1_104抛光砖 2 3 2" xfId="21414"/>
    <cellStyle name="差_Sheet1_104抛光砖 2 4" xfId="21415"/>
    <cellStyle name="差_Sheet1_104抛光砖 2 4 2" xfId="19015"/>
    <cellStyle name="差_Sheet1_104抛光砖 2 5" xfId="21220"/>
    <cellStyle name="差_Sheet1_104抛光砖 2_聊城样板房工程量计算稿" xfId="21416"/>
    <cellStyle name="差_Sheet1_104抛光砖 2_终板 潍坊翡翠华庭样板房清单" xfId="21417"/>
    <cellStyle name="差_Sheet1_104抛光砖 3" xfId="21418"/>
    <cellStyle name="差_Sheet1_104抛光砖 3 2" xfId="21420"/>
    <cellStyle name="差_Sheet1_104抛光砖 3 2 2" xfId="21421"/>
    <cellStyle name="差_Sheet1_104抛光砖 3 3" xfId="21422"/>
    <cellStyle name="差_Sheet1_104抛光砖 3 3 2" xfId="21423"/>
    <cellStyle name="差_Sheet1_104抛光砖 3 4" xfId="21424"/>
    <cellStyle name="差_Sheet1_104抛光砖 3 4 2" xfId="21425"/>
    <cellStyle name="差_Sheet1_104抛光砖 3 5" xfId="21223"/>
    <cellStyle name="差_Sheet1_104抛光砖 4" xfId="21426"/>
    <cellStyle name="差_Sheet1_104抛光砖 4 2" xfId="20919"/>
    <cellStyle name="差_Sheet1_104抛光砖 5" xfId="21427"/>
    <cellStyle name="差_Sheet1_104抛光砖 5 2" xfId="21428"/>
    <cellStyle name="差_Sheet1_104抛光砖 6" xfId="17037"/>
    <cellStyle name="差_Sheet1_104抛光砖 6 2" xfId="17040"/>
    <cellStyle name="差_Sheet1_104抛光砖 7" xfId="17044"/>
    <cellStyle name="差_Sheet1_104抛光砖 7 2" xfId="17333"/>
    <cellStyle name="差_Sheet1_104抛光砖 8" xfId="17047"/>
    <cellStyle name="差_Sheet1_104抛光砖_102洁具-陶瓷" xfId="18556"/>
    <cellStyle name="差_Sheet1_104抛光砖_102洁具-陶瓷 2" xfId="21429"/>
    <cellStyle name="差_Sheet1_104抛光砖_102洁具-陶瓷 2 2" xfId="21430"/>
    <cellStyle name="差_Sheet1_104抛光砖_102洁具-陶瓷 3" xfId="21431"/>
    <cellStyle name="差_Sheet1_104抛光砖_102洁具-陶瓷 3 2" xfId="21433"/>
    <cellStyle name="差_Sheet1_104抛光砖_102洁具-陶瓷 4" xfId="21434"/>
    <cellStyle name="差_Sheet1_104抛光砖_102洁具-陶瓷 4 2" xfId="21435"/>
    <cellStyle name="差_Sheet1_104抛光砖_102洁具-陶瓷 5" xfId="21436"/>
    <cellStyle name="差_Sheet1_104抛光砖_102洁具-陶瓷 5 2" xfId="21438"/>
    <cellStyle name="差_Sheet1_104抛光砖_102洁具-陶瓷 6" xfId="21440"/>
    <cellStyle name="差_Sheet1_104抛光砖_102洁具-陶瓷_聊城样板房工程量计算稿" xfId="21441"/>
    <cellStyle name="差_Sheet1_104抛光砖_102洁具-陶瓷_终板 潍坊翡翠华庭样板房清单" xfId="14423"/>
    <cellStyle name="差_Sheet1_104抛光砖_105瓷片 " xfId="17359"/>
    <cellStyle name="差_Sheet1_104抛光砖_105瓷片  2" xfId="21443"/>
    <cellStyle name="差_Sheet1_104抛光砖_105瓷片  2 2" xfId="21444"/>
    <cellStyle name="差_Sheet1_104抛光砖_105瓷片  3" xfId="21446"/>
    <cellStyle name="差_Sheet1_104抛光砖_105瓷片  3 2" xfId="21447"/>
    <cellStyle name="差_Sheet1_104抛光砖_105瓷片  4" xfId="5227"/>
    <cellStyle name="差_Sheet1_104抛光砖_105瓷片  4 2" xfId="21448"/>
    <cellStyle name="差_Sheet1_104抛光砖_105瓷片  5" xfId="21451"/>
    <cellStyle name="差_Sheet1_104抛光砖_105瓷片  5 2" xfId="21453"/>
    <cellStyle name="差_Sheet1_104抛光砖_105瓷片  6" xfId="21454"/>
    <cellStyle name="差_Sheet1_104抛光砖_105瓷片 _聊城样板房工程量计算稿" xfId="13949"/>
    <cellStyle name="差_Sheet1_104抛光砖_105瓷片 _终板 潍坊翡翠华庭样板房清单" xfId="21455"/>
    <cellStyle name="差_Sheet1_104抛光砖_109吸顶灯" xfId="21456"/>
    <cellStyle name="差_Sheet1_104抛光砖_109吸顶灯 2" xfId="21457"/>
    <cellStyle name="差_Sheet1_104抛光砖_109吸顶灯 2 2" xfId="21458"/>
    <cellStyle name="差_Sheet1_104抛光砖_109吸顶灯 3" xfId="21459"/>
    <cellStyle name="差_Sheet1_104抛光砖_109吸顶灯 3 2" xfId="19567"/>
    <cellStyle name="差_Sheet1_104抛光砖_109吸顶灯 4" xfId="19838"/>
    <cellStyle name="差_Sheet1_104抛光砖_109吸顶灯 4 2" xfId="10883"/>
    <cellStyle name="差_Sheet1_104抛光砖_109吸顶灯 5" xfId="21460"/>
    <cellStyle name="差_Sheet1_104抛光砖_109吸顶灯 5 2" xfId="10892"/>
    <cellStyle name="差_Sheet1_104抛光砖_109吸顶灯 6" xfId="21462"/>
    <cellStyle name="差_Sheet1_104抛光砖_109吸顶灯_聊城样板房工程量计算稿" xfId="21463"/>
    <cellStyle name="差_Sheet1_104抛光砖_109吸顶灯_终板 潍坊翡翠华庭样板房清单" xfId="2152"/>
    <cellStyle name="差_Sheet1_104抛光砖_110水晶灯" xfId="21464"/>
    <cellStyle name="差_Sheet1_104抛光砖_110水晶灯 2" xfId="21465"/>
    <cellStyle name="差_Sheet1_104抛光砖_110水晶灯 2 2" xfId="21468"/>
    <cellStyle name="差_Sheet1_104抛光砖_110水晶灯 3" xfId="21471"/>
    <cellStyle name="差_Sheet1_104抛光砖_110水晶灯 3 2" xfId="21475"/>
    <cellStyle name="差_Sheet1_104抛光砖_110水晶灯 4" xfId="21477"/>
    <cellStyle name="差_Sheet1_104抛光砖_110水晶灯 4 2" xfId="21479"/>
    <cellStyle name="差_Sheet1_104抛光砖_110水晶灯 5" xfId="14321"/>
    <cellStyle name="差_Sheet1_104抛光砖_110水晶灯 5 2" xfId="21481"/>
    <cellStyle name="差_Sheet1_104抛光砖_110水晶灯 6" xfId="21482"/>
    <cellStyle name="差_Sheet1_104抛光砖_110水晶灯_聊城样板房工程量计算稿" xfId="21483"/>
    <cellStyle name="差_Sheet1_104抛光砖_110水晶灯_终板 潍坊翡翠华庭样板房清单" xfId="21487"/>
    <cellStyle name="差_Sheet1_104抛光砖_118仿石砖" xfId="21488"/>
    <cellStyle name="差_Sheet1_104抛光砖_118仿石砖 2" xfId="21489"/>
    <cellStyle name="差_Sheet1_104抛光砖_118仿石砖 2 2" xfId="21490"/>
    <cellStyle name="差_Sheet1_104抛光砖_118仿石砖 3" xfId="21492"/>
    <cellStyle name="差_Sheet1_104抛光砖_118仿石砖 3 2" xfId="21493"/>
    <cellStyle name="差_Sheet1_104抛光砖_118仿石砖 4" xfId="21362"/>
    <cellStyle name="差_Sheet1_104抛光砖_118仿石砖 4 2" xfId="21494"/>
    <cellStyle name="差_Sheet1_104抛光砖_118仿石砖 5" xfId="21495"/>
    <cellStyle name="差_Sheet1_104抛光砖_118仿石砖 5 2" xfId="20607"/>
    <cellStyle name="差_Sheet1_104抛光砖_118仿石砖 6" xfId="21496"/>
    <cellStyle name="差_Sheet1_104抛光砖_118仿石砖_聊城样板房工程量计算稿" xfId="18618"/>
    <cellStyle name="差_Sheet1_104抛光砖_118仿石砖_终板 潍坊翡翠华庭样板房清单" xfId="21498"/>
    <cellStyle name="差_Sheet1_104抛光砖_119仿古砖" xfId="21500"/>
    <cellStyle name="差_Sheet1_104抛光砖_119仿古砖 2" xfId="21502"/>
    <cellStyle name="差_Sheet1_104抛光砖_119仿古砖 2 2" xfId="21503"/>
    <cellStyle name="差_Sheet1_104抛光砖_119仿古砖 3" xfId="21505"/>
    <cellStyle name="差_Sheet1_104抛光砖_119仿古砖 3 2" xfId="21506"/>
    <cellStyle name="差_Sheet1_104抛光砖_119仿古砖 4" xfId="21252"/>
    <cellStyle name="差_Sheet1_104抛光砖_119仿古砖 4 2" xfId="21508"/>
    <cellStyle name="差_Sheet1_104抛光砖_119仿古砖 5" xfId="21509"/>
    <cellStyle name="差_Sheet1_104抛光砖_119仿古砖 5 2" xfId="21511"/>
    <cellStyle name="差_Sheet1_104抛光砖_119仿古砖 6" xfId="21512"/>
    <cellStyle name="差_Sheet1_104抛光砖_119仿古砖_聊城样板房工程量计算稿" xfId="21513"/>
    <cellStyle name="差_Sheet1_104抛光砖_119仿古砖_终板 潍坊翡翠华庭样板房清单" xfId="20942"/>
    <cellStyle name="差_Sheet1_104抛光砖_2009年6月甲供材料模板（29类版）" xfId="19599"/>
    <cellStyle name="差_Sheet1_104抛光砖_2009年6月甲供材料模板（29类版） 2" xfId="21514"/>
    <cellStyle name="差_Sheet1_104抛光砖_2009年6月甲供材料模板（29类版） 2 2" xfId="1063"/>
    <cellStyle name="差_Sheet1_104抛光砖_2009年6月甲供材料模板（29类版） 3" xfId="21516"/>
    <cellStyle name="差_Sheet1_104抛光砖_2009年6月甲供材料模板（29类版） 3 2" xfId="21518"/>
    <cellStyle name="差_Sheet1_104抛光砖_2009年6月甲供材料模板（29类版） 4" xfId="19214"/>
    <cellStyle name="差_Sheet1_104抛光砖_2009年6月甲供材料模板（29类版） 4 2" xfId="19216"/>
    <cellStyle name="差_Sheet1_104抛光砖_2009年6月甲供材料模板（29类版） 5" xfId="19218"/>
    <cellStyle name="差_Sheet1_104抛光砖_2009年6月甲供材料模板（29类版） 5 2" xfId="19220"/>
    <cellStyle name="差_Sheet1_104抛光砖_2009年6月甲供材料模板（29类版） 6" xfId="4780"/>
    <cellStyle name="差_Sheet1_104抛光砖_2009年6月甲供材料模板（29类版）_聊城样板房工程量计算稿" xfId="21519"/>
    <cellStyle name="差_Sheet1_104抛光砖_2009年6月甲供材料模板（29类版）_终板 潍坊翡翠华庭样板房清单" xfId="21521"/>
    <cellStyle name="差_Sheet1_104抛光砖_聊城样板房工程量计算稿" xfId="21523"/>
    <cellStyle name="差_Sheet1_104抛光砖_终板 潍坊翡翠华庭样板房清单" xfId="21524"/>
    <cellStyle name="差_Sheet1_105瓷片 " xfId="21525"/>
    <cellStyle name="差_Sheet1_105瓷片  2" xfId="21528"/>
    <cellStyle name="差_Sheet1_105瓷片  2 2" xfId="21530"/>
    <cellStyle name="差_Sheet1_105瓷片  2 2 2" xfId="21531"/>
    <cellStyle name="差_Sheet1_105瓷片  2 3" xfId="21533"/>
    <cellStyle name="差_Sheet1_105瓷片  2 3 2" xfId="21534"/>
    <cellStyle name="差_Sheet1_105瓷片  2 4" xfId="21536"/>
    <cellStyle name="差_Sheet1_105瓷片  2 4 2" xfId="21537"/>
    <cellStyle name="差_Sheet1_105瓷片  2 5" xfId="5921"/>
    <cellStyle name="差_Sheet1_105瓷片  2_聊城样板房工程量计算稿" xfId="21540"/>
    <cellStyle name="差_Sheet1_105瓷片  2_终板 潍坊翡翠华庭样板房清单" xfId="20125"/>
    <cellStyle name="差_Sheet1_105瓷片  3" xfId="21542"/>
    <cellStyle name="差_Sheet1_105瓷片  3 2" xfId="21544"/>
    <cellStyle name="差_Sheet1_105瓷片  3 2 2" xfId="21545"/>
    <cellStyle name="差_Sheet1_105瓷片  3 3" xfId="21547"/>
    <cellStyle name="差_Sheet1_105瓷片  3 3 2" xfId="21548"/>
    <cellStyle name="差_Sheet1_105瓷片  3 4" xfId="21550"/>
    <cellStyle name="差_Sheet1_105瓷片  3 4 2" xfId="21552"/>
    <cellStyle name="差_Sheet1_105瓷片  3 5" xfId="5934"/>
    <cellStyle name="差_Sheet1_105瓷片  4" xfId="21553"/>
    <cellStyle name="差_Sheet1_105瓷片  4 2" xfId="21556"/>
    <cellStyle name="差_Sheet1_105瓷片  5" xfId="21557"/>
    <cellStyle name="差_Sheet1_105瓷片  5 2" xfId="21559"/>
    <cellStyle name="差_Sheet1_105瓷片  6" xfId="6369"/>
    <cellStyle name="差_Sheet1_105瓷片  6 2" xfId="21560"/>
    <cellStyle name="差_Sheet1_105瓷片  7" xfId="21561"/>
    <cellStyle name="差_Sheet1_105瓷片  7 2" xfId="16812"/>
    <cellStyle name="差_Sheet1_105瓷片  8" xfId="21562"/>
    <cellStyle name="差_Sheet1_105瓷片 _102洁具-陶瓷" xfId="21563"/>
    <cellStyle name="差_Sheet1_105瓷片 _102洁具-陶瓷 2" xfId="21564"/>
    <cellStyle name="差_Sheet1_105瓷片 _102洁具-陶瓷 2 2" xfId="5965"/>
    <cellStyle name="差_Sheet1_105瓷片 _102洁具-陶瓷 3" xfId="21565"/>
    <cellStyle name="差_Sheet1_105瓷片 _102洁具-陶瓷 3 2" xfId="21566"/>
    <cellStyle name="差_Sheet1_105瓷片 _102洁具-陶瓷 4" xfId="3776"/>
    <cellStyle name="差_Sheet1_105瓷片 _102洁具-陶瓷 4 2" xfId="21567"/>
    <cellStyle name="差_Sheet1_105瓷片 _102洁具-陶瓷 5" xfId="21568"/>
    <cellStyle name="差_Sheet1_105瓷片 _102洁具-陶瓷 5 2" xfId="21569"/>
    <cellStyle name="差_Sheet1_105瓷片 _102洁具-陶瓷 6" xfId="21570"/>
    <cellStyle name="差_Sheet1_105瓷片 _102洁具-陶瓷_聊城样板房工程量计算稿" xfId="21515"/>
    <cellStyle name="差_Sheet1_105瓷片 _102洁具-陶瓷_终板 潍坊翡翠华庭样板房清单" xfId="21572"/>
    <cellStyle name="差_Sheet1_105瓷片 _105瓷片 " xfId="21574"/>
    <cellStyle name="差_Sheet1_105瓷片 _105瓷片  2" xfId="21576"/>
    <cellStyle name="差_Sheet1_105瓷片 _105瓷片  2 2" xfId="1373"/>
    <cellStyle name="差_Sheet1_105瓷片 _105瓷片  3" xfId="21577"/>
    <cellStyle name="差_Sheet1_105瓷片 _105瓷片  3 2" xfId="1384"/>
    <cellStyle name="差_Sheet1_105瓷片 _105瓷片  4" xfId="21579"/>
    <cellStyle name="差_Sheet1_105瓷片 _105瓷片  4 2" xfId="1399"/>
    <cellStyle name="差_Sheet1_105瓷片 _105瓷片  5" xfId="12125"/>
    <cellStyle name="差_Sheet1_105瓷片 _105瓷片  5 2" xfId="403"/>
    <cellStyle name="差_Sheet1_105瓷片 _105瓷片  6" xfId="21581"/>
    <cellStyle name="差_Sheet1_105瓷片 _105瓷片 _聊城样板房工程量计算稿" xfId="21582"/>
    <cellStyle name="差_Sheet1_105瓷片 _105瓷片 _终板 潍坊翡翠华庭样板房清单" xfId="21584"/>
    <cellStyle name="差_Sheet1_105瓷片 _109吸顶灯" xfId="21585"/>
    <cellStyle name="差_Sheet1_105瓷片 _109吸顶灯 2" xfId="21586"/>
    <cellStyle name="差_Sheet1_105瓷片 _109吸顶灯 2 2" xfId="21588"/>
    <cellStyle name="差_Sheet1_105瓷片 _109吸顶灯 3" xfId="21589"/>
    <cellStyle name="差_Sheet1_105瓷片 _109吸顶灯 3 2" xfId="21591"/>
    <cellStyle name="差_Sheet1_105瓷片 _109吸顶灯 4" xfId="21592"/>
    <cellStyle name="差_Sheet1_105瓷片 _109吸顶灯 4 2" xfId="17954"/>
    <cellStyle name="差_Sheet1_105瓷片 _109吸顶灯 5" xfId="21593"/>
    <cellStyle name="差_Sheet1_105瓷片 _109吸顶灯 5 2" xfId="17963"/>
    <cellStyle name="差_Sheet1_105瓷片 _109吸顶灯 6" xfId="21594"/>
    <cellStyle name="差_Sheet1_105瓷片 _109吸顶灯_聊城样板房工程量计算稿" xfId="21595"/>
    <cellStyle name="差_Sheet1_105瓷片 _109吸顶灯_终板 潍坊翡翠华庭样板房清单" xfId="21597"/>
    <cellStyle name="差_Sheet1_105瓷片 _110水晶灯" xfId="21598"/>
    <cellStyle name="差_Sheet1_105瓷片 _110水晶灯 2" xfId="21599"/>
    <cellStyle name="差_Sheet1_105瓷片 _110水晶灯 2 2" xfId="21600"/>
    <cellStyle name="差_Sheet1_105瓷片 _110水晶灯 3" xfId="21601"/>
    <cellStyle name="差_Sheet1_105瓷片 _110水晶灯 3 2" xfId="21602"/>
    <cellStyle name="差_Sheet1_105瓷片 _110水晶灯 4" xfId="21603"/>
    <cellStyle name="差_Sheet1_105瓷片 _110水晶灯 4 2" xfId="2635"/>
    <cellStyle name="差_Sheet1_105瓷片 _110水晶灯 5" xfId="21604"/>
    <cellStyle name="差_Sheet1_105瓷片 _110水晶灯 5 2" xfId="2646"/>
    <cellStyle name="差_Sheet1_105瓷片 _110水晶灯 6" xfId="21172"/>
    <cellStyle name="差_Sheet1_105瓷片 _110水晶灯_聊城样板房工程量计算稿" xfId="10264"/>
    <cellStyle name="差_Sheet1_105瓷片 _110水晶灯_终板 潍坊翡翠华庭样板房清单" xfId="21605"/>
    <cellStyle name="差_Sheet1_105瓷片 _118仿石砖" xfId="21609"/>
    <cellStyle name="差_Sheet1_105瓷片 _118仿石砖 2" xfId="21610"/>
    <cellStyle name="差_Sheet1_105瓷片 _118仿石砖 2 2" xfId="21612"/>
    <cellStyle name="差_Sheet1_105瓷片 _118仿石砖 3" xfId="7383"/>
    <cellStyle name="差_Sheet1_105瓷片 _118仿石砖 3 2" xfId="21615"/>
    <cellStyle name="差_Sheet1_105瓷片 _118仿石砖 4" xfId="21616"/>
    <cellStyle name="差_Sheet1_105瓷片 _118仿石砖 4 2" xfId="21619"/>
    <cellStyle name="差_Sheet1_105瓷片 _118仿石砖 5" xfId="21620"/>
    <cellStyle name="差_Sheet1_105瓷片 _118仿石砖 5 2" xfId="21623"/>
    <cellStyle name="差_Sheet1_105瓷片 _118仿石砖 6" xfId="21216"/>
    <cellStyle name="差_Sheet1_105瓷片 _118仿石砖_聊城样板房工程量计算稿" xfId="12990"/>
    <cellStyle name="差_Sheet1_105瓷片 _118仿石砖_终板 潍坊翡翠华庭样板房清单" xfId="20640"/>
    <cellStyle name="差_Sheet1_105瓷片 _119仿古砖" xfId="21625"/>
    <cellStyle name="差_Sheet1_105瓷片 _119仿古砖 2" xfId="14634"/>
    <cellStyle name="差_Sheet1_105瓷片 _119仿古砖 2 2" xfId="21627"/>
    <cellStyle name="差_Sheet1_105瓷片 _119仿古砖 3" xfId="21629"/>
    <cellStyle name="差_Sheet1_105瓷片 _119仿古砖 3 2" xfId="21630"/>
    <cellStyle name="差_Sheet1_105瓷片 _119仿古砖 4" xfId="21631"/>
    <cellStyle name="差_Sheet1_105瓷片 _119仿古砖 4 2" xfId="21632"/>
    <cellStyle name="差_Sheet1_105瓷片 _119仿古砖 5" xfId="21633"/>
    <cellStyle name="差_Sheet1_105瓷片 _119仿古砖 5 2" xfId="21634"/>
    <cellStyle name="差_Sheet1_105瓷片 _119仿古砖 6" xfId="21635"/>
    <cellStyle name="差_Sheet1_105瓷片 _119仿古砖_聊城样板房工程量计算稿" xfId="21636"/>
    <cellStyle name="差_Sheet1_105瓷片 _119仿古砖_终板 潍坊翡翠华庭样板房清单" xfId="21637"/>
    <cellStyle name="差_Sheet1_105瓷片 _2009年6月甲供材料模板（29类版）" xfId="21638"/>
    <cellStyle name="差_Sheet1_105瓷片 _2009年6月甲供材料模板（29类版） 2" xfId="21642"/>
    <cellStyle name="差_Sheet1_105瓷片 _2009年6月甲供材料模板（29类版） 2 2" xfId="21646"/>
    <cellStyle name="差_Sheet1_105瓷片 _2009年6月甲供材料模板（29类版） 3" xfId="13392"/>
    <cellStyle name="差_Sheet1_105瓷片 _2009年6月甲供材料模板（29类版） 3 2" xfId="21650"/>
    <cellStyle name="差_Sheet1_105瓷片 _2009年6月甲供材料模板（29类版） 4" xfId="14939"/>
    <cellStyle name="差_Sheet1_105瓷片 _2009年6月甲供材料模板（29类版） 4 2" xfId="21655"/>
    <cellStyle name="差_Sheet1_105瓷片 _2009年6月甲供材料模板（29类版） 5" xfId="21660"/>
    <cellStyle name="差_Sheet1_105瓷片 _2009年6月甲供材料模板（29类版） 5 2" xfId="21665"/>
    <cellStyle name="差_Sheet1_105瓷片 _2009年6月甲供材料模板（29类版） 6" xfId="21670"/>
    <cellStyle name="差_Sheet1_105瓷片 _2009年6月甲供材料模板（29类版）_聊城样板房工程量计算稿" xfId="21672"/>
    <cellStyle name="差_Sheet1_105瓷片 _2009年6月甲供材料模板（29类版）_终板 潍坊翡翠华庭样板房清单" xfId="21674"/>
    <cellStyle name="差_Sheet1_105瓷片 _聊城样板房工程量计算稿" xfId="21675"/>
    <cellStyle name="差_Sheet1_105瓷片 _终板 潍坊翡翠华庭样板房清单" xfId="13656"/>
    <cellStyle name="差_Sheet1_107开关面板" xfId="21678"/>
    <cellStyle name="差_Sheet1_107开关面板 2" xfId="21681"/>
    <cellStyle name="差_Sheet1_107开关面板 2 2" xfId="18592"/>
    <cellStyle name="差_Sheet1_107开关面板 2 2 2" xfId="21683"/>
    <cellStyle name="差_Sheet1_107开关面板 2 3" xfId="18595"/>
    <cellStyle name="差_Sheet1_107开关面板 2 3 2" xfId="21684"/>
    <cellStyle name="差_Sheet1_107开关面板 2 4" xfId="21686"/>
    <cellStyle name="差_Sheet1_107开关面板 2 4 2" xfId="21688"/>
    <cellStyle name="差_Sheet1_107开关面板 2 5" xfId="21690"/>
    <cellStyle name="差_Sheet1_107开关面板 2_聊城样板房工程量计算稿" xfId="18845"/>
    <cellStyle name="差_Sheet1_107开关面板 2_终板 潍坊翡翠华庭样板房清单" xfId="5990"/>
    <cellStyle name="差_Sheet1_107开关面板 3" xfId="21693"/>
    <cellStyle name="差_Sheet1_107开关面板 3 2" xfId="21696"/>
    <cellStyle name="差_Sheet1_107开关面板 3 2 2" xfId="21699"/>
    <cellStyle name="差_Sheet1_107开关面板 3 3" xfId="21702"/>
    <cellStyle name="差_Sheet1_107开关面板 3 3 2" xfId="21705"/>
    <cellStyle name="差_Sheet1_107开关面板 3 4" xfId="21710"/>
    <cellStyle name="差_Sheet1_107开关面板 3 4 2" xfId="21714"/>
    <cellStyle name="差_Sheet1_107开关面板 3 5" xfId="21718"/>
    <cellStyle name="差_Sheet1_107开关面板 4" xfId="21719"/>
    <cellStyle name="差_Sheet1_107开关面板 4 2" xfId="21720"/>
    <cellStyle name="差_Sheet1_107开关面板 5" xfId="21721"/>
    <cellStyle name="差_Sheet1_107开关面板 5 2" xfId="21722"/>
    <cellStyle name="差_Sheet1_107开关面板 6" xfId="21723"/>
    <cellStyle name="差_Sheet1_107开关面板 6 2" xfId="21724"/>
    <cellStyle name="差_Sheet1_107开关面板 7" xfId="21725"/>
    <cellStyle name="差_Sheet1_107开关面板 7 2" xfId="21726"/>
    <cellStyle name="差_Sheet1_107开关面板 8" xfId="21727"/>
    <cellStyle name="差_Sheet1_107开关面板_102洁具-陶瓷" xfId="21728"/>
    <cellStyle name="差_Sheet1_107开关面板_102洁具-陶瓷 2" xfId="19444"/>
    <cellStyle name="差_Sheet1_107开关面板_102洁具-陶瓷 2 2" xfId="17453"/>
    <cellStyle name="差_Sheet1_107开关面板_102洁具-陶瓷 3" xfId="8043"/>
    <cellStyle name="差_Sheet1_107开关面板_102洁具-陶瓷 3 2" xfId="17493"/>
    <cellStyle name="差_Sheet1_107开关面板_102洁具-陶瓷 4" xfId="21729"/>
    <cellStyle name="差_Sheet1_107开关面板_102洁具-陶瓷 4 2" xfId="17537"/>
    <cellStyle name="差_Sheet1_107开关面板_102洁具-陶瓷 5" xfId="12523"/>
    <cellStyle name="差_Sheet1_107开关面板_102洁具-陶瓷 5 2" xfId="16566"/>
    <cellStyle name="差_Sheet1_107开关面板_102洁具-陶瓷 6" xfId="16570"/>
    <cellStyle name="差_Sheet1_107开关面板_102洁具-陶瓷_聊城样板房工程量计算稿" xfId="21730"/>
    <cellStyle name="差_Sheet1_107开关面板_102洁具-陶瓷_终板 潍坊翡翠华庭样板房清单" xfId="21732"/>
    <cellStyle name="差_Sheet1_107开关面板_105瓷片 " xfId="17392"/>
    <cellStyle name="差_Sheet1_107开关面板_105瓷片  2" xfId="21733"/>
    <cellStyle name="差_Sheet1_107开关面板_105瓷片  2 2" xfId="21734"/>
    <cellStyle name="差_Sheet1_107开关面板_105瓷片  3" xfId="21736"/>
    <cellStyle name="差_Sheet1_107开关面板_105瓷片  3 2" xfId="21738"/>
    <cellStyle name="差_Sheet1_107开关面板_105瓷片  4" xfId="21739"/>
    <cellStyle name="差_Sheet1_107开关面板_105瓷片  4 2" xfId="21740"/>
    <cellStyle name="差_Sheet1_107开关面板_105瓷片  5" xfId="21741"/>
    <cellStyle name="差_Sheet1_107开关面板_105瓷片  5 2" xfId="21742"/>
    <cellStyle name="差_Sheet1_107开关面板_105瓷片  6" xfId="21744"/>
    <cellStyle name="差_Sheet1_107开关面板_105瓷片 _聊城样板房工程量计算稿" xfId="21747"/>
    <cellStyle name="差_Sheet1_107开关面板_105瓷片 _终板 潍坊翡翠华庭样板房清单" xfId="21748"/>
    <cellStyle name="差_Sheet1_107开关面板_109吸顶灯" xfId="21749"/>
    <cellStyle name="差_Sheet1_107开关面板_109吸顶灯 2" xfId="21751"/>
    <cellStyle name="差_Sheet1_107开关面板_109吸顶灯 2 2" xfId="2659"/>
    <cellStyle name="差_Sheet1_107开关面板_109吸顶灯 3" xfId="8881"/>
    <cellStyle name="差_Sheet1_107开关面板_109吸顶灯 3 2" xfId="8885"/>
    <cellStyle name="差_Sheet1_107开关面板_109吸顶灯 4" xfId="8886"/>
    <cellStyle name="差_Sheet1_107开关面板_109吸顶灯 4 2" xfId="8890"/>
    <cellStyle name="差_Sheet1_107开关面板_109吸顶灯 5" xfId="8891"/>
    <cellStyle name="差_Sheet1_107开关面板_109吸顶灯 5 2" xfId="8897"/>
    <cellStyle name="差_Sheet1_107开关面板_109吸顶灯 6" xfId="8898"/>
    <cellStyle name="差_Sheet1_107开关面板_109吸顶灯_聊城样板房工程量计算稿" xfId="1676"/>
    <cellStyle name="差_Sheet1_107开关面板_109吸顶灯_终板 潍坊翡翠华庭样板房清单" xfId="14727"/>
    <cellStyle name="差_Sheet1_107开关面板_110水晶灯" xfId="21752"/>
    <cellStyle name="差_Sheet1_107开关面板_110水晶灯 2" xfId="21753"/>
    <cellStyle name="差_Sheet1_107开关面板_110水晶灯 2 2" xfId="19887"/>
    <cellStyle name="差_Sheet1_107开关面板_110水晶灯 3" xfId="21754"/>
    <cellStyle name="差_Sheet1_107开关面板_110水晶灯 3 2" xfId="21755"/>
    <cellStyle name="差_Sheet1_107开关面板_110水晶灯 4" xfId="21757"/>
    <cellStyle name="差_Sheet1_107开关面板_110水晶灯 4 2" xfId="21759"/>
    <cellStyle name="差_Sheet1_107开关面板_110水晶灯 5" xfId="15829"/>
    <cellStyle name="差_Sheet1_107开关面板_110水晶灯 5 2" xfId="21761"/>
    <cellStyle name="差_Sheet1_107开关面板_110水晶灯 6" xfId="21764"/>
    <cellStyle name="差_Sheet1_107开关面板_110水晶灯_聊城样板房工程量计算稿" xfId="21769"/>
    <cellStyle name="差_Sheet1_107开关面板_110水晶灯_终板 潍坊翡翠华庭样板房清单" xfId="21770"/>
    <cellStyle name="差_Sheet1_107开关面板_118仿石砖" xfId="21772"/>
    <cellStyle name="差_Sheet1_107开关面板_118仿石砖 2" xfId="21774"/>
    <cellStyle name="差_Sheet1_107开关面板_118仿石砖 2 2" xfId="21777"/>
    <cellStyle name="差_Sheet1_107开关面板_118仿石砖 3" xfId="2970"/>
    <cellStyle name="差_Sheet1_107开关面板_118仿石砖 3 2" xfId="9517"/>
    <cellStyle name="差_Sheet1_107开关面板_118仿石砖 4" xfId="21780"/>
    <cellStyle name="差_Sheet1_107开关面板_118仿石砖 4 2" xfId="21781"/>
    <cellStyle name="差_Sheet1_107开关面板_118仿石砖 5" xfId="21783"/>
    <cellStyle name="差_Sheet1_107开关面板_118仿石砖 5 2" xfId="21784"/>
    <cellStyle name="差_Sheet1_107开关面板_118仿石砖 6" xfId="21786"/>
    <cellStyle name="差_Sheet1_107开关面板_118仿石砖_聊城样板房工程量计算稿" xfId="21788"/>
    <cellStyle name="差_Sheet1_107开关面板_118仿石砖_终板 潍坊翡翠华庭样板房清单" xfId="21789"/>
    <cellStyle name="差_Sheet1_107开关面板_119仿古砖" xfId="21790"/>
    <cellStyle name="差_Sheet1_107开关面板_119仿古砖 2" xfId="21791"/>
    <cellStyle name="差_Sheet1_107开关面板_119仿古砖 2 2" xfId="18688"/>
    <cellStyle name="差_Sheet1_107开关面板_119仿古砖 3" xfId="21793"/>
    <cellStyle name="差_Sheet1_107开关面板_119仿古砖 3 2" xfId="9187"/>
    <cellStyle name="差_Sheet1_107开关面板_119仿古砖 4" xfId="12833"/>
    <cellStyle name="差_Sheet1_107开关面板_119仿古砖 4 2" xfId="9207"/>
    <cellStyle name="差_Sheet1_107开关面板_119仿古砖 5" xfId="21796"/>
    <cellStyle name="差_Sheet1_107开关面板_119仿古砖 5 2" xfId="9221"/>
    <cellStyle name="差_Sheet1_107开关面板_119仿古砖 6" xfId="21798"/>
    <cellStyle name="差_Sheet1_107开关面板_119仿古砖_聊城样板房工程量计算稿" xfId="21800"/>
    <cellStyle name="差_Sheet1_107开关面板_119仿古砖_终板 潍坊翡翠华庭样板房清单" xfId="21801"/>
    <cellStyle name="差_Sheet1_107开关面板_2009年6月甲供材料模板（29类版）" xfId="21803"/>
    <cellStyle name="差_Sheet1_107开关面板_2009年6月甲供材料模板（29类版） 2" xfId="4480"/>
    <cellStyle name="差_Sheet1_107开关面板_2009年6月甲供材料模板（29类版） 2 2" xfId="21806"/>
    <cellStyle name="差_Sheet1_107开关面板_2009年6月甲供材料模板（29类版） 3" xfId="19797"/>
    <cellStyle name="差_Sheet1_107开关面板_2009年6月甲供材料模板（29类版） 3 2" xfId="19899"/>
    <cellStyle name="差_Sheet1_107开关面板_2009年6月甲供材料模板（29类版） 4" xfId="19860"/>
    <cellStyle name="差_Sheet1_107开关面板_2009年6月甲供材料模板（29类版） 4 2" xfId="21808"/>
    <cellStyle name="差_Sheet1_107开关面板_2009年6月甲供材料模板（29类版） 5" xfId="11082"/>
    <cellStyle name="差_Sheet1_107开关面板_2009年6月甲供材料模板（29类版） 5 2" xfId="21809"/>
    <cellStyle name="差_Sheet1_107开关面板_2009年6月甲供材料模板（29类版） 6" xfId="21810"/>
    <cellStyle name="差_Sheet1_107开关面板_2009年6月甲供材料模板（29类版）_聊城样板房工程量计算稿" xfId="21811"/>
    <cellStyle name="差_Sheet1_107开关面板_2009年6月甲供材料模板（29类版）_终板 潍坊翡翠华庭样板房清单" xfId="21812"/>
    <cellStyle name="差_Sheet1_107开关面板_聊城样板房工程量计算稿" xfId="21813"/>
    <cellStyle name="差_Sheet1_107开关面板_终板 潍坊翡翠华庭样板房清单" xfId="21815"/>
    <cellStyle name="差_Sheet1_108欧雅墙纸" xfId="21816"/>
    <cellStyle name="差_Sheet1_108欧雅墙纸 2" xfId="6744"/>
    <cellStyle name="差_Sheet1_108欧雅墙纸 2 2" xfId="21817"/>
    <cellStyle name="差_Sheet1_108欧雅墙纸 2 2 2" xfId="15531"/>
    <cellStyle name="差_Sheet1_108欧雅墙纸 2 3" xfId="21818"/>
    <cellStyle name="差_Sheet1_108欧雅墙纸 2 3 2" xfId="15546"/>
    <cellStyle name="差_Sheet1_108欧雅墙纸 2 4" xfId="21819"/>
    <cellStyle name="差_Sheet1_108欧雅墙纸 2 4 2" xfId="21821"/>
    <cellStyle name="差_Sheet1_108欧雅墙纸 2 5" xfId="21822"/>
    <cellStyle name="差_Sheet1_108欧雅墙纸 2_聊城样板房工程量计算稿" xfId="21824"/>
    <cellStyle name="差_Sheet1_108欧雅墙纸 2_终板 潍坊翡翠华庭样板房清单" xfId="21826"/>
    <cellStyle name="差_Sheet1_108欧雅墙纸 3" xfId="21827"/>
    <cellStyle name="差_Sheet1_108欧雅墙纸 3 2" xfId="21828"/>
    <cellStyle name="差_Sheet1_108欧雅墙纸 3 2 2" xfId="5729"/>
    <cellStyle name="差_Sheet1_108欧雅墙纸 3 3" xfId="21829"/>
    <cellStyle name="差_Sheet1_108欧雅墙纸 3 3 2" xfId="5747"/>
    <cellStyle name="差_Sheet1_108欧雅墙纸 3 4" xfId="21830"/>
    <cellStyle name="差_Sheet1_108欧雅墙纸 3 4 2" xfId="7901"/>
    <cellStyle name="差_Sheet1_108欧雅墙纸 3 5" xfId="21831"/>
    <cellStyle name="差_Sheet1_108欧雅墙纸 4" xfId="21832"/>
    <cellStyle name="差_Sheet1_108欧雅墙纸 4 2" xfId="21833"/>
    <cellStyle name="差_Sheet1_108欧雅墙纸 5" xfId="21834"/>
    <cellStyle name="差_Sheet1_108欧雅墙纸 5 2" xfId="21835"/>
    <cellStyle name="差_Sheet1_108欧雅墙纸 6" xfId="21836"/>
    <cellStyle name="差_Sheet1_108欧雅墙纸 6 2" xfId="21838"/>
    <cellStyle name="差_Sheet1_108欧雅墙纸 7" xfId="21839"/>
    <cellStyle name="差_Sheet1_108欧雅墙纸 7 2" xfId="20584"/>
    <cellStyle name="差_Sheet1_108欧雅墙纸 8" xfId="21840"/>
    <cellStyle name="差_Sheet1_108欧雅墙纸_102洁具-陶瓷" xfId="11418"/>
    <cellStyle name="差_Sheet1_108欧雅墙纸_102洁具-陶瓷 2" xfId="21843"/>
    <cellStyle name="差_Sheet1_108欧雅墙纸_102洁具-陶瓷 2 2" xfId="21844"/>
    <cellStyle name="差_Sheet1_108欧雅墙纸_102洁具-陶瓷 3" xfId="21853"/>
    <cellStyle name="差_Sheet1_108欧雅墙纸_102洁具-陶瓷 3 2" xfId="19247"/>
    <cellStyle name="差_Sheet1_108欧雅墙纸_102洁具-陶瓷 4" xfId="4874"/>
    <cellStyle name="差_Sheet1_108欧雅墙纸_102洁具-陶瓷 4 2" xfId="21856"/>
    <cellStyle name="差_Sheet1_108欧雅墙纸_102洁具-陶瓷 5" xfId="21857"/>
    <cellStyle name="差_Sheet1_108欧雅墙纸_102洁具-陶瓷 5 2" xfId="1016"/>
    <cellStyle name="差_Sheet1_108欧雅墙纸_102洁具-陶瓷 6" xfId="21859"/>
    <cellStyle name="差_Sheet1_108欧雅墙纸_102洁具-陶瓷_聊城样板房工程量计算稿" xfId="20906"/>
    <cellStyle name="差_Sheet1_108欧雅墙纸_102洁具-陶瓷_终板 潍坊翡翠华庭样板房清单" xfId="21860"/>
    <cellStyle name="差_Sheet1_108欧雅墙纸_105瓷片 " xfId="21861"/>
    <cellStyle name="差_Sheet1_108欧雅墙纸_105瓷片  2" xfId="10136"/>
    <cellStyle name="差_Sheet1_108欧雅墙纸_105瓷片  2 2" xfId="10138"/>
    <cellStyle name="差_Sheet1_108欧雅墙纸_105瓷片  3" xfId="10141"/>
    <cellStyle name="差_Sheet1_108欧雅墙纸_105瓷片  3 2" xfId="21864"/>
    <cellStyle name="差_Sheet1_108欧雅墙纸_105瓷片  4" xfId="21865"/>
    <cellStyle name="差_Sheet1_108欧雅墙纸_105瓷片  4 2" xfId="21867"/>
    <cellStyle name="差_Sheet1_108欧雅墙纸_105瓷片  5" xfId="21868"/>
    <cellStyle name="差_Sheet1_108欧雅墙纸_105瓷片  5 2" xfId="21871"/>
    <cellStyle name="差_Sheet1_108欧雅墙纸_105瓷片  6" xfId="21872"/>
    <cellStyle name="差_Sheet1_108欧雅墙纸_105瓷片 _聊城样板房工程量计算稿" xfId="13564"/>
    <cellStyle name="差_Sheet1_108欧雅墙纸_105瓷片 _终板 潍坊翡翠华庭样板房清单" xfId="2623"/>
    <cellStyle name="差_Sheet1_108欧雅墙纸_109吸顶灯" xfId="21874"/>
    <cellStyle name="差_Sheet1_108欧雅墙纸_109吸顶灯 2" xfId="21877"/>
    <cellStyle name="差_Sheet1_108欧雅墙纸_109吸顶灯 2 2" xfId="12284"/>
    <cellStyle name="差_Sheet1_108欧雅墙纸_109吸顶灯 3" xfId="21879"/>
    <cellStyle name="差_Sheet1_108欧雅墙纸_109吸顶灯 3 2" xfId="12293"/>
    <cellStyle name="差_Sheet1_108欧雅墙纸_109吸顶灯 4" xfId="21880"/>
    <cellStyle name="差_Sheet1_108欧雅墙纸_109吸顶灯 4 2" xfId="21881"/>
    <cellStyle name="差_Sheet1_108欧雅墙纸_109吸顶灯 5" xfId="6396"/>
    <cellStyle name="差_Sheet1_108欧雅墙纸_109吸顶灯 5 2" xfId="6398"/>
    <cellStyle name="差_Sheet1_108欧雅墙纸_109吸顶灯 6" xfId="4650"/>
    <cellStyle name="差_Sheet1_108欧雅墙纸_109吸顶灯_聊城样板房工程量计算稿" xfId="21883"/>
    <cellStyle name="差_Sheet1_108欧雅墙纸_109吸顶灯_终板 潍坊翡翠华庭样板房清单" xfId="21887"/>
    <cellStyle name="差_Sheet1_108欧雅墙纸_110水晶灯" xfId="21888"/>
    <cellStyle name="差_Sheet1_108欧雅墙纸_110水晶灯 2" xfId="21890"/>
    <cellStyle name="差_Sheet1_108欧雅墙纸_110水晶灯 2 2" xfId="21891"/>
    <cellStyle name="差_Sheet1_108欧雅墙纸_110水晶灯 3" xfId="21893"/>
    <cellStyle name="差_Sheet1_108欧雅墙纸_110水晶灯 3 2" xfId="21894"/>
    <cellStyle name="差_Sheet1_108欧雅墙纸_110水晶灯 4" xfId="21896"/>
    <cellStyle name="差_Sheet1_108欧雅墙纸_110水晶灯 4 2" xfId="21897"/>
    <cellStyle name="差_Sheet1_108欧雅墙纸_110水晶灯 5" xfId="21899"/>
    <cellStyle name="差_Sheet1_108欧雅墙纸_110水晶灯 5 2" xfId="21901"/>
    <cellStyle name="差_Sheet1_108欧雅墙纸_110水晶灯 6" xfId="21902"/>
    <cellStyle name="差_Sheet1_108欧雅墙纸_110水晶灯_聊城样板房工程量计算稿" xfId="8422"/>
    <cellStyle name="差_Sheet1_108欧雅墙纸_110水晶灯_终板 潍坊翡翠华庭样板房清单" xfId="8100"/>
    <cellStyle name="差_Sheet1_108欧雅墙纸_118仿石砖" xfId="9959"/>
    <cellStyle name="差_Sheet1_108欧雅墙纸_118仿石砖 2" xfId="21903"/>
    <cellStyle name="差_Sheet1_108欧雅墙纸_118仿石砖 2 2" xfId="21904"/>
    <cellStyle name="差_Sheet1_108欧雅墙纸_118仿石砖 3" xfId="21905"/>
    <cellStyle name="差_Sheet1_108欧雅墙纸_118仿石砖 3 2" xfId="21906"/>
    <cellStyle name="差_Sheet1_108欧雅墙纸_118仿石砖 4" xfId="21907"/>
    <cellStyle name="差_Sheet1_108欧雅墙纸_118仿石砖 4 2" xfId="21908"/>
    <cellStyle name="差_Sheet1_108欧雅墙纸_118仿石砖 5" xfId="13547"/>
    <cellStyle name="差_Sheet1_108欧雅墙纸_118仿石砖 5 2" xfId="21909"/>
    <cellStyle name="差_Sheet1_108欧雅墙纸_118仿石砖 6" xfId="21910"/>
    <cellStyle name="差_Sheet1_108欧雅墙纸_118仿石砖_聊城样板房工程量计算稿" xfId="10776"/>
    <cellStyle name="差_Sheet1_108欧雅墙纸_118仿石砖_终板 潍坊翡翠华庭样板房清单" xfId="4155"/>
    <cellStyle name="差_Sheet1_108欧雅墙纸_119仿古砖" xfId="21911"/>
    <cellStyle name="差_Sheet1_108欧雅墙纸_119仿古砖 2" xfId="20047"/>
    <cellStyle name="差_Sheet1_108欧雅墙纸_119仿古砖 2 2" xfId="21912"/>
    <cellStyle name="差_Sheet1_108欧雅墙纸_119仿古砖 3" xfId="21913"/>
    <cellStyle name="差_Sheet1_108欧雅墙纸_119仿古砖 3 2" xfId="21915"/>
    <cellStyle name="差_Sheet1_108欧雅墙纸_119仿古砖 4" xfId="21916"/>
    <cellStyle name="差_Sheet1_108欧雅墙纸_119仿古砖 4 2" xfId="21917"/>
    <cellStyle name="差_Sheet1_108欧雅墙纸_119仿古砖 5" xfId="21918"/>
    <cellStyle name="差_Sheet1_108欧雅墙纸_119仿古砖 5 2" xfId="21920"/>
    <cellStyle name="差_Sheet1_108欧雅墙纸_119仿古砖 6" xfId="21922"/>
    <cellStyle name="差_Sheet1_108欧雅墙纸_119仿古砖_聊城样板房工程量计算稿" xfId="12929"/>
    <cellStyle name="差_Sheet1_108欧雅墙纸_119仿古砖_终板 潍坊翡翠华庭样板房清单" xfId="20049"/>
    <cellStyle name="差_Sheet1_108欧雅墙纸_2009年6月甲供材料模板（29类版）" xfId="21923"/>
    <cellStyle name="差_Sheet1_108欧雅墙纸_2009年6月甲供材料模板（29类版） 2" xfId="21925"/>
    <cellStyle name="差_Sheet1_108欧雅墙纸_2009年6月甲供材料模板（29类版） 2 2" xfId="21927"/>
    <cellStyle name="差_Sheet1_108欧雅墙纸_2009年6月甲供材料模板（29类版） 3" xfId="21929"/>
    <cellStyle name="差_Sheet1_108欧雅墙纸_2009年6月甲供材料模板（29类版） 3 2" xfId="21931"/>
    <cellStyle name="差_Sheet1_108欧雅墙纸_2009年6月甲供材料模板（29类版） 4" xfId="10760"/>
    <cellStyle name="差_Sheet1_108欧雅墙纸_2009年6月甲供材料模板（29类版） 4 2" xfId="19854"/>
    <cellStyle name="差_Sheet1_108欧雅墙纸_2009年6月甲供材料模板（29类版） 5" xfId="21870"/>
    <cellStyle name="差_Sheet1_108欧雅墙纸_2009年6月甲供材料模板（29类版） 5 2" xfId="21932"/>
    <cellStyle name="差_Sheet1_108欧雅墙纸_2009年6月甲供材料模板（29类版） 6" xfId="21934"/>
    <cellStyle name="差_Sheet1_108欧雅墙纸_2009年6月甲供材料模板（29类版）_聊城样板房工程量计算稿" xfId="21935"/>
    <cellStyle name="差_Sheet1_108欧雅墙纸_2009年6月甲供材料模板（29类版）_终板 潍坊翡翠华庭样板房清单" xfId="21937"/>
    <cellStyle name="差_Sheet1_108欧雅墙纸_聊城样板房工程量计算稿" xfId="1524"/>
    <cellStyle name="差_Sheet1_108欧雅墙纸_终板 潍坊翡翠华庭样板房清单" xfId="21938"/>
    <cellStyle name="差_Sheet1_109吸顶灯" xfId="21939"/>
    <cellStyle name="差_Sheet1_109吸顶灯 2" xfId="21940"/>
    <cellStyle name="差_Sheet1_109吸顶灯 2 2" xfId="21941"/>
    <cellStyle name="差_Sheet1_109吸顶灯 2 2 2" xfId="21942"/>
    <cellStyle name="差_Sheet1_109吸顶灯 2 3" xfId="21943"/>
    <cellStyle name="差_Sheet1_109吸顶灯 2 3 2" xfId="21944"/>
    <cellStyle name="差_Sheet1_109吸顶灯 2 4" xfId="21946"/>
    <cellStyle name="差_Sheet1_109吸顶灯 2 4 2" xfId="21878"/>
    <cellStyle name="差_Sheet1_109吸顶灯 2 5" xfId="21948"/>
    <cellStyle name="差_Sheet1_109吸顶灯 2_聊城样板房工程量计算稿" xfId="21949"/>
    <cellStyle name="差_Sheet1_109吸顶灯 2_终板 潍坊翡翠华庭样板房清单" xfId="21950"/>
    <cellStyle name="差_Sheet1_109吸顶灯 3" xfId="21951"/>
    <cellStyle name="差_Sheet1_109吸顶灯 3 2" xfId="21952"/>
    <cellStyle name="差_Sheet1_109吸顶灯 3 2 2" xfId="21953"/>
    <cellStyle name="差_Sheet1_109吸顶灯 3 3" xfId="21954"/>
    <cellStyle name="差_Sheet1_109吸顶灯 3 3 2" xfId="21955"/>
    <cellStyle name="差_Sheet1_109吸顶灯 3 4" xfId="21956"/>
    <cellStyle name="差_Sheet1_109吸顶灯 3 4 2" xfId="19061"/>
    <cellStyle name="差_Sheet1_109吸顶灯 3 5" xfId="21957"/>
    <cellStyle name="差_Sheet1_109吸顶灯 4" xfId="21958"/>
    <cellStyle name="差_Sheet1_109吸顶灯 4 2" xfId="15104"/>
    <cellStyle name="差_Sheet1_109吸顶灯 5" xfId="21960"/>
    <cellStyle name="差_Sheet1_109吸顶灯 5 2" xfId="15115"/>
    <cellStyle name="差_Sheet1_109吸顶灯 6" xfId="21967"/>
    <cellStyle name="差_Sheet1_109吸顶灯 6 2" xfId="21972"/>
    <cellStyle name="差_Sheet1_109吸顶灯 7" xfId="21978"/>
    <cellStyle name="差_Sheet1_109吸顶灯 7 2" xfId="21983"/>
    <cellStyle name="差_Sheet1_109吸顶灯 8" xfId="21985"/>
    <cellStyle name="差_Sheet1_109吸顶灯_102洁具-陶瓷" xfId="14044"/>
    <cellStyle name="差_Sheet1_109吸顶灯_102洁具-陶瓷 2" xfId="21986"/>
    <cellStyle name="差_Sheet1_109吸顶灯_102洁具-陶瓷 2 2" xfId="15417"/>
    <cellStyle name="差_Sheet1_109吸顶灯_102洁具-陶瓷 3" xfId="11403"/>
    <cellStyle name="差_Sheet1_109吸顶灯_102洁具-陶瓷 3 2" xfId="15433"/>
    <cellStyle name="差_Sheet1_109吸顶灯_102洁具-陶瓷 4" xfId="21987"/>
    <cellStyle name="差_Sheet1_109吸顶灯_102洁具-陶瓷 4 2" xfId="20567"/>
    <cellStyle name="差_Sheet1_109吸顶灯_102洁具-陶瓷 5" xfId="21988"/>
    <cellStyle name="差_Sheet1_109吸顶灯_102洁具-陶瓷 5 2" xfId="21989"/>
    <cellStyle name="差_Sheet1_109吸顶灯_102洁具-陶瓷 6" xfId="21990"/>
    <cellStyle name="差_Sheet1_109吸顶灯_102洁具-陶瓷_聊城样板房工程量计算稿" xfId="18675"/>
    <cellStyle name="差_Sheet1_109吸顶灯_102洁具-陶瓷_终板 潍坊翡翠华庭样板房清单" xfId="3310"/>
    <cellStyle name="差_Sheet1_109吸顶灯_105瓷片 " xfId="21992"/>
    <cellStyle name="差_Sheet1_109吸顶灯_105瓷片  2" xfId="21996"/>
    <cellStyle name="差_Sheet1_109吸顶灯_105瓷片  2 2" xfId="21998"/>
    <cellStyle name="差_Sheet1_109吸顶灯_105瓷片  3" xfId="22001"/>
    <cellStyle name="差_Sheet1_109吸顶灯_105瓷片  3 2" xfId="22002"/>
    <cellStyle name="差_Sheet1_109吸顶灯_105瓷片  4" xfId="22004"/>
    <cellStyle name="差_Sheet1_109吸顶灯_105瓷片  4 2" xfId="22005"/>
    <cellStyle name="差_Sheet1_109吸顶灯_105瓷片  5" xfId="22006"/>
    <cellStyle name="差_Sheet1_109吸顶灯_105瓷片  5 2" xfId="22007"/>
    <cellStyle name="差_Sheet1_109吸顶灯_105瓷片  6" xfId="22010"/>
    <cellStyle name="差_Sheet1_109吸顶灯_105瓷片 _聊城样板房工程量计算稿" xfId="22012"/>
    <cellStyle name="差_Sheet1_109吸顶灯_105瓷片 _终板 潍坊翡翠华庭样板房清单" xfId="22014"/>
    <cellStyle name="差_Sheet1_109吸顶灯_109吸顶灯" xfId="11546"/>
    <cellStyle name="差_Sheet1_109吸顶灯_109吸顶灯 2" xfId="22017"/>
    <cellStyle name="差_Sheet1_109吸顶灯_109吸顶灯 2 2" xfId="22018"/>
    <cellStyle name="差_Sheet1_109吸顶灯_109吸顶灯 3" xfId="22022"/>
    <cellStyle name="差_Sheet1_109吸顶灯_109吸顶灯 3 2" xfId="22025"/>
    <cellStyle name="差_Sheet1_109吸顶灯_109吸顶灯 4" xfId="22028"/>
    <cellStyle name="差_Sheet1_109吸顶灯_109吸顶灯 4 2" xfId="22030"/>
    <cellStyle name="差_Sheet1_109吸顶灯_109吸顶灯 5" xfId="22031"/>
    <cellStyle name="差_Sheet1_109吸顶灯_109吸顶灯 5 2" xfId="22032"/>
    <cellStyle name="差_Sheet1_109吸顶灯_109吸顶灯 6" xfId="22033"/>
    <cellStyle name="差_Sheet1_109吸顶灯_109吸顶灯_聊城样板房工程量计算稿" xfId="22034"/>
    <cellStyle name="差_Sheet1_109吸顶灯_109吸顶灯_终板 潍坊翡翠华庭样板房清单" xfId="20164"/>
    <cellStyle name="差_Sheet1_109吸顶灯_110水晶灯" xfId="22035"/>
    <cellStyle name="差_Sheet1_109吸顶灯_110水晶灯 2" xfId="22037"/>
    <cellStyle name="差_Sheet1_109吸顶灯_110水晶灯 2 2" xfId="22040"/>
    <cellStyle name="差_Sheet1_109吸顶灯_110水晶灯 3" xfId="22044"/>
    <cellStyle name="差_Sheet1_109吸顶灯_110水晶灯 3 2" xfId="22046"/>
    <cellStyle name="差_Sheet1_109吸顶灯_110水晶灯 4" xfId="22048"/>
    <cellStyle name="差_Sheet1_109吸顶灯_110水晶灯 4 2" xfId="22051"/>
    <cellStyle name="差_Sheet1_109吸顶灯_110水晶灯 5" xfId="22053"/>
    <cellStyle name="差_Sheet1_109吸顶灯_110水晶灯 5 2" xfId="22054"/>
    <cellStyle name="差_Sheet1_109吸顶灯_110水晶灯 6" xfId="4288"/>
    <cellStyle name="差_Sheet1_109吸顶灯_110水晶灯_聊城样板房工程量计算稿" xfId="5278"/>
    <cellStyle name="差_Sheet1_109吸顶灯_110水晶灯_终板 潍坊翡翠华庭样板房清单" xfId="2321"/>
    <cellStyle name="差_Sheet1_109吸顶灯_118仿石砖" xfId="22055"/>
    <cellStyle name="差_Sheet1_109吸顶灯_118仿石砖 2" xfId="22056"/>
    <cellStyle name="差_Sheet1_109吸顶灯_118仿石砖 2 2" xfId="22058"/>
    <cellStyle name="差_Sheet1_109吸顶灯_118仿石砖 3" xfId="22060"/>
    <cellStyle name="差_Sheet1_109吸顶灯_118仿石砖 3 2" xfId="22061"/>
    <cellStyle name="差_Sheet1_109吸顶灯_118仿石砖 4" xfId="22062"/>
    <cellStyle name="差_Sheet1_109吸顶灯_118仿石砖 4 2" xfId="22063"/>
    <cellStyle name="差_Sheet1_109吸顶灯_118仿石砖 5" xfId="9153"/>
    <cellStyle name="差_Sheet1_109吸顶灯_118仿石砖 5 2" xfId="22064"/>
    <cellStyle name="差_Sheet1_109吸顶灯_118仿石砖 6" xfId="1682"/>
    <cellStyle name="差_Sheet1_109吸顶灯_118仿石砖_聊城样板房工程量计算稿" xfId="2331"/>
    <cellStyle name="差_Sheet1_109吸顶灯_118仿石砖_终板 潍坊翡翠华庭样板房清单" xfId="22065"/>
    <cellStyle name="差_Sheet1_109吸顶灯_119仿古砖" xfId="22066"/>
    <cellStyle name="差_Sheet1_109吸顶灯_119仿古砖 2" xfId="22068"/>
    <cellStyle name="差_Sheet1_109吸顶灯_119仿古砖 2 2" xfId="22071"/>
    <cellStyle name="差_Sheet1_109吸顶灯_119仿古砖 3" xfId="22073"/>
    <cellStyle name="差_Sheet1_109吸顶灯_119仿古砖 3 2" xfId="21541"/>
    <cellStyle name="差_Sheet1_109吸顶灯_119仿古砖 4" xfId="22075"/>
    <cellStyle name="差_Sheet1_109吸顶灯_119仿古砖 4 2" xfId="7565"/>
    <cellStyle name="差_Sheet1_109吸顶灯_119仿古砖 5" xfId="22076"/>
    <cellStyle name="差_Sheet1_109吸顶灯_119仿古砖 5 2" xfId="7604"/>
    <cellStyle name="差_Sheet1_109吸顶灯_119仿古砖 6" xfId="22077"/>
    <cellStyle name="差_Sheet1_109吸顶灯_119仿古砖_聊城样板房工程量计算稿" xfId="18563"/>
    <cellStyle name="差_Sheet1_109吸顶灯_119仿古砖_终板 潍坊翡翠华庭样板房清单" xfId="22080"/>
    <cellStyle name="差_Sheet1_109吸顶灯_2009年6月甲供材料模板（29类版）" xfId="8950"/>
    <cellStyle name="差_Sheet1_109吸顶灯_2009年6月甲供材料模板（29类版） 2" xfId="22081"/>
    <cellStyle name="差_Sheet1_109吸顶灯_2009年6月甲供材料模板（29类版） 2 2" xfId="22082"/>
    <cellStyle name="差_Sheet1_109吸顶灯_2009年6月甲供材料模板（29类版） 3" xfId="22083"/>
    <cellStyle name="差_Sheet1_109吸顶灯_2009年6月甲供材料模板（29类版） 3 2" xfId="22085"/>
    <cellStyle name="差_Sheet1_109吸顶灯_2009年6月甲供材料模板（29类版） 4" xfId="22086"/>
    <cellStyle name="差_Sheet1_109吸顶灯_2009年6月甲供材料模板（29类版） 4 2" xfId="22087"/>
    <cellStyle name="差_Sheet1_109吸顶灯_2009年6月甲供材料模板（29类版） 5" xfId="22088"/>
    <cellStyle name="差_Sheet1_109吸顶灯_2009年6月甲供材料模板（29类版） 5 2" xfId="22089"/>
    <cellStyle name="差_Sheet1_109吸顶灯_2009年6月甲供材料模板（29类版） 6" xfId="22090"/>
    <cellStyle name="差_Sheet1_109吸顶灯_2009年6月甲供材料模板（29类版）_聊城样板房工程量计算稿" xfId="22092"/>
    <cellStyle name="差_Sheet1_109吸顶灯_2009年6月甲供材料模板（29类版）_终板 潍坊翡翠华庭样板房清单" xfId="22093"/>
    <cellStyle name="差_Sheet1_109吸顶灯_聊城样板房工程量计算稿" xfId="5919"/>
    <cellStyle name="差_Sheet1_109吸顶灯_终板 潍坊翡翠华庭样板房清单" xfId="22094"/>
    <cellStyle name="差_Sheet1_110水晶灯" xfId="10145"/>
    <cellStyle name="差_Sheet1_110水晶灯 2" xfId="22095"/>
    <cellStyle name="差_Sheet1_110水晶灯 2 2" xfId="22098"/>
    <cellStyle name="差_Sheet1_110水晶灯 2 2 2" xfId="22101"/>
    <cellStyle name="差_Sheet1_110水晶灯 2 3" xfId="22103"/>
    <cellStyle name="差_Sheet1_110水晶灯 2 3 2" xfId="22104"/>
    <cellStyle name="差_Sheet1_110水晶灯 2 4" xfId="22105"/>
    <cellStyle name="差_Sheet1_110水晶灯 2 4 2" xfId="21921"/>
    <cellStyle name="差_Sheet1_110水晶灯 2 5" xfId="20143"/>
    <cellStyle name="差_Sheet1_110水晶灯 2_聊城样板房工程量计算稿" xfId="22106"/>
    <cellStyle name="差_Sheet1_110水晶灯 2_终板 潍坊翡翠华庭样板房清单" xfId="22108"/>
    <cellStyle name="差_Sheet1_110水晶灯 3" xfId="22109"/>
    <cellStyle name="差_Sheet1_110水晶灯 3 2" xfId="22112"/>
    <cellStyle name="差_Sheet1_110水晶灯 3 2 2" xfId="8766"/>
    <cellStyle name="差_Sheet1_110水晶灯 3 3" xfId="22113"/>
    <cellStyle name="差_Sheet1_110水晶灯 3 3 2" xfId="22114"/>
    <cellStyle name="差_Sheet1_110水晶灯 3 4" xfId="22115"/>
    <cellStyle name="差_Sheet1_110水晶灯 3 4 2" xfId="8768"/>
    <cellStyle name="差_Sheet1_110水晶灯 3 5" xfId="22116"/>
    <cellStyle name="差_Sheet1_110水晶灯 4" xfId="22117"/>
    <cellStyle name="差_Sheet1_110水晶灯 4 2" xfId="22118"/>
    <cellStyle name="差_Sheet1_110水晶灯 5" xfId="22119"/>
    <cellStyle name="差_Sheet1_110水晶灯 5 2" xfId="3253"/>
    <cellStyle name="差_Sheet1_110水晶灯 6" xfId="22120"/>
    <cellStyle name="差_Sheet1_110水晶灯 6 2" xfId="3275"/>
    <cellStyle name="差_Sheet1_110水晶灯 7" xfId="22121"/>
    <cellStyle name="差_Sheet1_110水晶灯 7 2" xfId="3295"/>
    <cellStyle name="差_Sheet1_110水晶灯 8" xfId="22122"/>
    <cellStyle name="差_Sheet1_110水晶灯_102洁具-陶瓷" xfId="22123"/>
    <cellStyle name="差_Sheet1_110水晶灯_102洁具-陶瓷 2" xfId="22124"/>
    <cellStyle name="差_Sheet1_110水晶灯_102洁具-陶瓷 2 2" xfId="22126"/>
    <cellStyle name="差_Sheet1_110水晶灯_102洁具-陶瓷 3" xfId="22128"/>
    <cellStyle name="差_Sheet1_110水晶灯_102洁具-陶瓷 3 2" xfId="22129"/>
    <cellStyle name="差_Sheet1_110水晶灯_102洁具-陶瓷 4" xfId="22130"/>
    <cellStyle name="差_Sheet1_110水晶灯_102洁具-陶瓷 4 2" xfId="22131"/>
    <cellStyle name="差_Sheet1_110水晶灯_102洁具-陶瓷 5" xfId="18791"/>
    <cellStyle name="差_Sheet1_110水晶灯_102洁具-陶瓷 5 2" xfId="18793"/>
    <cellStyle name="差_Sheet1_110水晶灯_102洁具-陶瓷 6" xfId="18798"/>
    <cellStyle name="差_Sheet1_110水晶灯_102洁具-陶瓷_聊城样板房工程量计算稿" xfId="17769"/>
    <cellStyle name="差_Sheet1_110水晶灯_102洁具-陶瓷_终板 潍坊翡翠华庭样板房清单" xfId="3607"/>
    <cellStyle name="差_Sheet1_110水晶灯_105瓷片 " xfId="5663"/>
    <cellStyle name="差_Sheet1_110水晶灯_105瓷片  2" xfId="13402"/>
    <cellStyle name="差_Sheet1_110水晶灯_105瓷片  2 2" xfId="13840"/>
    <cellStyle name="差_Sheet1_110水晶灯_105瓷片  3" xfId="13844"/>
    <cellStyle name="差_Sheet1_110水晶灯_105瓷片  3 2" xfId="13848"/>
    <cellStyle name="差_Sheet1_110水晶灯_105瓷片  4" xfId="13849"/>
    <cellStyle name="差_Sheet1_110水晶灯_105瓷片  4 2" xfId="22134"/>
    <cellStyle name="差_Sheet1_110水晶灯_105瓷片  5" xfId="22135"/>
    <cellStyle name="差_Sheet1_110水晶灯_105瓷片  5 2" xfId="22136"/>
    <cellStyle name="差_Sheet1_110水晶灯_105瓷片  6" xfId="11262"/>
    <cellStyle name="差_Sheet1_110水晶灯_105瓷片 _聊城样板房工程量计算稿" xfId="2683"/>
    <cellStyle name="差_Sheet1_110水晶灯_105瓷片 _终板 潍坊翡翠华庭样板房清单" xfId="22137"/>
    <cellStyle name="差_Sheet1_110水晶灯_109吸顶灯" xfId="6477"/>
    <cellStyle name="差_Sheet1_110水晶灯_109吸顶灯 2" xfId="22138"/>
    <cellStyle name="差_Sheet1_110水晶灯_109吸顶灯 2 2" xfId="22139"/>
    <cellStyle name="差_Sheet1_110水晶灯_109吸顶灯 3" xfId="22141"/>
    <cellStyle name="差_Sheet1_110水晶灯_109吸顶灯 3 2" xfId="22144"/>
    <cellStyle name="差_Sheet1_110水晶灯_109吸顶灯 4" xfId="13955"/>
    <cellStyle name="差_Sheet1_110水晶灯_109吸顶灯 4 2" xfId="13959"/>
    <cellStyle name="差_Sheet1_110水晶灯_109吸顶灯 5" xfId="13962"/>
    <cellStyle name="差_Sheet1_110水晶灯_109吸顶灯 5 2" xfId="13965"/>
    <cellStyle name="差_Sheet1_110水晶灯_109吸顶灯 6" xfId="13969"/>
    <cellStyle name="差_Sheet1_110水晶灯_109吸顶灯_聊城样板房工程量计算稿" xfId="22145"/>
    <cellStyle name="差_Sheet1_110水晶灯_109吸顶灯_终板 潍坊翡翠华庭样板房清单" xfId="22146"/>
    <cellStyle name="差_Sheet1_110水晶灯_110水晶灯" xfId="22147"/>
    <cellStyle name="差_Sheet1_110水晶灯_110水晶灯 2" xfId="17277"/>
    <cellStyle name="差_Sheet1_110水晶灯_110水晶灯 2 2" xfId="22149"/>
    <cellStyle name="差_Sheet1_110水晶灯_110水晶灯 3" xfId="17280"/>
    <cellStyle name="差_Sheet1_110水晶灯_110水晶灯 3 2" xfId="22150"/>
    <cellStyle name="差_Sheet1_110水晶灯_110水晶灯 4" xfId="22151"/>
    <cellStyle name="差_Sheet1_110水晶灯_110水晶灯 4 2" xfId="22152"/>
    <cellStyle name="差_Sheet1_110水晶灯_110水晶灯 5" xfId="22154"/>
    <cellStyle name="差_Sheet1_110水晶灯_110水晶灯 5 2" xfId="22155"/>
    <cellStyle name="差_Sheet1_110水晶灯_110水晶灯 6" xfId="22156"/>
    <cellStyle name="差_Sheet1_110水晶灯_110水晶灯_聊城样板房工程量计算稿" xfId="22158"/>
    <cellStyle name="差_Sheet1_110水晶灯_110水晶灯_终板 潍坊翡翠华庭样板房清单" xfId="9968"/>
    <cellStyle name="差_Sheet1_110水晶灯_118仿石砖" xfId="22159"/>
    <cellStyle name="差_Sheet1_110水晶灯_118仿石砖 2" xfId="22160"/>
    <cellStyle name="差_Sheet1_110水晶灯_118仿石砖 2 2" xfId="22161"/>
    <cellStyle name="差_Sheet1_110水晶灯_118仿石砖 3" xfId="22162"/>
    <cellStyle name="差_Sheet1_110水晶灯_118仿石砖 3 2" xfId="22163"/>
    <cellStyle name="差_Sheet1_110水晶灯_118仿石砖 4" xfId="22164"/>
    <cellStyle name="差_Sheet1_110水晶灯_118仿石砖 4 2" xfId="2302"/>
    <cellStyle name="差_Sheet1_110水晶灯_118仿石砖 5" xfId="22165"/>
    <cellStyle name="差_Sheet1_110水晶灯_118仿石砖 5 2" xfId="2339"/>
    <cellStyle name="差_Sheet1_110水晶灯_118仿石砖 6" xfId="22166"/>
    <cellStyle name="差_Sheet1_110水晶灯_118仿石砖_聊城样板房工程量计算稿" xfId="22167"/>
    <cellStyle name="差_Sheet1_110水晶灯_118仿石砖_终板 潍坊翡翠华庭样板房清单" xfId="3037"/>
    <cellStyle name="差_Sheet1_110水晶灯_119仿古砖" xfId="19037"/>
    <cellStyle name="差_Sheet1_110水晶灯_119仿古砖 2" xfId="22168"/>
    <cellStyle name="差_Sheet1_110水晶灯_119仿古砖 2 2" xfId="10086"/>
    <cellStyle name="差_Sheet1_110水晶灯_119仿古砖 3" xfId="22169"/>
    <cellStyle name="差_Sheet1_110水晶灯_119仿古砖 3 2" xfId="22170"/>
    <cellStyle name="差_Sheet1_110水晶灯_119仿古砖 4" xfId="22171"/>
    <cellStyle name="差_Sheet1_110水晶灯_119仿古砖 4 2" xfId="22172"/>
    <cellStyle name="差_Sheet1_110水晶灯_119仿古砖 5" xfId="22173"/>
    <cellStyle name="差_Sheet1_110水晶灯_119仿古砖 5 2" xfId="22174"/>
    <cellStyle name="差_Sheet1_110水晶灯_119仿古砖 6" xfId="22175"/>
    <cellStyle name="差_Sheet1_110水晶灯_119仿古砖_聊城样板房工程量计算稿" xfId="22176"/>
    <cellStyle name="差_Sheet1_110水晶灯_119仿古砖_终板 潍坊翡翠华庭样板房清单" xfId="22179"/>
    <cellStyle name="差_Sheet1_110水晶灯_2009年6月甲供材料模板（29类版）" xfId="3983"/>
    <cellStyle name="差_Sheet1_110水晶灯_2009年6月甲供材料模板（29类版） 2" xfId="22182"/>
    <cellStyle name="差_Sheet1_110水晶灯_2009年6月甲供材料模板（29类版） 2 2" xfId="22184"/>
    <cellStyle name="差_Sheet1_110水晶灯_2009年6月甲供材料模板（29类版） 3" xfId="22186"/>
    <cellStyle name="差_Sheet1_110水晶灯_2009年6月甲供材料模板（29类版） 3 2" xfId="22187"/>
    <cellStyle name="差_Sheet1_110水晶灯_2009年6月甲供材料模板（29类版） 4" xfId="22190"/>
    <cellStyle name="差_Sheet1_110水晶灯_2009年6月甲供材料模板（29类版） 4 2" xfId="22192"/>
    <cellStyle name="差_Sheet1_110水晶灯_2009年6月甲供材料模板（29类版） 5" xfId="14857"/>
    <cellStyle name="差_Sheet1_110水晶灯_2009年6月甲供材料模板（29类版） 5 2" xfId="22195"/>
    <cellStyle name="差_Sheet1_110水晶灯_2009年6月甲供材料模板（29类版） 6" xfId="14810"/>
    <cellStyle name="差_Sheet1_110水晶灯_2009年6月甲供材料模板（29类版）_聊城样板房工程量计算稿" xfId="22196"/>
    <cellStyle name="差_Sheet1_110水晶灯_2009年6月甲供材料模板（29类版）_终板 潍坊翡翠华庭样板房清单" xfId="22197"/>
    <cellStyle name="差_Sheet1_110水晶灯_聊城样板房工程量计算稿" xfId="22199"/>
    <cellStyle name="差_Sheet1_110水晶灯_终板 潍坊翡翠华庭样板房清单" xfId="22200"/>
    <cellStyle name="差_Sheet1_111橱柜浴室柜" xfId="22201"/>
    <cellStyle name="差_Sheet1_111橱柜浴室柜 2" xfId="22202"/>
    <cellStyle name="差_Sheet1_111橱柜浴室柜 2 2" xfId="22203"/>
    <cellStyle name="差_Sheet1_111橱柜浴室柜 2 2 2" xfId="22204"/>
    <cellStyle name="差_Sheet1_111橱柜浴室柜 2 3" xfId="22205"/>
    <cellStyle name="差_Sheet1_111橱柜浴室柜 2 3 2" xfId="22206"/>
    <cellStyle name="差_Sheet1_111橱柜浴室柜 2 4" xfId="8921"/>
    <cellStyle name="差_Sheet1_111橱柜浴室柜 2 4 2" xfId="22207"/>
    <cellStyle name="差_Sheet1_111橱柜浴室柜 2 5" xfId="22208"/>
    <cellStyle name="差_Sheet1_111橱柜浴室柜 2_聊城样板房工程量计算稿" xfId="22209"/>
    <cellStyle name="差_Sheet1_111橱柜浴室柜 2_终板 潍坊翡翠华庭样板房清单" xfId="22212"/>
    <cellStyle name="差_Sheet1_111橱柜浴室柜 3" xfId="22213"/>
    <cellStyle name="差_Sheet1_111橱柜浴室柜 3 2" xfId="22214"/>
    <cellStyle name="差_Sheet1_111橱柜浴室柜 3 2 2" xfId="7445"/>
    <cellStyle name="差_Sheet1_111橱柜浴室柜 3 3" xfId="22215"/>
    <cellStyle name="差_Sheet1_111橱柜浴室柜 3 3 2" xfId="7637"/>
    <cellStyle name="差_Sheet1_111橱柜浴室柜 3 4" xfId="22216"/>
    <cellStyle name="差_Sheet1_111橱柜浴室柜 3 4 2" xfId="7717"/>
    <cellStyle name="差_Sheet1_111橱柜浴室柜 3 5" xfId="22217"/>
    <cellStyle name="差_Sheet1_111橱柜浴室柜 4" xfId="22218"/>
    <cellStyle name="差_Sheet1_111橱柜浴室柜 4 2" xfId="22219"/>
    <cellStyle name="差_Sheet1_111橱柜浴室柜 5" xfId="22220"/>
    <cellStyle name="差_Sheet1_111橱柜浴室柜 5 2" xfId="22221"/>
    <cellStyle name="差_Sheet1_111橱柜浴室柜 6" xfId="22222"/>
    <cellStyle name="差_Sheet1_111橱柜浴室柜 6 2" xfId="22223"/>
    <cellStyle name="差_Sheet1_111橱柜浴室柜 7" xfId="22224"/>
    <cellStyle name="差_Sheet1_111橱柜浴室柜 7 2" xfId="14021"/>
    <cellStyle name="差_Sheet1_111橱柜浴室柜 8" xfId="22225"/>
    <cellStyle name="差_Sheet1_111橱柜浴室柜_102洁具-陶瓷" xfId="22226"/>
    <cellStyle name="差_Sheet1_111橱柜浴室柜_102洁具-陶瓷 2" xfId="22227"/>
    <cellStyle name="差_Sheet1_111橱柜浴室柜_102洁具-陶瓷 2 2" xfId="22228"/>
    <cellStyle name="差_Sheet1_111橱柜浴室柜_102洁具-陶瓷 3" xfId="22230"/>
    <cellStyle name="差_Sheet1_111橱柜浴室柜_102洁具-陶瓷 3 2" xfId="22232"/>
    <cellStyle name="差_Sheet1_111橱柜浴室柜_102洁具-陶瓷 4" xfId="22235"/>
    <cellStyle name="差_Sheet1_111橱柜浴室柜_102洁具-陶瓷 4 2" xfId="10666"/>
    <cellStyle name="差_Sheet1_111橱柜浴室柜_102洁具-陶瓷 5" xfId="15700"/>
    <cellStyle name="差_Sheet1_111橱柜浴室柜_102洁具-陶瓷 5 2" xfId="10785"/>
    <cellStyle name="差_Sheet1_111橱柜浴室柜_102洁具-陶瓷 6" xfId="14643"/>
    <cellStyle name="差_Sheet1_111橱柜浴室柜_102洁具-陶瓷_聊城样板房工程量计算稿" xfId="8572"/>
    <cellStyle name="差_Sheet1_111橱柜浴室柜_102洁具-陶瓷_终板 潍坊翡翠华庭样板房清单" xfId="4722"/>
    <cellStyle name="差_Sheet1_111橱柜浴室柜_105瓷片 " xfId="22238"/>
    <cellStyle name="差_Sheet1_111橱柜浴室柜_105瓷片  2" xfId="22239"/>
    <cellStyle name="差_Sheet1_111橱柜浴室柜_105瓷片  2 2" xfId="22242"/>
    <cellStyle name="差_Sheet1_111橱柜浴室柜_105瓷片  3" xfId="1387"/>
    <cellStyle name="差_Sheet1_111橱柜浴室柜_105瓷片  3 2" xfId="22245"/>
    <cellStyle name="差_Sheet1_111橱柜浴室柜_105瓷片  4" xfId="21573"/>
    <cellStyle name="差_Sheet1_111橱柜浴室柜_105瓷片  4 2" xfId="21575"/>
    <cellStyle name="差_Sheet1_111橱柜浴室柜_105瓷片  5" xfId="8654"/>
    <cellStyle name="差_Sheet1_111橱柜浴室柜_105瓷片  5 2" xfId="22246"/>
    <cellStyle name="差_Sheet1_111橱柜浴室柜_105瓷片  6" xfId="22248"/>
    <cellStyle name="差_Sheet1_111橱柜浴室柜_105瓷片 _聊城样板房工程量计算稿" xfId="22250"/>
    <cellStyle name="差_Sheet1_111橱柜浴室柜_105瓷片 _终板 潍坊翡翠华庭样板房清单" xfId="22251"/>
    <cellStyle name="差_Sheet1_111橱柜浴室柜_109吸顶灯" xfId="22253"/>
    <cellStyle name="差_Sheet1_111橱柜浴室柜_109吸顶灯 2" xfId="22255"/>
    <cellStyle name="差_Sheet1_111橱柜浴室柜_109吸顶灯 2 2" xfId="22257"/>
    <cellStyle name="差_Sheet1_111橱柜浴室柜_109吸顶灯 3" xfId="22259"/>
    <cellStyle name="差_Sheet1_111橱柜浴室柜_109吸顶灯 3 2" xfId="22261"/>
    <cellStyle name="差_Sheet1_111橱柜浴室柜_109吸顶灯 4" xfId="22263"/>
    <cellStyle name="差_Sheet1_111橱柜浴室柜_109吸顶灯 4 2" xfId="22265"/>
    <cellStyle name="差_Sheet1_111橱柜浴室柜_109吸顶灯 5" xfId="21775"/>
    <cellStyle name="差_Sheet1_111橱柜浴室柜_109吸顶灯 5 2" xfId="21778"/>
    <cellStyle name="差_Sheet1_111橱柜浴室柜_109吸顶灯 6" xfId="2971"/>
    <cellStyle name="差_Sheet1_111橱柜浴室柜_109吸顶灯_聊城样板房工程量计算稿" xfId="22266"/>
    <cellStyle name="差_Sheet1_111橱柜浴室柜_109吸顶灯_终板 潍坊翡翠华庭样板房清单" xfId="22267"/>
    <cellStyle name="差_Sheet1_111橱柜浴室柜_110水晶灯" xfId="22269"/>
    <cellStyle name="差_Sheet1_111橱柜浴室柜_110水晶灯 2" xfId="22270"/>
    <cellStyle name="差_Sheet1_111橱柜浴室柜_110水晶灯 2 2" xfId="22271"/>
    <cellStyle name="差_Sheet1_111橱柜浴室柜_110水晶灯 3" xfId="22272"/>
    <cellStyle name="差_Sheet1_111橱柜浴室柜_110水晶灯 3 2" xfId="22273"/>
    <cellStyle name="差_Sheet1_111橱柜浴室柜_110水晶灯 4" xfId="22275"/>
    <cellStyle name="差_Sheet1_111橱柜浴室柜_110水晶灯 4 2" xfId="22276"/>
    <cellStyle name="差_Sheet1_111橱柜浴室柜_110水晶灯 5" xfId="1087"/>
    <cellStyle name="差_Sheet1_111橱柜浴室柜_110水晶灯 5 2" xfId="1092"/>
    <cellStyle name="差_Sheet1_111橱柜浴室柜_110水晶灯 6" xfId="693"/>
    <cellStyle name="差_Sheet1_111橱柜浴室柜_110水晶灯_聊城样板房工程量计算稿" xfId="22277"/>
    <cellStyle name="差_Sheet1_111橱柜浴室柜_110水晶灯_终板 潍坊翡翠华庭样板房清单" xfId="22278"/>
    <cellStyle name="差_Sheet1_111橱柜浴室柜_118仿石砖" xfId="13447"/>
    <cellStyle name="差_Sheet1_111橱柜浴室柜_118仿石砖 2" xfId="8037"/>
    <cellStyle name="差_Sheet1_111橱柜浴室柜_118仿石砖 2 2" xfId="8041"/>
    <cellStyle name="差_Sheet1_111橱柜浴室柜_118仿石砖 3" xfId="7812"/>
    <cellStyle name="差_Sheet1_111橱柜浴室柜_118仿石砖 3 2" xfId="8060"/>
    <cellStyle name="差_Sheet1_111橱柜浴室柜_118仿石砖 4" xfId="8067"/>
    <cellStyle name="差_Sheet1_111橱柜浴室柜_118仿石砖 4 2" xfId="22279"/>
    <cellStyle name="差_Sheet1_111橱柜浴室柜_118仿石砖 5" xfId="8069"/>
    <cellStyle name="差_Sheet1_111橱柜浴室柜_118仿石砖 5 2" xfId="22281"/>
    <cellStyle name="差_Sheet1_111橱柜浴室柜_118仿石砖 6" xfId="8071"/>
    <cellStyle name="差_Sheet1_111橱柜浴室柜_118仿石砖_聊城样板房工程量计算稿" xfId="22282"/>
    <cellStyle name="差_Sheet1_111橱柜浴室柜_118仿石砖_终板 潍坊翡翠华庭样板房清单" xfId="22284"/>
    <cellStyle name="差_Sheet1_111橱柜浴室柜_119仿古砖" xfId="22287"/>
    <cellStyle name="差_Sheet1_111橱柜浴室柜_119仿古砖 2" xfId="22289"/>
    <cellStyle name="差_Sheet1_111橱柜浴室柜_119仿古砖 2 2" xfId="21117"/>
    <cellStyle name="差_Sheet1_111橱柜浴室柜_119仿古砖 3" xfId="9039"/>
    <cellStyle name="差_Sheet1_111橱柜浴室柜_119仿古砖 3 2" xfId="12552"/>
    <cellStyle name="差_Sheet1_111橱柜浴室柜_119仿古砖 4" xfId="6460"/>
    <cellStyle name="差_Sheet1_111橱柜浴室柜_119仿古砖 4 2" xfId="6467"/>
    <cellStyle name="差_Sheet1_111橱柜浴室柜_119仿古砖 5" xfId="4665"/>
    <cellStyle name="差_Sheet1_111橱柜浴室柜_119仿古砖 5 2" xfId="6484"/>
    <cellStyle name="差_Sheet1_111橱柜浴室柜_119仿古砖 6" xfId="6492"/>
    <cellStyle name="差_Sheet1_111橱柜浴室柜_119仿古砖_聊城样板房工程量计算稿" xfId="22291"/>
    <cellStyle name="差_Sheet1_111橱柜浴室柜_119仿古砖_终板 潍坊翡翠华庭样板房清单" xfId="2243"/>
    <cellStyle name="差_Sheet1_111橱柜浴室柜_2009年6月甲供材料模板（29类版）" xfId="22292"/>
    <cellStyle name="差_Sheet1_111橱柜浴室柜_2009年6月甲供材料模板（29类版） 2" xfId="22293"/>
    <cellStyle name="差_Sheet1_111橱柜浴室柜_2009年6月甲供材料模板（29类版） 2 2" xfId="12336"/>
    <cellStyle name="差_Sheet1_111橱柜浴室柜_2009年6月甲供材料模板（29类版） 3" xfId="22294"/>
    <cellStyle name="差_Sheet1_111橱柜浴室柜_2009年6月甲供材料模板（29类版） 3 2" xfId="12348"/>
    <cellStyle name="差_Sheet1_111橱柜浴室柜_2009年6月甲供材料模板（29类版） 4" xfId="2479"/>
    <cellStyle name="差_Sheet1_111橱柜浴室柜_2009年6月甲供材料模板（29类版） 4 2" xfId="2483"/>
    <cellStyle name="差_Sheet1_111橱柜浴室柜_2009年6月甲供材料模板（29类版） 5" xfId="2492"/>
    <cellStyle name="差_Sheet1_111橱柜浴室柜_2009年6月甲供材料模板（29类版） 5 2" xfId="2496"/>
    <cellStyle name="差_Sheet1_111橱柜浴室柜_2009年6月甲供材料模板（29类版） 6" xfId="2504"/>
    <cellStyle name="差_Sheet1_111橱柜浴室柜_2009年6月甲供材料模板（29类版）_聊城样板房工程量计算稿" xfId="22297"/>
    <cellStyle name="差_Sheet1_111橱柜浴室柜_2009年6月甲供材料模板（29类版）_终板 潍坊翡翠华庭样板房清单" xfId="22300"/>
    <cellStyle name="差_Sheet1_111橱柜浴室柜_聊城样板房工程量计算稿" xfId="22301"/>
    <cellStyle name="差_Sheet1_111橱柜浴室柜_终板 潍坊翡翠华庭样板房清单" xfId="14176"/>
    <cellStyle name="差_Sheet1_112淋浴间隔" xfId="8023"/>
    <cellStyle name="差_Sheet1_112淋浴间隔 2" xfId="21966"/>
    <cellStyle name="差_Sheet1_112淋浴间隔 2 2" xfId="21971"/>
    <cellStyle name="差_Sheet1_112淋浴间隔 2 2 2" xfId="22303"/>
    <cellStyle name="差_Sheet1_112淋浴间隔 2 3" xfId="22307"/>
    <cellStyle name="差_Sheet1_112淋浴间隔 2 3 2" xfId="22308"/>
    <cellStyle name="差_Sheet1_112淋浴间隔 2 4" xfId="22309"/>
    <cellStyle name="差_Sheet1_112淋浴间隔 2 4 2" xfId="19368"/>
    <cellStyle name="差_Sheet1_112淋浴间隔 2 5" xfId="22311"/>
    <cellStyle name="差_Sheet1_112淋浴间隔 2_聊城样板房工程量计算稿" xfId="22312"/>
    <cellStyle name="差_Sheet1_112淋浴间隔 2_终板 潍坊翡翠华庭样板房清单" xfId="22314"/>
    <cellStyle name="差_Sheet1_112淋浴间隔 3" xfId="21977"/>
    <cellStyle name="差_Sheet1_112淋浴间隔 3 2" xfId="21982"/>
    <cellStyle name="差_Sheet1_112淋浴间隔 3 2 2" xfId="22316"/>
    <cellStyle name="差_Sheet1_112淋浴间隔 3 3" xfId="22320"/>
    <cellStyle name="差_Sheet1_112淋浴间隔 3 3 2" xfId="22322"/>
    <cellStyle name="差_Sheet1_112淋浴间隔 3 4" xfId="22324"/>
    <cellStyle name="差_Sheet1_112淋浴间隔 3 4 2" xfId="22326"/>
    <cellStyle name="差_Sheet1_112淋浴间隔 3 5" xfId="22328"/>
    <cellStyle name="差_Sheet1_112淋浴间隔 4" xfId="21984"/>
    <cellStyle name="差_Sheet1_112淋浴间隔 4 2" xfId="22333"/>
    <cellStyle name="差_Sheet1_112淋浴间隔 5" xfId="22334"/>
    <cellStyle name="差_Sheet1_112淋浴间隔 5 2" xfId="22336"/>
    <cellStyle name="差_Sheet1_112淋浴间隔 6" xfId="21551"/>
    <cellStyle name="差_Sheet1_112淋浴间隔 6 2" xfId="22337"/>
    <cellStyle name="差_Sheet1_112淋浴间隔 7" xfId="22338"/>
    <cellStyle name="差_Sheet1_112淋浴间隔 7 2" xfId="22340"/>
    <cellStyle name="差_Sheet1_112淋浴间隔 8" xfId="22341"/>
    <cellStyle name="差_Sheet1_112淋浴间隔_102洁具-陶瓷" xfId="22344"/>
    <cellStyle name="差_Sheet1_112淋浴间隔_102洁具-陶瓷 2" xfId="22346"/>
    <cellStyle name="差_Sheet1_112淋浴间隔_102洁具-陶瓷 2 2" xfId="22347"/>
    <cellStyle name="差_Sheet1_112淋浴间隔_102洁具-陶瓷 3" xfId="22348"/>
    <cellStyle name="差_Sheet1_112淋浴间隔_102洁具-陶瓷 3 2" xfId="22349"/>
    <cellStyle name="差_Sheet1_112淋浴间隔_102洁具-陶瓷 4" xfId="8788"/>
    <cellStyle name="差_Sheet1_112淋浴间隔_102洁具-陶瓷 4 2" xfId="22351"/>
    <cellStyle name="差_Sheet1_112淋浴间隔_102洁具-陶瓷 5" xfId="22353"/>
    <cellStyle name="差_Sheet1_112淋浴间隔_102洁具-陶瓷 5 2" xfId="22354"/>
    <cellStyle name="差_Sheet1_112淋浴间隔_102洁具-陶瓷 6" xfId="22356"/>
    <cellStyle name="差_Sheet1_112淋浴间隔_102洁具-陶瓷_聊城样板房工程量计算稿" xfId="22358"/>
    <cellStyle name="差_Sheet1_112淋浴间隔_102洁具-陶瓷_终板 潍坊翡翠华庭样板房清单" xfId="22362"/>
    <cellStyle name="差_Sheet1_112淋浴间隔_105瓷片 " xfId="14675"/>
    <cellStyle name="差_Sheet1_112淋浴间隔_105瓷片  2" xfId="22363"/>
    <cellStyle name="差_Sheet1_112淋浴间隔_105瓷片  2 2" xfId="22365"/>
    <cellStyle name="差_Sheet1_112淋浴间隔_105瓷片  3" xfId="22366"/>
    <cellStyle name="差_Sheet1_112淋浴间隔_105瓷片  3 2" xfId="22368"/>
    <cellStyle name="差_Sheet1_112淋浴间隔_105瓷片  4" xfId="22370"/>
    <cellStyle name="差_Sheet1_112淋浴间隔_105瓷片  4 2" xfId="22372"/>
    <cellStyle name="差_Sheet1_112淋浴间隔_105瓷片  5" xfId="22373"/>
    <cellStyle name="差_Sheet1_112淋浴间隔_105瓷片  5 2" xfId="22375"/>
    <cellStyle name="差_Sheet1_112淋浴间隔_105瓷片  6" xfId="22376"/>
    <cellStyle name="差_Sheet1_112淋浴间隔_105瓷片 _聊城样板房工程量计算稿" xfId="19742"/>
    <cellStyle name="差_Sheet1_112淋浴间隔_105瓷片 _终板 潍坊翡翠华庭样板房清单" xfId="10698"/>
    <cellStyle name="差_Sheet1_112淋浴间隔_109吸顶灯" xfId="22378"/>
    <cellStyle name="差_Sheet1_112淋浴间隔_109吸顶灯 2" xfId="22379"/>
    <cellStyle name="差_Sheet1_112淋浴间隔_109吸顶灯 2 2" xfId="22380"/>
    <cellStyle name="差_Sheet1_112淋浴间隔_109吸顶灯 3" xfId="22382"/>
    <cellStyle name="差_Sheet1_112淋浴间隔_109吸顶灯 3 2" xfId="22384"/>
    <cellStyle name="差_Sheet1_112淋浴间隔_109吸顶灯 4" xfId="22385"/>
    <cellStyle name="差_Sheet1_112淋浴间隔_109吸顶灯 4 2" xfId="22386"/>
    <cellStyle name="差_Sheet1_112淋浴间隔_109吸顶灯 5" xfId="22387"/>
    <cellStyle name="差_Sheet1_112淋浴间隔_109吸顶灯 5 2" xfId="22389"/>
    <cellStyle name="差_Sheet1_112淋浴间隔_109吸顶灯 6" xfId="22392"/>
    <cellStyle name="差_Sheet1_112淋浴间隔_109吸顶灯_聊城样板房工程量计算稿" xfId="22394"/>
    <cellStyle name="差_Sheet1_112淋浴间隔_109吸顶灯_终板 潍坊翡翠华庭样板房清单" xfId="22395"/>
    <cellStyle name="差_Sheet1_112淋浴间隔_110水晶灯" xfId="22396"/>
    <cellStyle name="差_Sheet1_112淋浴间隔_110水晶灯 2" xfId="22398"/>
    <cellStyle name="差_Sheet1_112淋浴间隔_110水晶灯 2 2" xfId="22400"/>
    <cellStyle name="差_Sheet1_112淋浴间隔_110水晶灯 3" xfId="20290"/>
    <cellStyle name="差_Sheet1_112淋浴间隔_110水晶灯 3 2" xfId="22402"/>
    <cellStyle name="差_Sheet1_112淋浴间隔_110水晶灯 4" xfId="22404"/>
    <cellStyle name="差_Sheet1_112淋浴间隔_110水晶灯 4 2" xfId="22408"/>
    <cellStyle name="差_Sheet1_112淋浴间隔_110水晶灯 5" xfId="22410"/>
    <cellStyle name="差_Sheet1_112淋浴间隔_110水晶灯 5 2" xfId="22412"/>
    <cellStyle name="差_Sheet1_112淋浴间隔_110水晶灯 6" xfId="22414"/>
    <cellStyle name="差_Sheet1_112淋浴间隔_110水晶灯_聊城样板房工程量计算稿" xfId="22415"/>
    <cellStyle name="差_Sheet1_112淋浴间隔_110水晶灯_终板 潍坊翡翠华庭样板房清单" xfId="22416"/>
    <cellStyle name="差_Sheet1_112淋浴间隔_118仿石砖" xfId="22417"/>
    <cellStyle name="差_Sheet1_112淋浴间隔_118仿石砖 2" xfId="22418"/>
    <cellStyle name="差_Sheet1_112淋浴间隔_118仿石砖 2 2" xfId="22419"/>
    <cellStyle name="差_Sheet1_112淋浴间隔_118仿石砖 3" xfId="22420"/>
    <cellStyle name="差_Sheet1_112淋浴间隔_118仿石砖 3 2" xfId="22421"/>
    <cellStyle name="差_Sheet1_112淋浴间隔_118仿石砖 4" xfId="22423"/>
    <cellStyle name="差_Sheet1_112淋浴间隔_118仿石砖 4 2" xfId="22425"/>
    <cellStyle name="差_Sheet1_112淋浴间隔_118仿石砖 5" xfId="22426"/>
    <cellStyle name="差_Sheet1_112淋浴间隔_118仿石砖 5 2" xfId="22427"/>
    <cellStyle name="差_Sheet1_112淋浴间隔_118仿石砖 6" xfId="22428"/>
    <cellStyle name="差_Sheet1_112淋浴间隔_118仿石砖_聊城样板房工程量计算稿" xfId="16664"/>
    <cellStyle name="差_Sheet1_112淋浴间隔_118仿石砖_终板 潍坊翡翠华庭样板房清单" xfId="22429"/>
    <cellStyle name="差_Sheet1_112淋浴间隔_119仿古砖" xfId="22430"/>
    <cellStyle name="差_Sheet1_112淋浴间隔_119仿古砖 2" xfId="22432"/>
    <cellStyle name="差_Sheet1_112淋浴间隔_119仿古砖 2 2" xfId="22434"/>
    <cellStyle name="差_Sheet1_112淋浴间隔_119仿古砖 3" xfId="22435"/>
    <cellStyle name="差_Sheet1_112淋浴间隔_119仿古砖 3 2" xfId="22436"/>
    <cellStyle name="差_Sheet1_112淋浴间隔_119仿古砖 4" xfId="22439"/>
    <cellStyle name="差_Sheet1_112淋浴间隔_119仿古砖 4 2" xfId="22440"/>
    <cellStyle name="差_Sheet1_112淋浴间隔_119仿古砖 5" xfId="22441"/>
    <cellStyle name="差_Sheet1_112淋浴间隔_119仿古砖 5 2" xfId="22442"/>
    <cellStyle name="差_Sheet1_112淋浴间隔_119仿古砖 6" xfId="22443"/>
    <cellStyle name="差_Sheet1_112淋浴间隔_119仿古砖_聊城样板房工程量计算稿" xfId="22444"/>
    <cellStyle name="差_Sheet1_112淋浴间隔_119仿古砖_终板 潍坊翡翠华庭样板房清单" xfId="22449"/>
    <cellStyle name="差_Sheet1_112淋浴间隔_2009年6月甲供材料模板（29类版）" xfId="22451"/>
    <cellStyle name="差_Sheet1_112淋浴间隔_2009年6月甲供材料模板（29类版） 2" xfId="22453"/>
    <cellStyle name="差_Sheet1_112淋浴间隔_2009年6月甲供材料模板（29类版） 2 2" xfId="22454"/>
    <cellStyle name="差_Sheet1_112淋浴间隔_2009年6月甲供材料模板（29类版） 3" xfId="20738"/>
    <cellStyle name="差_Sheet1_112淋浴间隔_2009年6月甲供材料模板（29类版） 3 2" xfId="22456"/>
    <cellStyle name="差_Sheet1_112淋浴间隔_2009年6月甲供材料模板（29类版） 4" xfId="22459"/>
    <cellStyle name="差_Sheet1_112淋浴间隔_2009年6月甲供材料模板（29类版） 4 2" xfId="22461"/>
    <cellStyle name="差_Sheet1_112淋浴间隔_2009年6月甲供材料模板（29类版） 5" xfId="22463"/>
    <cellStyle name="差_Sheet1_112淋浴间隔_2009年6月甲供材料模板（29类版） 5 2" xfId="22464"/>
    <cellStyle name="差_Sheet1_112淋浴间隔_2009年6月甲供材料模板（29类版） 6" xfId="20875"/>
    <cellStyle name="差_Sheet1_112淋浴间隔_2009年6月甲供材料模板（29类版）_聊城样板房工程量计算稿" xfId="22465"/>
    <cellStyle name="差_Sheet1_112淋浴间隔_2009年6月甲供材料模板（29类版）_终板 潍坊翡翠华庭样板房清单" xfId="22468"/>
    <cellStyle name="差_Sheet1_112淋浴间隔_聊城样板房工程量计算稿" xfId="22470"/>
    <cellStyle name="差_Sheet1_112淋浴间隔_终板 潍坊翡翠华庭样板房清单" xfId="22471"/>
    <cellStyle name="差_Sheet1_114门锁五金" xfId="22473"/>
    <cellStyle name="差_Sheet1_114门锁五金 2" xfId="22477"/>
    <cellStyle name="差_Sheet1_114门锁五金 2 2" xfId="22481"/>
    <cellStyle name="差_Sheet1_114门锁五金 2 2 2" xfId="22486"/>
    <cellStyle name="差_Sheet1_114门锁五金 2 3" xfId="22489"/>
    <cellStyle name="差_Sheet1_114门锁五金 2 3 2" xfId="22492"/>
    <cellStyle name="差_Sheet1_114门锁五金 2 4" xfId="16961"/>
    <cellStyle name="差_Sheet1_114门锁五金 2 4 2" xfId="1075"/>
    <cellStyle name="差_Sheet1_114门锁五金 2 5" xfId="22494"/>
    <cellStyle name="差_Sheet1_114门锁五金 2_聊城样板房工程量计算稿" xfId="22495"/>
    <cellStyle name="差_Sheet1_114门锁五金 2_终板 潍坊翡翠华庭样板房清单" xfId="15207"/>
    <cellStyle name="差_Sheet1_114门锁五金 3" xfId="12487"/>
    <cellStyle name="差_Sheet1_114门锁五金 3 2" xfId="22498"/>
    <cellStyle name="差_Sheet1_114门锁五金 3 2 2" xfId="20480"/>
    <cellStyle name="差_Sheet1_114门锁五金 3 3" xfId="22502"/>
    <cellStyle name="差_Sheet1_114门锁五金 3 3 2" xfId="22505"/>
    <cellStyle name="差_Sheet1_114门锁五金 3 4" xfId="22508"/>
    <cellStyle name="差_Sheet1_114门锁五金 3 4 2" xfId="6664"/>
    <cellStyle name="差_Sheet1_114门锁五金 3 5" xfId="10211"/>
    <cellStyle name="差_Sheet1_114门锁五金 4" xfId="20894"/>
    <cellStyle name="差_Sheet1_114门锁五金 4 2" xfId="22514"/>
    <cellStyle name="差_Sheet1_114门锁五金 5" xfId="15742"/>
    <cellStyle name="差_Sheet1_114门锁五金 5 2" xfId="22518"/>
    <cellStyle name="差_Sheet1_114门锁五金 6" xfId="22521"/>
    <cellStyle name="差_Sheet1_114门锁五金 6 2" xfId="22524"/>
    <cellStyle name="差_Sheet1_114门锁五金 7" xfId="22527"/>
    <cellStyle name="差_Sheet1_114门锁五金 7 2" xfId="22530"/>
    <cellStyle name="差_Sheet1_114门锁五金 8" xfId="22533"/>
    <cellStyle name="差_Sheet1_114门锁五金_102洁具-陶瓷" xfId="22534"/>
    <cellStyle name="差_Sheet1_114门锁五金_102洁具-陶瓷 2" xfId="22535"/>
    <cellStyle name="差_Sheet1_114门锁五金_102洁具-陶瓷 2 2" xfId="22536"/>
    <cellStyle name="差_Sheet1_114门锁五金_102洁具-陶瓷 3" xfId="22537"/>
    <cellStyle name="差_Sheet1_114门锁五金_102洁具-陶瓷 3 2" xfId="22539"/>
    <cellStyle name="差_Sheet1_114门锁五金_102洁具-陶瓷 4" xfId="22540"/>
    <cellStyle name="差_Sheet1_114门锁五金_102洁具-陶瓷 4 2" xfId="22542"/>
    <cellStyle name="差_Sheet1_114门锁五金_102洁具-陶瓷 5" xfId="22543"/>
    <cellStyle name="差_Sheet1_114门锁五金_102洁具-陶瓷 5 2" xfId="22545"/>
    <cellStyle name="差_Sheet1_114门锁五金_102洁具-陶瓷 6" xfId="22547"/>
    <cellStyle name="差_Sheet1_114门锁五金_102洁具-陶瓷_聊城样板房工程量计算稿" xfId="22548"/>
    <cellStyle name="差_Sheet1_114门锁五金_102洁具-陶瓷_终板 潍坊翡翠华庭样板房清单" xfId="22549"/>
    <cellStyle name="差_Sheet1_114门锁五金_105瓷片 " xfId="20476"/>
    <cellStyle name="差_Sheet1_114门锁五金_105瓷片  2" xfId="20483"/>
    <cellStyle name="差_Sheet1_114门锁五金_105瓷片  2 2" xfId="20489"/>
    <cellStyle name="差_Sheet1_114门锁五金_105瓷片  3" xfId="20511"/>
    <cellStyle name="差_Sheet1_114门锁五金_105瓷片  3 2" xfId="20513"/>
    <cellStyle name="差_Sheet1_114门锁五金_105瓷片  4" xfId="20518"/>
    <cellStyle name="差_Sheet1_114门锁五金_105瓷片  4 2" xfId="20520"/>
    <cellStyle name="差_Sheet1_114门锁五金_105瓷片  5" xfId="20522"/>
    <cellStyle name="差_Sheet1_114门锁五金_105瓷片  5 2" xfId="20524"/>
    <cellStyle name="差_Sheet1_114门锁五金_105瓷片  6" xfId="20526"/>
    <cellStyle name="差_Sheet1_114门锁五金_105瓷片 _聊城样板房工程量计算稿" xfId="20621"/>
    <cellStyle name="差_Sheet1_114门锁五金_105瓷片 _终板 潍坊翡翠华庭样板房清单" xfId="16376"/>
    <cellStyle name="差_Sheet1_114门锁五金_109吸顶灯" xfId="22550"/>
    <cellStyle name="差_Sheet1_114门锁五金_109吸顶灯 2" xfId="18061"/>
    <cellStyle name="差_Sheet1_114门锁五金_109吸顶灯 2 2" xfId="22551"/>
    <cellStyle name="差_Sheet1_114门锁五金_109吸顶灯 3" xfId="16588"/>
    <cellStyle name="差_Sheet1_114门锁五金_109吸顶灯 3 2" xfId="22552"/>
    <cellStyle name="差_Sheet1_114门锁五金_109吸顶灯 4" xfId="18063"/>
    <cellStyle name="差_Sheet1_114门锁五金_109吸顶灯 4 2" xfId="22554"/>
    <cellStyle name="差_Sheet1_114门锁五金_109吸顶灯 5" xfId="18065"/>
    <cellStyle name="差_Sheet1_114门锁五金_109吸顶灯 5 2" xfId="22555"/>
    <cellStyle name="差_Sheet1_114门锁五金_109吸顶灯 6" xfId="18067"/>
    <cellStyle name="差_Sheet1_114门锁五金_109吸顶灯_聊城样板房工程量计算稿" xfId="22557"/>
    <cellStyle name="差_Sheet1_114门锁五金_109吸顶灯_终板 潍坊翡翠华庭样板房清单" xfId="22558"/>
    <cellStyle name="差_Sheet1_114门锁五金_110水晶灯" xfId="22560"/>
    <cellStyle name="差_Sheet1_114门锁五金_110水晶灯 2" xfId="22562"/>
    <cellStyle name="差_Sheet1_114门锁五金_110水晶灯 2 2" xfId="22563"/>
    <cellStyle name="差_Sheet1_114门锁五金_110水晶灯 3" xfId="2027"/>
    <cellStyle name="差_Sheet1_114门锁五金_110水晶灯 3 2" xfId="2030"/>
    <cellStyle name="差_Sheet1_114门锁五金_110水晶灯 4" xfId="2035"/>
    <cellStyle name="差_Sheet1_114门锁五金_110水晶灯 4 2" xfId="4970"/>
    <cellStyle name="差_Sheet1_114门锁五金_110水晶灯 5" xfId="4978"/>
    <cellStyle name="差_Sheet1_114门锁五金_110水晶灯 5 2" xfId="4980"/>
    <cellStyle name="差_Sheet1_114门锁五金_110水晶灯 6" xfId="4986"/>
    <cellStyle name="差_Sheet1_114门锁五金_110水晶灯_聊城样板房工程量计算稿" xfId="22565"/>
    <cellStyle name="差_Sheet1_114门锁五金_110水晶灯_终板 潍坊翡翠华庭样板房清单" xfId="22566"/>
    <cellStyle name="差_Sheet1_114门锁五金_118仿石砖" xfId="16530"/>
    <cellStyle name="差_Sheet1_114门锁五金_118仿石砖 2" xfId="22343"/>
    <cellStyle name="差_Sheet1_114门锁五金_118仿石砖 2 2" xfId="22345"/>
    <cellStyle name="差_Sheet1_114门锁五金_118仿石砖 3" xfId="22569"/>
    <cellStyle name="差_Sheet1_114门锁五金_118仿石砖 3 2" xfId="22570"/>
    <cellStyle name="差_Sheet1_114门锁五金_118仿石砖 4" xfId="22572"/>
    <cellStyle name="差_Sheet1_114门锁五金_118仿石砖 4 2" xfId="22574"/>
    <cellStyle name="差_Sheet1_114门锁五金_118仿石砖 5" xfId="13843"/>
    <cellStyle name="差_Sheet1_114门锁五金_118仿石砖 5 2" xfId="22576"/>
    <cellStyle name="差_Sheet1_114门锁五金_118仿石砖 6" xfId="14949"/>
    <cellStyle name="差_Sheet1_114门锁五金_118仿石砖_聊城样板房工程量计算稿" xfId="3386"/>
    <cellStyle name="差_Sheet1_114门锁五金_118仿石砖_终板 潍坊翡翠华庭样板房清单" xfId="5615"/>
    <cellStyle name="差_Sheet1_114门锁五金_119仿古砖" xfId="12545"/>
    <cellStyle name="差_Sheet1_114门锁五金_119仿古砖 2" xfId="22579"/>
    <cellStyle name="差_Sheet1_114门锁五金_119仿古砖 2 2" xfId="22580"/>
    <cellStyle name="差_Sheet1_114门锁五金_119仿古砖 3" xfId="22581"/>
    <cellStyle name="差_Sheet1_114门锁五金_119仿古砖 3 2" xfId="22582"/>
    <cellStyle name="差_Sheet1_114门锁五金_119仿古砖 4" xfId="22584"/>
    <cellStyle name="差_Sheet1_114门锁五金_119仿古砖 4 2" xfId="22585"/>
    <cellStyle name="差_Sheet1_114门锁五金_119仿古砖 5" xfId="22586"/>
    <cellStyle name="差_Sheet1_114门锁五金_119仿古砖 5 2" xfId="21596"/>
    <cellStyle name="差_Sheet1_114门锁五金_119仿古砖 6" xfId="22587"/>
    <cellStyle name="差_Sheet1_114门锁五金_119仿古砖_聊城样板房工程量计算稿" xfId="22590"/>
    <cellStyle name="差_Sheet1_114门锁五金_119仿古砖_终板 潍坊翡翠华庭样板房清单" xfId="22593"/>
    <cellStyle name="差_Sheet1_114门锁五金_2009年6月甲供材料模板（29类版）" xfId="22594"/>
    <cellStyle name="差_Sheet1_114门锁五金_2009年6月甲供材料模板（29类版） 2" xfId="22595"/>
    <cellStyle name="差_Sheet1_114门锁五金_2009年6月甲供材料模板（29类版） 2 2" xfId="22596"/>
    <cellStyle name="差_Sheet1_114门锁五金_2009年6月甲供材料模板（29类版） 3" xfId="22597"/>
    <cellStyle name="差_Sheet1_114门锁五金_2009年6月甲供材料模板（29类版） 3 2" xfId="22598"/>
    <cellStyle name="差_Sheet1_114门锁五金_2009年6月甲供材料模板（29类版） 4" xfId="22599"/>
    <cellStyle name="差_Sheet1_114门锁五金_2009年6月甲供材料模板（29类版） 4 2" xfId="22600"/>
    <cellStyle name="差_Sheet1_114门锁五金_2009年6月甲供材料模板（29类版） 5" xfId="22601"/>
    <cellStyle name="差_Sheet1_114门锁五金_2009年6月甲供材料模板（29类版） 5 2" xfId="22602"/>
    <cellStyle name="差_Sheet1_114门锁五金_2009年6月甲供材料模板（29类版） 6" xfId="22604"/>
    <cellStyle name="差_Sheet1_114门锁五金_2009年6月甲供材料模板（29类版）_聊城样板房工程量计算稿" xfId="7547"/>
    <cellStyle name="差_Sheet1_114门锁五金_2009年6月甲供材料模板（29类版）_终板 潍坊翡翠华庭样板房清单" xfId="22605"/>
    <cellStyle name="差_Sheet1_114门锁五金_聊城样板房工程量计算稿" xfId="22606"/>
    <cellStyle name="差_Sheet1_114门锁五金_终板 潍坊翡翠华庭样板房清单" xfId="1336"/>
    <cellStyle name="差_Sheet1_115木地板" xfId="8799"/>
    <cellStyle name="差_Sheet1_115木地板 2" xfId="8802"/>
    <cellStyle name="差_Sheet1_115木地板 2 2" xfId="9038"/>
    <cellStyle name="差_Sheet1_115木地板 2 2 2" xfId="12551"/>
    <cellStyle name="差_Sheet1_115木地板 2 3" xfId="6459"/>
    <cellStyle name="差_Sheet1_115木地板 2 3 2" xfId="6466"/>
    <cellStyle name="差_Sheet1_115木地板 2 4" xfId="4664"/>
    <cellStyle name="差_Sheet1_115木地板 2 4 2" xfId="6483"/>
    <cellStyle name="差_Sheet1_115木地板 2 5" xfId="6491"/>
    <cellStyle name="差_Sheet1_115木地板 2_聊城样板房工程量计算稿" xfId="22607"/>
    <cellStyle name="差_Sheet1_115木地板 2_终板 潍坊翡翠华庭样板房清单" xfId="22608"/>
    <cellStyle name="差_Sheet1_115木地板 3" xfId="7830"/>
    <cellStyle name="差_Sheet1_115木地板 3 2" xfId="9042"/>
    <cellStyle name="差_Sheet1_115木地板 3 2 2" xfId="17567"/>
    <cellStyle name="差_Sheet1_115木地板 3 3" xfId="1176"/>
    <cellStyle name="差_Sheet1_115木地板 3 3 2" xfId="3830"/>
    <cellStyle name="差_Sheet1_115木地板 3 4" xfId="3838"/>
    <cellStyle name="差_Sheet1_115木地板 3 4 2" xfId="3841"/>
    <cellStyle name="差_Sheet1_115木地板 3 5" xfId="3847"/>
    <cellStyle name="差_Sheet1_115木地板 4" xfId="9045"/>
    <cellStyle name="差_Sheet1_115木地板 4 2" xfId="9048"/>
    <cellStyle name="差_Sheet1_115木地板 5" xfId="9050"/>
    <cellStyle name="差_Sheet1_115木地板 5 2" xfId="22609"/>
    <cellStyle name="差_Sheet1_115木地板 6" xfId="22610"/>
    <cellStyle name="差_Sheet1_115木地板 6 2" xfId="22611"/>
    <cellStyle name="差_Sheet1_115木地板 7" xfId="22612"/>
    <cellStyle name="差_Sheet1_115木地板 7 2" xfId="22613"/>
    <cellStyle name="差_Sheet1_115木地板 8" xfId="22614"/>
    <cellStyle name="差_Sheet1_115木地板_102洁具-陶瓷" xfId="22615"/>
    <cellStyle name="差_Sheet1_115木地板_102洁具-陶瓷 2" xfId="22617"/>
    <cellStyle name="差_Sheet1_115木地板_102洁具-陶瓷 2 2" xfId="14765"/>
    <cellStyle name="差_Sheet1_115木地板_102洁具-陶瓷 3" xfId="22619"/>
    <cellStyle name="差_Sheet1_115木地板_102洁具-陶瓷 3 2" xfId="22620"/>
    <cellStyle name="差_Sheet1_115木地板_102洁具-陶瓷 4" xfId="22621"/>
    <cellStyle name="差_Sheet1_115木地板_102洁具-陶瓷 4 2" xfId="22623"/>
    <cellStyle name="差_Sheet1_115木地板_102洁具-陶瓷 5" xfId="22624"/>
    <cellStyle name="差_Sheet1_115木地板_102洁具-陶瓷 5 2" xfId="22625"/>
    <cellStyle name="差_Sheet1_115木地板_102洁具-陶瓷 6" xfId="22626"/>
    <cellStyle name="差_Sheet1_115木地板_102洁具-陶瓷_聊城样板房工程量计算稿" xfId="6902"/>
    <cellStyle name="差_Sheet1_115木地板_102洁具-陶瓷_终板 潍坊翡翠华庭样板房清单" xfId="22627"/>
    <cellStyle name="差_Sheet1_115木地板_105瓷片 " xfId="17381"/>
    <cellStyle name="差_Sheet1_115木地板_105瓷片  2" xfId="22628"/>
    <cellStyle name="差_Sheet1_115木地板_105瓷片  2 2" xfId="4682"/>
    <cellStyle name="差_Sheet1_115木地板_105瓷片  3" xfId="22445"/>
    <cellStyle name="差_Sheet1_115木地板_105瓷片  3 2" xfId="4735"/>
    <cellStyle name="差_Sheet1_115木地板_105瓷片  4" xfId="22629"/>
    <cellStyle name="差_Sheet1_115木地板_105瓷片  4 2" xfId="4804"/>
    <cellStyle name="差_Sheet1_115木地板_105瓷片  5" xfId="22630"/>
    <cellStyle name="差_Sheet1_115木地板_105瓷片  5 2" xfId="4843"/>
    <cellStyle name="差_Sheet1_115木地板_105瓷片  6" xfId="22631"/>
    <cellStyle name="差_Sheet1_115木地板_105瓷片 _聊城样板房工程量计算稿" xfId="22632"/>
    <cellStyle name="差_Sheet1_115木地板_105瓷片 _终板 潍坊翡翠华庭样板房清单" xfId="22636"/>
    <cellStyle name="差_Sheet1_115木地板_109吸顶灯" xfId="1560"/>
    <cellStyle name="差_Sheet1_115木地板_109吸顶灯 2" xfId="1562"/>
    <cellStyle name="差_Sheet1_115木地板_109吸顶灯 2 2" xfId="22638"/>
    <cellStyle name="差_Sheet1_115木地板_109吸顶灯 3" xfId="22639"/>
    <cellStyle name="差_Sheet1_115木地板_109吸顶灯 3 2" xfId="22640"/>
    <cellStyle name="差_Sheet1_115木地板_109吸顶灯 4" xfId="22642"/>
    <cellStyle name="差_Sheet1_115木地板_109吸顶灯 4 2" xfId="22643"/>
    <cellStyle name="差_Sheet1_115木地板_109吸顶灯 5" xfId="22644"/>
    <cellStyle name="差_Sheet1_115木地板_109吸顶灯 5 2" xfId="22645"/>
    <cellStyle name="差_Sheet1_115木地板_109吸顶灯 6" xfId="22646"/>
    <cellStyle name="差_Sheet1_115木地板_109吸顶灯_聊城样板房工程量计算稿" xfId="22647"/>
    <cellStyle name="差_Sheet1_115木地板_109吸顶灯_终板 潍坊翡翠华庭样板房清单" xfId="15785"/>
    <cellStyle name="差_Sheet1_115木地板_110水晶灯" xfId="22648"/>
    <cellStyle name="差_Sheet1_115木地板_110水晶灯 2" xfId="22649"/>
    <cellStyle name="差_Sheet1_115木地板_110水晶灯 2 2" xfId="22651"/>
    <cellStyle name="差_Sheet1_115木地板_110水晶灯 3" xfId="22652"/>
    <cellStyle name="差_Sheet1_115木地板_110水晶灯 3 2" xfId="19079"/>
    <cellStyle name="差_Sheet1_115木地板_110水晶灯 4" xfId="22653"/>
    <cellStyle name="差_Sheet1_115木地板_110水晶灯 4 2" xfId="21606"/>
    <cellStyle name="差_Sheet1_115木地板_110水晶灯 5" xfId="22654"/>
    <cellStyle name="差_Sheet1_115木地板_110水晶灯 5 2" xfId="22655"/>
    <cellStyle name="差_Sheet1_115木地板_110水晶灯 6" xfId="22656"/>
    <cellStyle name="差_Sheet1_115木地板_110水晶灯_聊城样板房工程量计算稿" xfId="22657"/>
    <cellStyle name="差_Sheet1_115木地板_110水晶灯_终板 潍坊翡翠华庭样板房清单" xfId="21858"/>
    <cellStyle name="差_Sheet1_115木地板_118仿石砖" xfId="13327"/>
    <cellStyle name="差_Sheet1_115木地板_118仿石砖 2" xfId="13331"/>
    <cellStyle name="差_Sheet1_115木地板_118仿石砖 2 2" xfId="13334"/>
    <cellStyle name="差_Sheet1_115木地板_118仿石砖 3" xfId="13337"/>
    <cellStyle name="差_Sheet1_115木地板_118仿石砖 3 2" xfId="13340"/>
    <cellStyle name="差_Sheet1_115木地板_118仿石砖 4" xfId="13344"/>
    <cellStyle name="差_Sheet1_115木地板_118仿石砖 4 2" xfId="13349"/>
    <cellStyle name="差_Sheet1_115木地板_118仿石砖 5" xfId="13357"/>
    <cellStyle name="差_Sheet1_115木地板_118仿石砖 5 2" xfId="13804"/>
    <cellStyle name="差_Sheet1_115木地板_118仿石砖 6" xfId="13808"/>
    <cellStyle name="差_Sheet1_115木地板_118仿石砖_聊城样板房工程量计算稿" xfId="22658"/>
    <cellStyle name="差_Sheet1_115木地板_118仿石砖_终板 潍坊翡翠华庭样板房清单" xfId="6044"/>
    <cellStyle name="差_Sheet1_115木地板_119仿古砖" xfId="7443"/>
    <cellStyle name="差_Sheet1_115木地板_119仿古砖 2" xfId="22661"/>
    <cellStyle name="差_Sheet1_115木地板_119仿古砖 2 2" xfId="22664"/>
    <cellStyle name="差_Sheet1_115木地板_119仿古砖 3" xfId="22667"/>
    <cellStyle name="差_Sheet1_115木地板_119仿古砖 3 2" xfId="22669"/>
    <cellStyle name="差_Sheet1_115木地板_119仿古砖 4" xfId="22672"/>
    <cellStyle name="差_Sheet1_115木地板_119仿古砖 4 2" xfId="22673"/>
    <cellStyle name="差_Sheet1_115木地板_119仿古砖 5" xfId="21555"/>
    <cellStyle name="差_Sheet1_115木地板_119仿古砖 5 2" xfId="22674"/>
    <cellStyle name="差_Sheet1_115木地板_119仿古砖 6" xfId="22676"/>
    <cellStyle name="差_Sheet1_115木地板_119仿古砖_聊城样板房工程量计算稿" xfId="10221"/>
    <cellStyle name="差_Sheet1_115木地板_119仿古砖_终板 潍坊翡翠华庭样板房清单" xfId="22678"/>
    <cellStyle name="差_Sheet1_115木地板_2009年6月甲供材料模板（29类版）" xfId="10271"/>
    <cellStyle name="差_Sheet1_115木地板_2009年6月甲供材料模板（29类版） 2" xfId="22680"/>
    <cellStyle name="差_Sheet1_115木地板_2009年6月甲供材料模板（29类版） 2 2" xfId="22682"/>
    <cellStyle name="差_Sheet1_115木地板_2009年6月甲供材料模板（29类版） 3" xfId="22685"/>
    <cellStyle name="差_Sheet1_115木地板_2009年6月甲供材料模板（29类版） 3 2" xfId="22688"/>
    <cellStyle name="差_Sheet1_115木地板_2009年6月甲供材料模板（29类版） 4" xfId="18762"/>
    <cellStyle name="差_Sheet1_115木地板_2009年6月甲供材料模板（29类版） 4 2" xfId="18766"/>
    <cellStyle name="差_Sheet1_115木地板_2009年6月甲供材料模板（29类版） 5" xfId="18772"/>
    <cellStyle name="差_Sheet1_115木地板_2009年6月甲供材料模板（29类版） 5 2" xfId="18776"/>
    <cellStyle name="差_Sheet1_115木地板_2009年6月甲供材料模板（29类版） 6" xfId="8750"/>
    <cellStyle name="差_Sheet1_115木地板_2009年6月甲供材料模板（29类版）_聊城样板房工程量计算稿" xfId="22690"/>
    <cellStyle name="差_Sheet1_115木地板_2009年6月甲供材料模板（29类版）_终板 潍坊翡翠华庭样板房清单" xfId="92"/>
    <cellStyle name="差_Sheet1_115木地板_聊城样板房工程量计算稿" xfId="20722"/>
    <cellStyle name="差_Sheet1_115木地板_终板 潍坊翡翠华庭样板房清单" xfId="22691"/>
    <cellStyle name="差_Sheet1_119仿古砖" xfId="22692"/>
    <cellStyle name="差_Sheet1_119仿古砖 2" xfId="11752"/>
    <cellStyle name="差_Sheet1_119仿古砖 2 2" xfId="11755"/>
    <cellStyle name="差_Sheet1_119仿古砖 2 2 2" xfId="11758"/>
    <cellStyle name="差_Sheet1_119仿古砖 2 3" xfId="11760"/>
    <cellStyle name="差_Sheet1_119仿古砖 2 3 2" xfId="11762"/>
    <cellStyle name="差_Sheet1_119仿古砖 2 4" xfId="11766"/>
    <cellStyle name="差_Sheet1_119仿古砖 2 4 2" xfId="22233"/>
    <cellStyle name="差_Sheet1_119仿古砖 2 5" xfId="22693"/>
    <cellStyle name="差_Sheet1_119仿古砖 2_聊城样板房工程量计算稿" xfId="22694"/>
    <cellStyle name="差_Sheet1_119仿古砖 2_终板 潍坊翡翠华庭样板房清单" xfId="22695"/>
    <cellStyle name="差_Sheet1_119仿古砖 3" xfId="11768"/>
    <cellStyle name="差_Sheet1_119仿古砖 3 2" xfId="11770"/>
    <cellStyle name="差_Sheet1_119仿古砖 3 2 2" xfId="22696"/>
    <cellStyle name="差_Sheet1_119仿古砖 3 3" xfId="22697"/>
    <cellStyle name="差_Sheet1_119仿古砖 3 3 2" xfId="22698"/>
    <cellStyle name="差_Sheet1_119仿古砖 3 4" xfId="22699"/>
    <cellStyle name="差_Sheet1_119仿古砖 3 4 2" xfId="22701"/>
    <cellStyle name="差_Sheet1_119仿古砖 3 5" xfId="22702"/>
    <cellStyle name="差_Sheet1_119仿古砖 4" xfId="11772"/>
    <cellStyle name="差_Sheet1_119仿古砖 4 2" xfId="8685"/>
    <cellStyle name="差_Sheet1_119仿古砖 5" xfId="20921"/>
    <cellStyle name="差_Sheet1_119仿古砖 5 2" xfId="22703"/>
    <cellStyle name="差_Sheet1_119仿古砖 6" xfId="22704"/>
    <cellStyle name="差_Sheet1_119仿古砖 6 2" xfId="22705"/>
    <cellStyle name="差_Sheet1_119仿古砖 7" xfId="20076"/>
    <cellStyle name="差_Sheet1_119仿古砖 7 2" xfId="22706"/>
    <cellStyle name="差_Sheet1_119仿古砖 8" xfId="22708"/>
    <cellStyle name="差_Sheet1_119仿古砖_102洁具-陶瓷" xfId="22710"/>
    <cellStyle name="差_Sheet1_119仿古砖_102洁具-陶瓷 2" xfId="22712"/>
    <cellStyle name="差_Sheet1_119仿古砖_102洁具-陶瓷 2 2" xfId="22713"/>
    <cellStyle name="差_Sheet1_119仿古砖_102洁具-陶瓷 3" xfId="22714"/>
    <cellStyle name="差_Sheet1_119仿古砖_102洁具-陶瓷 3 2" xfId="22715"/>
    <cellStyle name="差_Sheet1_119仿古砖_102洁具-陶瓷 4" xfId="1531"/>
    <cellStyle name="差_Sheet1_119仿古砖_102洁具-陶瓷 4 2" xfId="22716"/>
    <cellStyle name="差_Sheet1_119仿古砖_102洁具-陶瓷 5" xfId="4487"/>
    <cellStyle name="差_Sheet1_119仿古砖_102洁具-陶瓷 5 2" xfId="4490"/>
    <cellStyle name="差_Sheet1_119仿古砖_102洁具-陶瓷 6" xfId="3597"/>
    <cellStyle name="差_Sheet1_119仿古砖_102洁具-陶瓷_聊城样板房工程量计算稿" xfId="13305"/>
    <cellStyle name="差_Sheet1_119仿古砖_102洁具-陶瓷_终板 潍坊翡翠华庭样板房清单" xfId="11394"/>
    <cellStyle name="差_Sheet1_119仿古砖_105瓷片 " xfId="22717"/>
    <cellStyle name="差_Sheet1_119仿古砖_105瓷片  2" xfId="22718"/>
    <cellStyle name="差_Sheet1_119仿古砖_105瓷片  2 2" xfId="22719"/>
    <cellStyle name="差_Sheet1_119仿古砖_105瓷片  3" xfId="22720"/>
    <cellStyle name="差_Sheet1_119仿古砖_105瓷片  3 2" xfId="22721"/>
    <cellStyle name="差_Sheet1_119仿古砖_105瓷片  4" xfId="22722"/>
    <cellStyle name="差_Sheet1_119仿古砖_105瓷片  4 2" xfId="22723"/>
    <cellStyle name="差_Sheet1_119仿古砖_105瓷片  5" xfId="22472"/>
    <cellStyle name="差_Sheet1_119仿古砖_105瓷片  5 2" xfId="22474"/>
    <cellStyle name="差_Sheet1_119仿古砖_105瓷片  6" xfId="22724"/>
    <cellStyle name="差_Sheet1_119仿古砖_105瓷片 _聊城样板房工程量计算稿" xfId="22725"/>
    <cellStyle name="差_Sheet1_119仿古砖_105瓷片 _终板 潍坊翡翠华庭样板房清单" xfId="22726"/>
    <cellStyle name="差_Sheet1_119仿古砖_109吸顶灯" xfId="22729"/>
    <cellStyle name="差_Sheet1_119仿古砖_109吸顶灯 2" xfId="22731"/>
    <cellStyle name="差_Sheet1_119仿古砖_109吸顶灯 2 2" xfId="22501"/>
    <cellStyle name="差_Sheet1_119仿古砖_109吸顶灯 3" xfId="22732"/>
    <cellStyle name="差_Sheet1_119仿古砖_109吸顶灯 3 2" xfId="22738"/>
    <cellStyle name="差_Sheet1_119仿古砖_109吸顶灯 4" xfId="22740"/>
    <cellStyle name="差_Sheet1_119仿古砖_109吸顶灯 4 2" xfId="22744"/>
    <cellStyle name="差_Sheet1_119仿古砖_109吸顶灯 5" xfId="22745"/>
    <cellStyle name="差_Sheet1_119仿古砖_109吸顶灯 5 2" xfId="22748"/>
    <cellStyle name="差_Sheet1_119仿古砖_109吸顶灯 6" xfId="22622"/>
    <cellStyle name="差_Sheet1_119仿古砖_109吸顶灯_聊城样板房工程量计算稿" xfId="22749"/>
    <cellStyle name="差_Sheet1_119仿古砖_109吸顶灯_终板 潍坊翡翠华庭样板房清单" xfId="22750"/>
    <cellStyle name="差_Sheet1_119仿古砖_110水晶灯" xfId="22751"/>
    <cellStyle name="差_Sheet1_119仿古砖_110水晶灯 2" xfId="10838"/>
    <cellStyle name="差_Sheet1_119仿古砖_110水晶灯 2 2" xfId="10840"/>
    <cellStyle name="差_Sheet1_119仿古砖_110水晶灯 3" xfId="10852"/>
    <cellStyle name="差_Sheet1_119仿古砖_110水晶灯 3 2" xfId="10853"/>
    <cellStyle name="差_Sheet1_119仿古砖_110水晶灯 4" xfId="10857"/>
    <cellStyle name="差_Sheet1_119仿古砖_110水晶灯 4 2" xfId="22752"/>
    <cellStyle name="差_Sheet1_119仿古砖_110水晶灯 5" xfId="5192"/>
    <cellStyle name="差_Sheet1_119仿古砖_110水晶灯 5 2" xfId="22753"/>
    <cellStyle name="差_Sheet1_119仿古砖_110水晶灯 6" xfId="22755"/>
    <cellStyle name="差_Sheet1_119仿古砖_110水晶灯_聊城样板房工程量计算稿" xfId="21234"/>
    <cellStyle name="差_Sheet1_119仿古砖_110水晶灯_终板 潍坊翡翠华庭样板房清单" xfId="22756"/>
    <cellStyle name="差_Sheet1_119仿古砖_118仿石砖" xfId="22759"/>
    <cellStyle name="差_Sheet1_119仿古砖_118仿石砖 2" xfId="22760"/>
    <cellStyle name="差_Sheet1_119仿古砖_118仿石砖 2 2" xfId="19822"/>
    <cellStyle name="差_Sheet1_119仿古砖_118仿石砖 3" xfId="22761"/>
    <cellStyle name="差_Sheet1_119仿古砖_118仿石砖 3 2" xfId="14592"/>
    <cellStyle name="差_Sheet1_119仿古砖_118仿石砖 4" xfId="22764"/>
    <cellStyle name="差_Sheet1_119仿古砖_118仿石砖 4 2" xfId="14650"/>
    <cellStyle name="差_Sheet1_119仿古砖_118仿石砖 5" xfId="22766"/>
    <cellStyle name="差_Sheet1_119仿古砖_118仿石砖 5 2" xfId="22767"/>
    <cellStyle name="差_Sheet1_119仿古砖_118仿石砖 6" xfId="12701"/>
    <cellStyle name="差_Sheet1_119仿古砖_118仿石砖_聊城样板房工程量计算稿" xfId="22769"/>
    <cellStyle name="差_Sheet1_119仿古砖_118仿石砖_终板 潍坊翡翠华庭样板房清单" xfId="22770"/>
    <cellStyle name="差_Sheet1_119仿古砖_119仿古砖" xfId="18571"/>
    <cellStyle name="差_Sheet1_119仿古砖_119仿古砖 2" xfId="22247"/>
    <cellStyle name="差_Sheet1_119仿古砖_119仿古砖 2 2" xfId="22771"/>
    <cellStyle name="差_Sheet1_119仿古砖_119仿古砖 3" xfId="22772"/>
    <cellStyle name="差_Sheet1_119仿古砖_119仿古砖 3 2" xfId="22773"/>
    <cellStyle name="差_Sheet1_119仿古砖_119仿古砖 4" xfId="22774"/>
    <cellStyle name="差_Sheet1_119仿古砖_119仿古砖 4 2" xfId="22775"/>
    <cellStyle name="差_Sheet1_119仿古砖_119仿古砖 5" xfId="22777"/>
    <cellStyle name="差_Sheet1_119仿古砖_119仿古砖 5 2" xfId="22778"/>
    <cellStyle name="差_Sheet1_119仿古砖_119仿古砖 6" xfId="22779"/>
    <cellStyle name="差_Sheet1_119仿古砖_119仿古砖_聊城样板房工程量计算稿" xfId="22782"/>
    <cellStyle name="差_Sheet1_119仿古砖_119仿古砖_终板 潍坊翡翠华庭样板房清单" xfId="11299"/>
    <cellStyle name="差_Sheet1_119仿古砖_2009年6月甲供材料模板（29类版）" xfId="22783"/>
    <cellStyle name="差_Sheet1_119仿古砖_2009年6月甲供材料模板（29类版） 2" xfId="7028"/>
    <cellStyle name="差_Sheet1_119仿古砖_2009年6月甲供材料模板（29类版） 2 2" xfId="7032"/>
    <cellStyle name="差_Sheet1_119仿古砖_2009年6月甲供材料模板（29类版） 3" xfId="2558"/>
    <cellStyle name="差_Sheet1_119仿古砖_2009年6月甲供材料模板（29类版） 3 2" xfId="2563"/>
    <cellStyle name="差_Sheet1_119仿古砖_2009年6月甲供材料模板（29类版） 4" xfId="2578"/>
    <cellStyle name="差_Sheet1_119仿古砖_2009年6月甲供材料模板（29类版） 4 2" xfId="22787"/>
    <cellStyle name="差_Sheet1_119仿古砖_2009年6月甲供材料模板（29类版） 5" xfId="22790"/>
    <cellStyle name="差_Sheet1_119仿古砖_2009年6月甲供材料模板（29类版） 5 2" xfId="22793"/>
    <cellStyle name="差_Sheet1_119仿古砖_2009年6月甲供材料模板（29类版） 6" xfId="22796"/>
    <cellStyle name="差_Sheet1_119仿古砖_2009年6月甲供材料模板（29类版）_聊城样板房工程量计算稿" xfId="14658"/>
    <cellStyle name="差_Sheet1_119仿古砖_2009年6月甲供材料模板（29类版）_终板 潍坊翡翠华庭样板房清单" xfId="7960"/>
    <cellStyle name="差_Sheet1_119仿古砖_聊城样板房工程量计算稿" xfId="22800"/>
    <cellStyle name="差_Sheet1_119仿古砖_终板 潍坊翡翠华庭样板房清单" xfId="11228"/>
    <cellStyle name="差_Sheet1_405厨房电器" xfId="22803"/>
    <cellStyle name="差_Sheet1_405厨房电器 2" xfId="22805"/>
    <cellStyle name="差_Sheet1_405厨房电器 2 2" xfId="22807"/>
    <cellStyle name="差_Sheet1_405厨房电器 2 2 2" xfId="11596"/>
    <cellStyle name="差_Sheet1_405厨房电器 2 3" xfId="22809"/>
    <cellStyle name="差_Sheet1_405厨房电器 2 3 2" xfId="11605"/>
    <cellStyle name="差_Sheet1_405厨房电器 2 4" xfId="4148"/>
    <cellStyle name="差_Sheet1_405厨房电器 2 4 2" xfId="22810"/>
    <cellStyle name="差_Sheet1_405厨房电器 2 5" xfId="19456"/>
    <cellStyle name="差_Sheet1_405厨房电器 2_聊城样板房工程量计算稿" xfId="12301"/>
    <cellStyle name="差_Sheet1_405厨房电器 2_终板 潍坊翡翠华庭样板房清单" xfId="832"/>
    <cellStyle name="差_Sheet1_405厨房电器 3" xfId="22811"/>
    <cellStyle name="差_Sheet1_405厨房电器 3 2" xfId="22812"/>
    <cellStyle name="差_Sheet1_405厨房电器 3 2 2" xfId="11631"/>
    <cellStyle name="差_Sheet1_405厨房电器 3 3" xfId="22813"/>
    <cellStyle name="差_Sheet1_405厨房电器 3 3 2" xfId="22814"/>
    <cellStyle name="差_Sheet1_405厨房电器 3 4" xfId="5322"/>
    <cellStyle name="差_Sheet1_405厨房电器 3 4 2" xfId="22815"/>
    <cellStyle name="差_Sheet1_405厨房电器 3 5" xfId="7119"/>
    <cellStyle name="差_Sheet1_405厨房电器 4" xfId="22820"/>
    <cellStyle name="差_Sheet1_405厨房电器 4 2" xfId="22822"/>
    <cellStyle name="差_Sheet1_405厨房电器 5" xfId="22825"/>
    <cellStyle name="差_Sheet1_405厨房电器 5 2" xfId="22827"/>
    <cellStyle name="差_Sheet1_405厨房电器 6" xfId="22828"/>
    <cellStyle name="差_Sheet1_405厨房电器 6 2" xfId="22829"/>
    <cellStyle name="差_Sheet1_405厨房电器 7" xfId="22830"/>
    <cellStyle name="差_Sheet1_405厨房电器 7 2" xfId="22832"/>
    <cellStyle name="差_Sheet1_405厨房电器 8" xfId="22833"/>
    <cellStyle name="差_Sheet1_405厨房电器_102洁具-陶瓷" xfId="2397"/>
    <cellStyle name="差_Sheet1_405厨房电器_102洁具-陶瓷 2" xfId="2400"/>
    <cellStyle name="差_Sheet1_405厨房电器_102洁具-陶瓷 2 2" xfId="15051"/>
    <cellStyle name="差_Sheet1_405厨房电器_102洁具-陶瓷 3" xfId="15055"/>
    <cellStyle name="差_Sheet1_405厨房电器_102洁具-陶瓷 3 2" xfId="15302"/>
    <cellStyle name="差_Sheet1_405厨房电器_102洁具-陶瓷 4" xfId="15304"/>
    <cellStyle name="差_Sheet1_405厨房电器_102洁具-陶瓷 4 2" xfId="22834"/>
    <cellStyle name="差_Sheet1_405厨房电器_102洁具-陶瓷 5" xfId="3873"/>
    <cellStyle name="差_Sheet1_405厨房电器_102洁具-陶瓷 5 2" xfId="6916"/>
    <cellStyle name="差_Sheet1_405厨房电器_102洁具-陶瓷 6" xfId="6920"/>
    <cellStyle name="差_Sheet1_405厨房电器_102洁具-陶瓷_聊城样板房工程量计算稿" xfId="13326"/>
    <cellStyle name="差_Sheet1_405厨房电器_102洁具-陶瓷_终板 潍坊翡翠华庭样板房清单" xfId="22835"/>
    <cellStyle name="差_Sheet1_405厨房电器_105瓷片 " xfId="8205"/>
    <cellStyle name="差_Sheet1_405厨房电器_105瓷片  2" xfId="9944"/>
    <cellStyle name="差_Sheet1_405厨房电器_105瓷片  2 2" xfId="9948"/>
    <cellStyle name="差_Sheet1_405厨房电器_105瓷片  3" xfId="9951"/>
    <cellStyle name="差_Sheet1_405厨房电器_105瓷片  3 2" xfId="22838"/>
    <cellStyle name="差_Sheet1_405厨房电器_105瓷片  4" xfId="22839"/>
    <cellStyle name="差_Sheet1_405厨房电器_105瓷片  4 2" xfId="22841"/>
    <cellStyle name="差_Sheet1_405厨房电器_105瓷片  5" xfId="22844"/>
    <cellStyle name="差_Sheet1_405厨房电器_105瓷片  5 2" xfId="22847"/>
    <cellStyle name="差_Sheet1_405厨房电器_105瓷片  6" xfId="22849"/>
    <cellStyle name="差_Sheet1_405厨房电器_105瓷片 _聊城样板房工程量计算稿" xfId="22850"/>
    <cellStyle name="差_Sheet1_405厨房电器_105瓷片 _终板 潍坊翡翠华庭样板房清单" xfId="22852"/>
    <cellStyle name="差_Sheet1_405厨房电器_109吸顶灯" xfId="22853"/>
    <cellStyle name="差_Sheet1_405厨房电器_109吸顶灯 2" xfId="16979"/>
    <cellStyle name="差_Sheet1_405厨房电器_109吸顶灯 2 2" xfId="16981"/>
    <cellStyle name="差_Sheet1_405厨房电器_109吸顶灯 3" xfId="16984"/>
    <cellStyle name="差_Sheet1_405厨房电器_109吸顶灯 3 2" xfId="22854"/>
    <cellStyle name="差_Sheet1_405厨房电器_109吸顶灯 4" xfId="16986"/>
    <cellStyle name="差_Sheet1_405厨房电器_109吸顶灯 4 2" xfId="19055"/>
    <cellStyle name="差_Sheet1_405厨房电器_109吸顶灯 5" xfId="22855"/>
    <cellStyle name="差_Sheet1_405厨房电器_109吸顶灯 5 2" xfId="22857"/>
    <cellStyle name="差_Sheet1_405厨房电器_109吸顶灯 6" xfId="22858"/>
    <cellStyle name="差_Sheet1_405厨房电器_109吸顶灯_聊城样板房工程量计算稿" xfId="5715"/>
    <cellStyle name="差_Sheet1_405厨房电器_109吸顶灯_终板 潍坊翡翠华庭样板房清单" xfId="19301"/>
    <cellStyle name="差_Sheet1_405厨房电器_110水晶灯" xfId="12323"/>
    <cellStyle name="差_Sheet1_405厨房电器_110水晶灯 2" xfId="22859"/>
    <cellStyle name="差_Sheet1_405厨房电器_110水晶灯 2 2" xfId="17585"/>
    <cellStyle name="差_Sheet1_405厨房电器_110水晶灯 3" xfId="22860"/>
    <cellStyle name="差_Sheet1_405厨房电器_110水晶灯 3 2" xfId="5526"/>
    <cellStyle name="差_Sheet1_405厨房电器_110水晶灯 4" xfId="22861"/>
    <cellStyle name="差_Sheet1_405厨房电器_110水晶灯 4 2" xfId="6147"/>
    <cellStyle name="差_Sheet1_405厨房电器_110水晶灯 5" xfId="22862"/>
    <cellStyle name="差_Sheet1_405厨房电器_110水晶灯 5 2" xfId="22863"/>
    <cellStyle name="差_Sheet1_405厨房电器_110水晶灯 6" xfId="22864"/>
    <cellStyle name="差_Sheet1_405厨房电器_110水晶灯_聊城样板房工程量计算稿" xfId="22865"/>
    <cellStyle name="差_Sheet1_405厨房电器_110水晶灯_终板 潍坊翡翠华庭样板房清单" xfId="22866"/>
    <cellStyle name="差_Sheet1_405厨房电器_118仿石砖" xfId="22867"/>
    <cellStyle name="差_Sheet1_405厨房电器_118仿石砖 2" xfId="613"/>
    <cellStyle name="差_Sheet1_405厨房电器_118仿石砖 2 2" xfId="616"/>
    <cellStyle name="差_Sheet1_405厨房电器_118仿石砖 3" xfId="623"/>
    <cellStyle name="差_Sheet1_405厨房电器_118仿石砖 3 2" xfId="628"/>
    <cellStyle name="差_Sheet1_405厨房电器_118仿石砖 4" xfId="642"/>
    <cellStyle name="差_Sheet1_405厨房电器_118仿石砖 4 2" xfId="657"/>
    <cellStyle name="差_Sheet1_405厨房电器_118仿石砖 5" xfId="715"/>
    <cellStyle name="差_Sheet1_405厨房电器_118仿石砖 5 2" xfId="20725"/>
    <cellStyle name="差_Sheet1_405厨房电器_118仿石砖 6" xfId="729"/>
    <cellStyle name="差_Sheet1_405厨房电器_118仿石砖_聊城样板房工程量计算稿" xfId="22870"/>
    <cellStyle name="差_Sheet1_405厨房电器_118仿石砖_终板 潍坊翡翠华庭样板房清单" xfId="22871"/>
    <cellStyle name="差_Sheet1_405厨房电器_119仿古砖" xfId="22872"/>
    <cellStyle name="差_Sheet1_405厨房电器_119仿古砖 2" xfId="22684"/>
    <cellStyle name="差_Sheet1_405厨房电器_119仿古砖 2 2" xfId="22687"/>
    <cellStyle name="差_Sheet1_405厨房电器_119仿古砖 3" xfId="18760"/>
    <cellStyle name="差_Sheet1_405厨房电器_119仿古砖 3 2" xfId="18764"/>
    <cellStyle name="差_Sheet1_405厨房电器_119仿古砖 4" xfId="18770"/>
    <cellStyle name="差_Sheet1_405厨房电器_119仿古砖 4 2" xfId="18774"/>
    <cellStyle name="差_Sheet1_405厨房电器_119仿古砖 5" xfId="8748"/>
    <cellStyle name="差_Sheet1_405厨房电器_119仿古砖 5 2" xfId="8752"/>
    <cellStyle name="差_Sheet1_405厨房电器_119仿古砖 6" xfId="18780"/>
    <cellStyle name="差_Sheet1_405厨房电器_119仿古砖_聊城样板房工程量计算稿" xfId="21614"/>
    <cellStyle name="差_Sheet1_405厨房电器_119仿古砖_终板 潍坊翡翠华庭样板房清单" xfId="78"/>
    <cellStyle name="差_Sheet1_405厨房电器_2009年6月甲供材料模板（29类版）" xfId="22874"/>
    <cellStyle name="差_Sheet1_405厨房电器_2009年6月甲供材料模板（29类版） 2" xfId="22875"/>
    <cellStyle name="差_Sheet1_405厨房电器_2009年6月甲供材料模板（29类版） 2 2" xfId="22877"/>
    <cellStyle name="差_Sheet1_405厨房电器_2009年6月甲供材料模板（29类版） 3" xfId="1381"/>
    <cellStyle name="差_Sheet1_405厨房电器_2009年6月甲供材料模板（29类版） 3 2" xfId="22880"/>
    <cellStyle name="差_Sheet1_405厨房电器_2009年6月甲供材料模板（29类版） 4" xfId="22883"/>
    <cellStyle name="差_Sheet1_405厨房电器_2009年6月甲供材料模板（29类版） 4 2" xfId="22884"/>
    <cellStyle name="差_Sheet1_405厨房电器_2009年6月甲供材料模板（29类版） 5" xfId="22887"/>
    <cellStyle name="差_Sheet1_405厨房电器_2009年6月甲供材料模板（29类版） 5 2" xfId="22888"/>
    <cellStyle name="差_Sheet1_405厨房电器_2009年6月甲供材料模板（29类版） 6" xfId="18683"/>
    <cellStyle name="差_Sheet1_405厨房电器_2009年6月甲供材料模板（29类版）_聊城样板房工程量计算稿" xfId="17911"/>
    <cellStyle name="差_Sheet1_405厨房电器_2009年6月甲供材料模板（29类版）_终板 潍坊翡翠华庭样板房清单" xfId="11695"/>
    <cellStyle name="差_Sheet1_405厨房电器_聊城样板房工程量计算稿" xfId="6870"/>
    <cellStyle name="差_Sheet1_405厨房电器_终板 潍坊翡翠华庭样板房清单" xfId="22891"/>
    <cellStyle name="差_Sheet1_聊城样板房工程量计算稿" xfId="10000"/>
    <cellStyle name="差_Sheet1_终板 潍坊翡翠华庭样板房清单" xfId="16969"/>
    <cellStyle name="差_编码细则" xfId="22892"/>
    <cellStyle name="差_编码细则 2" xfId="22893"/>
    <cellStyle name="差_编码细则 2 2" xfId="18674"/>
    <cellStyle name="差_编码细则 3" xfId="22894"/>
    <cellStyle name="差_编码细则 3 2" xfId="22895"/>
    <cellStyle name="差_编码细则 4" xfId="22896"/>
    <cellStyle name="差_编码细则 4 2" xfId="22897"/>
    <cellStyle name="差_编码细则 5" xfId="20082"/>
    <cellStyle name="差_编码细则 5 2" xfId="20084"/>
    <cellStyle name="差_编码细则 6" xfId="3244"/>
    <cellStyle name="差_编码细则_聊城样板房工程量计算稿" xfId="14179"/>
    <cellStyle name="差_编码细则_终板 潍坊翡翠华庭样板房清单" xfId="22898"/>
    <cellStyle name="差_儋州恒大金碧天下首期样板房精装修清单2010.11.15" xfId="22899"/>
    <cellStyle name="差_儋州恒大金碧天下首期样板房精装修清单2010.11.15 2" xfId="20402"/>
    <cellStyle name="差_儋州恒大金碧天下首期样板房精装修清单2010.11.15_莱芜恒大金碧天下首期样板房精装修清单2010.12.30" xfId="22904"/>
    <cellStyle name="差_儋州恒大金碧天下首期样板房精装修清单2010.11.15_莱芜恒大金碧天下首期样板房精装修清单2010.12.30 2" xfId="18999"/>
    <cellStyle name="差_广东云浮恒大城18#、19#装修工程(1)" xfId="20447"/>
    <cellStyle name="差_广东云浮恒大城18#、19#装修工程(1) 2" xfId="18615"/>
    <cellStyle name="差_广东云浮恒大城18#、19#装修工程(1)_聊城样板房工程量计算稿" xfId="22906"/>
    <cellStyle name="差_恒大城公共部分清单09.08.25" xfId="22286"/>
    <cellStyle name="差_恒大城公共部分清单09.08.25 2" xfId="22288"/>
    <cellStyle name="差_恒大城公共部分清单09.08.25 3" xfId="9037"/>
    <cellStyle name="差_恒大城公共部分清单09.08.25_聊城样板房工程量计算稿" xfId="22290"/>
    <cellStyle name="差_集团版本-绿洲35-36、46-55#装修工程清单" xfId="22908"/>
    <cellStyle name="差_甲供材料价格体系最新更新（根据装修标准编制09.04.22）" xfId="12039"/>
    <cellStyle name="差_甲供材料价格体系最新更新（根据装修标准编制09.04.22） 2" xfId="12041"/>
    <cellStyle name="差_甲供材料价格体系最新更新（根据装修标准编制09.04.22） 2 2" xfId="12046"/>
    <cellStyle name="差_甲供材料价格体系最新更新（根据装修标准编制09.04.22） 2 2 2" xfId="20307"/>
    <cellStyle name="差_甲供材料价格体系最新更新（根据装修标准编制09.04.22） 2 3" xfId="22909"/>
    <cellStyle name="差_甲供材料价格体系最新更新（根据装修标准编制09.04.22） 2 3 2" xfId="22910"/>
    <cellStyle name="差_甲供材料价格体系最新更新（根据装修标准编制09.04.22） 2 4" xfId="22911"/>
    <cellStyle name="差_甲供材料价格体系最新更新（根据装修标准编制09.04.22） 2 4 2" xfId="22914"/>
    <cellStyle name="差_甲供材料价格体系最新更新（根据装修标准编制09.04.22） 2 5" xfId="22856"/>
    <cellStyle name="差_甲供材料价格体系最新更新（根据装修标准编制09.04.22） 2_聊城样板房工程量计算稿" xfId="22915"/>
    <cellStyle name="差_甲供材料价格体系最新更新（根据装修标准编制09.04.22） 2_终板 潍坊翡翠华庭样板房清单" xfId="18039"/>
    <cellStyle name="差_甲供材料价格体系最新更新（根据装修标准编制09.04.22） 3" xfId="6303"/>
    <cellStyle name="差_甲供材料价格体系最新更新（根据装修标准编制09.04.22） 3 2" xfId="12049"/>
    <cellStyle name="差_甲供材料价格体系最新更新（根据装修标准编制09.04.22） 3 2 2" xfId="22916"/>
    <cellStyle name="差_甲供材料价格体系最新更新（根据装修标准编制09.04.22） 3 3" xfId="17610"/>
    <cellStyle name="差_甲供材料价格体系最新更新（根据装修标准编制09.04.22） 3 3 2" xfId="22917"/>
    <cellStyle name="差_甲供材料价格体系最新更新（根据装修标准编制09.04.22） 3 4" xfId="22918"/>
    <cellStyle name="差_甲供材料价格体系最新更新（根据装修标准编制09.04.22） 3 4 2" xfId="22919"/>
    <cellStyle name="差_甲供材料价格体系最新更新（根据装修标准编制09.04.22） 3 5" xfId="22920"/>
    <cellStyle name="差_甲供材料价格体系最新更新（根据装修标准编制09.04.22） 4" xfId="12054"/>
    <cellStyle name="差_甲供材料价格体系最新更新（根据装修标准编制09.04.22） 4 2" xfId="12057"/>
    <cellStyle name="差_甲供材料价格体系最新更新（根据装修标准编制09.04.22） 5" xfId="12059"/>
    <cellStyle name="差_甲供材料价格体系最新更新（根据装修标准编制09.04.22） 5 2" xfId="16107"/>
    <cellStyle name="差_甲供材料价格体系最新更新（根据装修标准编制09.04.22） 6" xfId="22921"/>
    <cellStyle name="差_甲供材料价格体系最新更新（根据装修标准编制09.04.22） 6 2" xfId="16116"/>
    <cellStyle name="差_甲供材料价格体系最新更新（根据装修标准编制09.04.22） 7" xfId="22922"/>
    <cellStyle name="差_甲供材料价格体系最新更新（根据装修标准编制09.04.22） 7 2" xfId="22923"/>
    <cellStyle name="差_甲供材料价格体系最新更新（根据装修标准编制09.04.22） 8" xfId="22924"/>
    <cellStyle name="差_甲供材料价格体系最新更新（根据装修标准编制09.04.22）_102洁具-陶瓷" xfId="9637"/>
    <cellStyle name="差_甲供材料价格体系最新更新（根据装修标准编制09.04.22）_102洁具-陶瓷 2" xfId="22926"/>
    <cellStyle name="差_甲供材料价格体系最新更新（根据装修标准编制09.04.22）_102洁具-陶瓷 2 2" xfId="22927"/>
    <cellStyle name="差_甲供材料价格体系最新更新（根据装修标准编制09.04.22）_102洁具-陶瓷 3" xfId="22928"/>
    <cellStyle name="差_甲供材料价格体系最新更新（根据装修标准编制09.04.22）_102洁具-陶瓷 3 2" xfId="22929"/>
    <cellStyle name="差_甲供材料价格体系最新更新（根据装修标准编制09.04.22）_102洁具-陶瓷 4" xfId="22930"/>
    <cellStyle name="差_甲供材料价格体系最新更新（根据装修标准编制09.04.22）_102洁具-陶瓷 4 2" xfId="22931"/>
    <cellStyle name="差_甲供材料价格体系最新更新（根据装修标准编制09.04.22）_102洁具-陶瓷 5" xfId="22932"/>
    <cellStyle name="差_甲供材料价格体系最新更新（根据装修标准编制09.04.22）_102洁具-陶瓷 5 2" xfId="22933"/>
    <cellStyle name="差_甲供材料价格体系最新更新（根据装修标准编制09.04.22）_102洁具-陶瓷 6" xfId="22936"/>
    <cellStyle name="差_甲供材料价格体系最新更新（根据装修标准编制09.04.22）_102洁具-陶瓷_聊城样板房工程量计算稿" xfId="6998"/>
    <cellStyle name="差_甲供材料价格体系最新更新（根据装修标准编制09.04.22）_102洁具-陶瓷_终板 潍坊翡翠华庭样板房清单" xfId="22937"/>
    <cellStyle name="差_甲供材料价格体系最新更新（根据装修标准编制09.04.22）_105瓷片 " xfId="22938"/>
    <cellStyle name="差_甲供材料价格体系最新更新（根据装修标准编制09.04.22）_105瓷片  2" xfId="22939"/>
    <cellStyle name="差_甲供材料价格体系最新更新（根据装修标准编制09.04.22）_105瓷片  2 2" xfId="19988"/>
    <cellStyle name="差_甲供材料价格体系最新更新（根据装修标准编制09.04.22）_105瓷片  3" xfId="22940"/>
    <cellStyle name="差_甲供材料价格体系最新更新（根据装修标准编制09.04.22）_105瓷片  3 2" xfId="22942"/>
    <cellStyle name="差_甲供材料价格体系最新更新（根据装修标准编制09.04.22）_105瓷片  4" xfId="22943"/>
    <cellStyle name="差_甲供材料价格体系最新更新（根据装修标准编制09.04.22）_105瓷片  4 2" xfId="22944"/>
    <cellStyle name="差_甲供材料价格体系最新更新（根据装修标准编制09.04.22）_105瓷片  5" xfId="22945"/>
    <cellStyle name="差_甲供材料价格体系最新更新（根据装修标准编制09.04.22）_105瓷片  5 2" xfId="22946"/>
    <cellStyle name="差_甲供材料价格体系最新更新（根据装修标准编制09.04.22）_105瓷片  6" xfId="22947"/>
    <cellStyle name="差_甲供材料价格体系最新更新（根据装修标准编制09.04.22）_105瓷片 _聊城样板房工程量计算稿" xfId="16957"/>
    <cellStyle name="差_甲供材料价格体系最新更新（根据装修标准编制09.04.22）_105瓷片 _终板 潍坊翡翠华庭样板房清单" xfId="8781"/>
    <cellStyle name="差_甲供材料价格体系最新更新（根据装修标准编制09.04.22）_109吸顶灯" xfId="22948"/>
    <cellStyle name="差_甲供材料价格体系最新更新（根据装修标准编制09.04.22）_109吸顶灯 2" xfId="22949"/>
    <cellStyle name="差_甲供材料价格体系最新更新（根据装修标准编制09.04.22）_109吸顶灯 2 2" xfId="22950"/>
    <cellStyle name="差_甲供材料价格体系最新更新（根据装修标准编制09.04.22）_109吸顶灯 3" xfId="22951"/>
    <cellStyle name="差_甲供材料价格体系最新更新（根据装修标准编制09.04.22）_109吸顶灯 3 2" xfId="22952"/>
    <cellStyle name="差_甲供材料价格体系最新更新（根据装修标准编制09.04.22）_109吸顶灯 4" xfId="22953"/>
    <cellStyle name="差_甲供材料价格体系最新更新（根据装修标准编制09.04.22）_109吸顶灯 4 2" xfId="22954"/>
    <cellStyle name="差_甲供材料价格体系最新更新（根据装修标准编制09.04.22）_109吸顶灯 5" xfId="11254"/>
    <cellStyle name="差_甲供材料价格体系最新更新（根据装修标准编制09.04.22）_109吸顶灯 5 2" xfId="22955"/>
    <cellStyle name="差_甲供材料价格体系最新更新（根据装修标准编制09.04.22）_109吸顶灯 6" xfId="22956"/>
    <cellStyle name="差_甲供材料价格体系最新更新（根据装修标准编制09.04.22）_109吸顶灯_聊城样板房工程量计算稿" xfId="22957"/>
    <cellStyle name="差_甲供材料价格体系最新更新（根据装修标准编制09.04.22）_109吸顶灯_终板 潍坊翡翠华庭样板房清单" xfId="228"/>
    <cellStyle name="差_甲供材料价格体系最新更新（根据装修标准编制09.04.22）_110水晶灯" xfId="17606"/>
    <cellStyle name="差_甲供材料价格体系最新更新（根据装修标准编制09.04.22）_110水晶灯 2" xfId="17608"/>
    <cellStyle name="差_甲供材料价格体系最新更新（根据装修标准编制09.04.22）_110水晶灯 2 2" xfId="17611"/>
    <cellStyle name="差_甲供材料价格体系最新更新（根据装修标准编制09.04.22）_110水晶灯 3" xfId="3985"/>
    <cellStyle name="差_甲供材料价格体系最新更新（根据装修标准编制09.04.22）_110水晶灯 3 2" xfId="22958"/>
    <cellStyle name="差_甲供材料价格体系最新更新（根据装修标准编制09.04.22）_110水晶灯 4" xfId="17613"/>
    <cellStyle name="差_甲供材料价格体系最新更新（根据装修标准编制09.04.22）_110水晶灯 4 2" xfId="22959"/>
    <cellStyle name="差_甲供材料价格体系最新更新（根据装修标准编制09.04.22）_110水晶灯 5" xfId="17616"/>
    <cellStyle name="差_甲供材料价格体系最新更新（根据装修标准编制09.04.22）_110水晶灯 5 2" xfId="22960"/>
    <cellStyle name="差_甲供材料价格体系最新更新（根据装修标准编制09.04.22）_110水晶灯 6" xfId="17618"/>
    <cellStyle name="差_甲供材料价格体系最新更新（根据装修标准编制09.04.22）_110水晶灯_聊城样板房工程量计算稿" xfId="14576"/>
    <cellStyle name="差_甲供材料价格体系最新更新（根据装修标准编制09.04.22）_110水晶灯_终板 潍坊翡翠华庭样板房清单" xfId="10203"/>
    <cellStyle name="差_甲供材料价格体系最新更新（根据装修标准编制09.04.22）_118仿石砖" xfId="22961"/>
    <cellStyle name="差_甲供材料价格体系最新更新（根据装修标准编制09.04.22）_118仿石砖 2" xfId="22963"/>
    <cellStyle name="差_甲供材料价格体系最新更新（根据装修标准编制09.04.22）_118仿石砖 2 2" xfId="22964"/>
    <cellStyle name="差_甲供材料价格体系最新更新（根据装修标准编制09.04.22）_118仿石砖 3" xfId="22966"/>
    <cellStyle name="差_甲供材料价格体系最新更新（根据装修标准编制09.04.22）_118仿石砖 3 2" xfId="22967"/>
    <cellStyle name="差_甲供材料价格体系最新更新（根据装修标准编制09.04.22）_118仿石砖 4" xfId="22969"/>
    <cellStyle name="差_甲供材料价格体系最新更新（根据装修标准编制09.04.22）_118仿石砖 4 2" xfId="22970"/>
    <cellStyle name="差_甲供材料价格体系最新更新（根据装修标准编制09.04.22）_118仿石砖 5" xfId="22971"/>
    <cellStyle name="差_甲供材料价格体系最新更新（根据装修标准编制09.04.22）_118仿石砖 5 2" xfId="22972"/>
    <cellStyle name="差_甲供材料价格体系最新更新（根据装修标准编制09.04.22）_118仿石砖 6" xfId="22973"/>
    <cellStyle name="差_甲供材料价格体系最新更新（根据装修标准编制09.04.22）_118仿石砖_聊城样板房工程量计算稿" xfId="22974"/>
    <cellStyle name="差_甲供材料价格体系最新更新（根据装修标准编制09.04.22）_118仿石砖_终板 潍坊翡翠华庭样板房清单" xfId="19403"/>
    <cellStyle name="差_甲供材料价格体系最新更新（根据装修标准编制09.04.22）_119仿古砖" xfId="22975"/>
    <cellStyle name="差_甲供材料价格体系最新更新（根据装修标准编制09.04.22）_119仿古砖 2" xfId="15566"/>
    <cellStyle name="差_甲供材料价格体系最新更新（根据装修标准编制09.04.22）_119仿古砖 2 2" xfId="1649"/>
    <cellStyle name="差_甲供材料价格体系最新更新（根据装修标准编制09.04.22）_119仿古砖 3" xfId="15568"/>
    <cellStyle name="差_甲供材料价格体系最新更新（根据装修标准编制09.04.22）_119仿古砖 3 2" xfId="15571"/>
    <cellStyle name="差_甲供材料价格体系最新更新（根据装修标准编制09.04.22）_119仿古砖 4" xfId="15573"/>
    <cellStyle name="差_甲供材料价格体系最新更新（根据装修标准编制09.04.22）_119仿古砖 4 2" xfId="4306"/>
    <cellStyle name="差_甲供材料价格体系最新更新（根据装修标准编制09.04.22）_119仿古砖 5" xfId="22977"/>
    <cellStyle name="差_甲供材料价格体系最新更新（根据装修标准编制09.04.22）_119仿古砖 5 2" xfId="22978"/>
    <cellStyle name="差_甲供材料价格体系最新更新（根据装修标准编制09.04.22）_119仿古砖 6" xfId="22980"/>
    <cellStyle name="差_甲供材料价格体系最新更新（根据装修标准编制09.04.22）_119仿古砖_聊城样板房工程量计算稿" xfId="22981"/>
    <cellStyle name="差_甲供材料价格体系最新更新（根据装修标准编制09.04.22）_119仿古砖_终板 潍坊翡翠华庭样板房清单" xfId="22982"/>
    <cellStyle name="差_甲供材料价格体系最新更新（根据装修标准编制09.04.22）_2009年6月甲供材料模板（29类版）" xfId="22986"/>
    <cellStyle name="差_甲供材料价格体系最新更新（根据装修标准编制09.04.22）_2009年6月甲供材料模板（29类版） 2" xfId="22989"/>
    <cellStyle name="差_甲供材料价格体系最新更新（根据装修标准编制09.04.22）_2009年6月甲供材料模板（29类版） 2 2" xfId="22990"/>
    <cellStyle name="差_甲供材料价格体系最新更新（根据装修标准编制09.04.22）_2009年6月甲供材料模板（29类版） 3" xfId="22991"/>
    <cellStyle name="差_甲供材料价格体系最新更新（根据装修标准编制09.04.22）_2009年6月甲供材料模板（29类版） 3 2" xfId="22992"/>
    <cellStyle name="差_甲供材料价格体系最新更新（根据装修标准编制09.04.22）_2009年6月甲供材料模板（29类版） 4" xfId="22993"/>
    <cellStyle name="差_甲供材料价格体系最新更新（根据装修标准编制09.04.22）_2009年6月甲供材料模板（29类版） 4 2" xfId="21991"/>
    <cellStyle name="差_甲供材料价格体系最新更新（根据装修标准编制09.04.22）_2009年6月甲供材料模板（29类版） 5" xfId="13240"/>
    <cellStyle name="差_甲供材料价格体系最新更新（根据装修标准编制09.04.22）_2009年6月甲供材料模板（29类版） 5 2" xfId="13242"/>
    <cellStyle name="差_甲供材料价格体系最新更新（根据装修标准编制09.04.22）_2009年6月甲供材料模板（29类版） 6" xfId="13244"/>
    <cellStyle name="差_甲供材料价格体系最新更新（根据装修标准编制09.04.22）_2009年6月甲供材料模板（29类版）_聊城样板房工程量计算稿" xfId="22994"/>
    <cellStyle name="差_甲供材料价格体系最新更新（根据装修标准编制09.04.22）_2009年6月甲供材料模板（29类版）_终板 潍坊翡翠华庭样板房清单" xfId="22995"/>
    <cellStyle name="差_甲供材料价格体系最新更新（根据装修标准编制09.04.22）_编码细则" xfId="22996"/>
    <cellStyle name="差_甲供材料价格体系最新更新（根据装修标准编制09.04.22）_编码细则 2" xfId="22997"/>
    <cellStyle name="差_甲供材料价格体系最新更新（根据装修标准编制09.04.22）_编码细则 2 2" xfId="22998"/>
    <cellStyle name="差_甲供材料价格体系最新更新（根据装修标准编制09.04.22）_编码细则 3" xfId="3353"/>
    <cellStyle name="差_甲供材料价格体系最新更新（根据装修标准编制09.04.22）_编码细则 3 2" xfId="19361"/>
    <cellStyle name="差_甲供材料价格体系最新更新（根据装修标准编制09.04.22）_编码细则 4" xfId="15448"/>
    <cellStyle name="差_甲供材料价格体系最新更新（根据装修标准编制09.04.22）_编码细则 4 2" xfId="15454"/>
    <cellStyle name="差_甲供材料价格体系最新更新（根据装修标准编制09.04.22）_编码细则 5" xfId="15480"/>
    <cellStyle name="差_甲供材料价格体系最新更新（根据装修标准编制09.04.22）_编码细则 5 2" xfId="15487"/>
    <cellStyle name="差_甲供材料价格体系最新更新（根据装修标准编制09.04.22）_编码细则 6" xfId="15503"/>
    <cellStyle name="差_甲供材料价格体系最新更新（根据装修标准编制09.04.22）_编码细则_聊城样板房工程量计算稿" xfId="22999"/>
    <cellStyle name="差_甲供材料价格体系最新更新（根据装修标准编制09.04.22）_编码细则_终板 潍坊翡翠华庭样板房清单" xfId="23004"/>
    <cellStyle name="差_甲供材料价格体系最新更新（根据装修标准编制09.04.22）_聊城样板房工程量计算稿" xfId="11802"/>
    <cellStyle name="差_甲供材料价格体系最新更新（根据装修标准编制09.04.22）_终板 潍坊翡翠华庭样板房清单" xfId="20916"/>
    <cellStyle name="差_甲供清单" xfId="20501"/>
    <cellStyle name="差_甲供清单 2" xfId="23005"/>
    <cellStyle name="差_莱芜恒大金碧天下首期样板房精装修清单2010.12.30" xfId="10465"/>
    <cellStyle name="差_莱芜恒大金碧天下首期样板房精装修清单2010.12.30 2" xfId="10467"/>
    <cellStyle name="差_兰州恒大都市广场7#样板房装修工程量清单3-27" xfId="20565"/>
    <cellStyle name="差_立项意见书" xfId="23007"/>
    <cellStyle name="差_立项意见书 2" xfId="8642"/>
    <cellStyle name="差_立项意见书_聊城样板房工程量计算稿" xfId="23009"/>
    <cellStyle name="差_聊城样板房工程量计算稿" xfId="23010"/>
    <cellStyle name="差_绿洲二期18#、25#样板房精装清单" xfId="23012"/>
    <cellStyle name="差_绿洲二期18#、25#样板房精装清单 2" xfId="23013"/>
    <cellStyle name="差_绿洲二期18#、25#样板房精装清单 3" xfId="23014"/>
    <cellStyle name="差_绿洲二期18#、25#样板房精装清单_武汉名都样板房装修清单  首二期2010.8.13" xfId="13623"/>
    <cellStyle name="差_首层门廊外墙石材装修工程基价-与审计达成一致意见" xfId="20176"/>
    <cellStyle name="差_泰安综合楼清单5.20" xfId="23015"/>
    <cellStyle name="差_套内部分" xfId="23016"/>
    <cellStyle name="差_武汉恒大城30#二期清单" xfId="22637"/>
    <cellStyle name="差_选型材料细则" xfId="11179"/>
    <cellStyle name="差_选型材料细则 2" xfId="11181"/>
    <cellStyle name="差_选型材料细则 2 2" xfId="23017"/>
    <cellStyle name="差_选型材料细则 2 2 2" xfId="23018"/>
    <cellStyle name="差_选型材料细则 2 3" xfId="9478"/>
    <cellStyle name="差_选型材料细则 2 3 2" xfId="23021"/>
    <cellStyle name="差_选型材料细则 2 4" xfId="20754"/>
    <cellStyle name="差_选型材料细则 2 4 2" xfId="20756"/>
    <cellStyle name="差_选型材料细则 2 5" xfId="20773"/>
    <cellStyle name="差_选型材料细则 2_聊城样板房工程量计算稿" xfId="21378"/>
    <cellStyle name="差_选型材料细则 2_终板 潍坊翡翠华庭样板房清单" xfId="23022"/>
    <cellStyle name="差_选型材料细则 3" xfId="23024"/>
    <cellStyle name="差_选型材料细则 3 2" xfId="23026"/>
    <cellStyle name="差_选型材料细则 3 2 2" xfId="23027"/>
    <cellStyle name="差_选型材料细则 3 3" xfId="9482"/>
    <cellStyle name="差_选型材料细则 3 3 2" xfId="10437"/>
    <cellStyle name="差_选型材料细则 3 4" xfId="10439"/>
    <cellStyle name="差_选型材料细则 3 4 2" xfId="6069"/>
    <cellStyle name="差_选型材料细则 3 5" xfId="10442"/>
    <cellStyle name="差_选型材料细则 4" xfId="23029"/>
    <cellStyle name="差_选型材料细则 4 2" xfId="23031"/>
    <cellStyle name="差_选型材料细则 5" xfId="23033"/>
    <cellStyle name="差_选型材料细则 5 2" xfId="23034"/>
    <cellStyle name="差_选型材料细则 6" xfId="23035"/>
    <cellStyle name="差_选型材料细则 6 2" xfId="23036"/>
    <cellStyle name="差_选型材料细则 7" xfId="23037"/>
    <cellStyle name="差_选型材料细则 7 2" xfId="23038"/>
    <cellStyle name="差_选型材料细则 8" xfId="23039"/>
    <cellStyle name="差_选型材料细则_102洁具-陶瓷" xfId="22768"/>
    <cellStyle name="差_选型材料细则_102洁具-陶瓷 2" xfId="23040"/>
    <cellStyle name="差_选型材料细则_102洁具-陶瓷 2 2" xfId="23041"/>
    <cellStyle name="差_选型材料细则_102洁具-陶瓷 3" xfId="1696"/>
    <cellStyle name="差_选型材料细则_102洁具-陶瓷 3 2" xfId="19763"/>
    <cellStyle name="差_选型材料细则_102洁具-陶瓷 4" xfId="23042"/>
    <cellStyle name="差_选型材料细则_102洁具-陶瓷 4 2" xfId="23043"/>
    <cellStyle name="差_选型材料细则_102洁具-陶瓷 5" xfId="23044"/>
    <cellStyle name="差_选型材料细则_102洁具-陶瓷 5 2" xfId="23045"/>
    <cellStyle name="差_选型材料细则_102洁具-陶瓷 6" xfId="23047"/>
    <cellStyle name="差_选型材料细则_102洁具-陶瓷_聊城样板房工程量计算稿" xfId="23048"/>
    <cellStyle name="差_选型材料细则_102洁具-陶瓷_终板 潍坊翡翠华庭样板房清单" xfId="13275"/>
    <cellStyle name="差_选型材料细则_105瓷片 " xfId="23049"/>
    <cellStyle name="差_选型材料细则_105瓷片  2" xfId="23051"/>
    <cellStyle name="差_选型材料细则_105瓷片  2 2" xfId="23052"/>
    <cellStyle name="差_选型材料细则_105瓷片  3" xfId="23053"/>
    <cellStyle name="差_选型材料细则_105瓷片  3 2" xfId="19688"/>
    <cellStyle name="差_选型材料细则_105瓷片  4" xfId="23054"/>
    <cellStyle name="差_选型材料细则_105瓷片  4 2" xfId="23055"/>
    <cellStyle name="差_选型材料细则_105瓷片  5" xfId="23056"/>
    <cellStyle name="差_选型材料细则_105瓷片  5 2" xfId="23057"/>
    <cellStyle name="差_选型材料细则_105瓷片  6" xfId="23058"/>
    <cellStyle name="差_选型材料细则_105瓷片 _聊城样板房工程量计算稿" xfId="23059"/>
    <cellStyle name="差_选型材料细则_105瓷片 _终板 潍坊翡翠华庭样板房清单" xfId="23060"/>
    <cellStyle name="差_选型材料细则_109吸顶灯" xfId="23061"/>
    <cellStyle name="差_选型材料细则_109吸顶灯 2" xfId="23063"/>
    <cellStyle name="差_选型材料细则_109吸顶灯 2 2" xfId="13192"/>
    <cellStyle name="差_选型材料细则_109吸顶灯 3" xfId="23065"/>
    <cellStyle name="差_选型材料细则_109吸顶灯 3 2" xfId="23066"/>
    <cellStyle name="差_选型材料细则_109吸顶灯 4" xfId="4029"/>
    <cellStyle name="差_选型材料细则_109吸顶灯 4 2" xfId="23067"/>
    <cellStyle name="差_选型材料细则_109吸顶灯 5" xfId="23068"/>
    <cellStyle name="差_选型材料细则_109吸顶灯 5 2" xfId="23069"/>
    <cellStyle name="差_选型材料细则_109吸顶灯 6" xfId="23070"/>
    <cellStyle name="差_选型材料细则_109吸顶灯_聊城样板房工程量计算稿" xfId="2161"/>
    <cellStyle name="差_选型材料细则_109吸顶灯_终板 潍坊翡翠华庭样板房清单" xfId="23071"/>
    <cellStyle name="差_选型材料细则_110水晶灯" xfId="13060"/>
    <cellStyle name="差_选型材料细则_110水晶灯 2" xfId="23072"/>
    <cellStyle name="差_选型材料细则_110水晶灯 2 2" xfId="23073"/>
    <cellStyle name="差_选型材料细则_110水晶灯 3" xfId="23074"/>
    <cellStyle name="差_选型材料细则_110水晶灯 3 2" xfId="23075"/>
    <cellStyle name="差_选型材料细则_110水晶灯 4" xfId="23076"/>
    <cellStyle name="差_选型材料细则_110水晶灯 4 2" xfId="23078"/>
    <cellStyle name="差_选型材料细则_110水晶灯 5" xfId="23079"/>
    <cellStyle name="差_选型材料细则_110水晶灯 5 2" xfId="23080"/>
    <cellStyle name="差_选型材料细则_110水晶灯 6" xfId="23081"/>
    <cellStyle name="差_选型材料细则_110水晶灯_聊城样板房工程量计算稿" xfId="23084"/>
    <cellStyle name="差_选型材料细则_110水晶灯_终板 潍坊翡翠华庭样板房清单" xfId="23085"/>
    <cellStyle name="差_选型材料细则_118仿石砖" xfId="23086"/>
    <cellStyle name="差_选型材料细则_118仿石砖 2" xfId="23088"/>
    <cellStyle name="差_选型材料细则_118仿石砖 2 2" xfId="18296"/>
    <cellStyle name="差_选型材料细则_118仿石砖 3" xfId="23083"/>
    <cellStyle name="差_选型材料细则_118仿石砖 3 2" xfId="23089"/>
    <cellStyle name="差_选型材料细则_118仿石砖 4" xfId="23090"/>
    <cellStyle name="差_选型材料细则_118仿石砖 4 2" xfId="23091"/>
    <cellStyle name="差_选型材料细则_118仿石砖 5" xfId="6216"/>
    <cellStyle name="差_选型材料细则_118仿石砖 5 2" xfId="4230"/>
    <cellStyle name="差_选型材料细则_118仿石砖 6" xfId="5645"/>
    <cellStyle name="差_选型材料细则_118仿石砖_聊城样板房工程量计算稿" xfId="23092"/>
    <cellStyle name="差_选型材料细则_118仿石砖_终板 潍坊翡翠华庭样板房清单" xfId="5757"/>
    <cellStyle name="差_选型材料细则_119仿古砖" xfId="23094"/>
    <cellStyle name="差_选型材料细则_119仿古砖 2" xfId="23095"/>
    <cellStyle name="差_选型材料细则_119仿古砖 2 2" xfId="23096"/>
    <cellStyle name="差_选型材料细则_119仿古砖 3" xfId="23097"/>
    <cellStyle name="差_选型材料细则_119仿古砖 3 2" xfId="23098"/>
    <cellStyle name="差_选型材料细则_119仿古砖 4" xfId="23099"/>
    <cellStyle name="差_选型材料细则_119仿古砖 4 2" xfId="23100"/>
    <cellStyle name="差_选型材料细则_119仿古砖 5" xfId="23101"/>
    <cellStyle name="差_选型材料细则_119仿古砖 5 2" xfId="23102"/>
    <cellStyle name="差_选型材料细则_119仿古砖 6" xfId="23103"/>
    <cellStyle name="差_选型材料细则_119仿古砖_聊城样板房工程量计算稿" xfId="23104"/>
    <cellStyle name="差_选型材料细则_119仿古砖_终板 潍坊翡翠华庭样板房清单" xfId="4157"/>
    <cellStyle name="差_选型材料细则_2009年6月甲供材料模板（29类版）" xfId="23106"/>
    <cellStyle name="差_选型材料细则_2009年6月甲供材料模板（29类版） 2" xfId="3755"/>
    <cellStyle name="差_选型材料细则_2009年6月甲供材料模板（29类版） 2 2" xfId="23108"/>
    <cellStyle name="差_选型材料细则_2009年6月甲供材料模板（29类版） 3" xfId="6163"/>
    <cellStyle name="差_选型材料细则_2009年6月甲供材料模板（29类版） 3 2" xfId="6167"/>
    <cellStyle name="差_选型材料细则_2009年6月甲供材料模板（29类版） 4" xfId="6172"/>
    <cellStyle name="差_选型材料细则_2009年6月甲供材料模板（29类版） 4 2" xfId="6177"/>
    <cellStyle name="差_选型材料细则_2009年6月甲供材料模板（29类版） 5" xfId="6183"/>
    <cellStyle name="差_选型材料细则_2009年6月甲供材料模板（29类版） 5 2" xfId="7205"/>
    <cellStyle name="差_选型材料细则_2009年6月甲供材料模板（29类版） 6" xfId="5358"/>
    <cellStyle name="差_选型材料细则_2009年6月甲供材料模板（29类版）_聊城样板房工程量计算稿" xfId="17349"/>
    <cellStyle name="差_选型材料细则_2009年6月甲供材料模板（29类版）_终板 潍坊翡翠华庭样板房清单" xfId="9382"/>
    <cellStyle name="差_选型材料细则_编码细则" xfId="17750"/>
    <cellStyle name="差_选型材料细则_编码细则 2" xfId="23109"/>
    <cellStyle name="差_选型材料细则_编码细则 2 2" xfId="23112"/>
    <cellStyle name="差_选型材料细则_编码细则 3" xfId="23113"/>
    <cellStyle name="差_选型材料细则_编码细则 3 2" xfId="23114"/>
    <cellStyle name="差_选型材料细则_编码细则 4" xfId="23115"/>
    <cellStyle name="差_选型材料细则_编码细则 4 2" xfId="23116"/>
    <cellStyle name="差_选型材料细则_编码细则 5" xfId="23118"/>
    <cellStyle name="差_选型材料细则_编码细则 5 2" xfId="19530"/>
    <cellStyle name="差_选型材料细则_编码细则 6" xfId="23119"/>
    <cellStyle name="差_选型材料细则_编码细则_聊城样板房工程量计算稿" xfId="11373"/>
    <cellStyle name="差_选型材料细则_编码细则_终板 潍坊翡翠华庭样板房清单" xfId="23120"/>
    <cellStyle name="差_选型材料细则_聊城样板房工程量计算稿" xfId="14713"/>
    <cellStyle name="差_选型材料细则_终板 潍坊翡翠华庭样板房清单" xfId="23121"/>
    <cellStyle name="差_银湖城销售中心电气报价清单2011-6-16" xfId="23123"/>
    <cellStyle name="差_银湖城销售中心电气报价清单2011-6-16 2" xfId="23124"/>
    <cellStyle name="差_云浮二期样板房装修" xfId="23125"/>
    <cellStyle name="差_云浮二期样板房装修 2" xfId="23126"/>
    <cellStyle name="差_云浮二期样板房装修_聊城样板房工程量计算稿" xfId="23128"/>
    <cellStyle name="差_终板 潍坊翡翠华庭样板房清单" xfId="6130"/>
    <cellStyle name="差_综合楼7装修工程量清单(1)-7.5" xfId="15278"/>
    <cellStyle name="差_综合楼7装修工程量清单(1)-7.5 2" xfId="14869"/>
    <cellStyle name="常规" xfId="0" builtinId="0"/>
    <cellStyle name="常规 10" xfId="23129"/>
    <cellStyle name="常规 10 2" xfId="11701"/>
    <cellStyle name="常规 10 2 2" xfId="11706"/>
    <cellStyle name="常规 10 2 2 2" xfId="23132"/>
    <cellStyle name="常规 10 2 2 3" xfId="23134"/>
    <cellStyle name="常规 10 2 3" xfId="23136"/>
    <cellStyle name="常规 10 2 3 2" xfId="4993"/>
    <cellStyle name="常规 10 2 3 3" xfId="4995"/>
    <cellStyle name="常规 10 2 4" xfId="9276"/>
    <cellStyle name="常规 10 2 4 2" xfId="5005"/>
    <cellStyle name="常规 10 2 5" xfId="9278"/>
    <cellStyle name="常规 10 2 6" xfId="9281"/>
    <cellStyle name="常规 10 23" xfId="19448"/>
    <cellStyle name="常规 10 23 2" xfId="23137"/>
    <cellStyle name="常规 10 23 2 2" xfId="23138"/>
    <cellStyle name="常规 10 23 2 3" xfId="8428"/>
    <cellStyle name="常规 10 23 2 4" xfId="8433"/>
    <cellStyle name="常规 10 23 2 4 2" xfId="8436"/>
    <cellStyle name="常规 10 23 2 4 3" xfId="23140"/>
    <cellStyle name="常规 10 23 2 4 4" xfId="23141"/>
    <cellStyle name="常规 10 23 2 5" xfId="8439"/>
    <cellStyle name="常规 10 23 3" xfId="23145"/>
    <cellStyle name="常规 10 23 4" xfId="21995"/>
    <cellStyle name="常规 10 23 5" xfId="22000"/>
    <cellStyle name="常规 10 3" xfId="11710"/>
    <cellStyle name="常规 10 3 2" xfId="11714"/>
    <cellStyle name="常规 10 3 3" xfId="23147"/>
    <cellStyle name="常规 10 3 4" xfId="1549"/>
    <cellStyle name="常规 10 3 5" xfId="9287"/>
    <cellStyle name="常规 10 3 6" xfId="9294"/>
    <cellStyle name="常规 10 4" xfId="910"/>
    <cellStyle name="常规 10 4 2" xfId="923"/>
    <cellStyle name="常规 10 4 3" xfId="23149"/>
    <cellStyle name="常规 10 4 4" xfId="3258"/>
    <cellStyle name="常规 10 5" xfId="21089"/>
    <cellStyle name="常规 10 6" xfId="2649"/>
    <cellStyle name="常规 10 7" xfId="2657"/>
    <cellStyle name="常规 10 8" xfId="2663"/>
    <cellStyle name="常规 10 9" xfId="2669"/>
    <cellStyle name="常规 10_聊城样板房工程量计算稿" xfId="23150"/>
    <cellStyle name="常规 100" xfId="23151"/>
    <cellStyle name="常规 100 2" xfId="23153"/>
    <cellStyle name="常规 101" xfId="23155"/>
    <cellStyle name="常规 101 2" xfId="23157"/>
    <cellStyle name="常规 11" xfId="23160"/>
    <cellStyle name="常规 11 10" xfId="23161"/>
    <cellStyle name="常规 11 11" xfId="23163"/>
    <cellStyle name="常规 11 12" xfId="23164"/>
    <cellStyle name="常规 11 13" xfId="23165"/>
    <cellStyle name="常规 11 14" xfId="6954"/>
    <cellStyle name="常规 11 15" xfId="23166"/>
    <cellStyle name="常规 11 16" xfId="23167"/>
    <cellStyle name="常规 11 2" xfId="11723"/>
    <cellStyle name="常规 11 2 2" xfId="11727"/>
    <cellStyle name="常规 11 2 3" xfId="23168"/>
    <cellStyle name="常规 11 3" xfId="11732"/>
    <cellStyle name="常规 11 3 2" xfId="11736"/>
    <cellStyle name="常规 11 3 3" xfId="23169"/>
    <cellStyle name="常规 11 4" xfId="11739"/>
    <cellStyle name="常规 11 4 2" xfId="23171"/>
    <cellStyle name="常规 11 4 3" xfId="22157"/>
    <cellStyle name="常规 11 5" xfId="23172"/>
    <cellStyle name="常规 11 6" xfId="23174"/>
    <cellStyle name="常规 11 7" xfId="8884"/>
    <cellStyle name="常规 11 8" xfId="23175"/>
    <cellStyle name="常规 11 9" xfId="23176"/>
    <cellStyle name="常规 11_12#A、B、C户型云浮二期样板房装修20111028" xfId="23177"/>
    <cellStyle name="常规 12" xfId="10109"/>
    <cellStyle name="常规 12 2" xfId="23180"/>
    <cellStyle name="常规 12 3" xfId="23182"/>
    <cellStyle name="常规 12 4" xfId="23184"/>
    <cellStyle name="常规 12 5" xfId="23186"/>
    <cellStyle name="常规 13" xfId="23190"/>
    <cellStyle name="常规 13 10" xfId="23193"/>
    <cellStyle name="常规 13 2" xfId="23195"/>
    <cellStyle name="常规 13 3" xfId="23199"/>
    <cellStyle name="常规 13 4" xfId="22983"/>
    <cellStyle name="常规 13 5" xfId="23202"/>
    <cellStyle name="常规 13 6" xfId="23205"/>
    <cellStyle name="常规 13 7" xfId="8894"/>
    <cellStyle name="常规 13 8" xfId="23208"/>
    <cellStyle name="常规 13 9" xfId="11997"/>
    <cellStyle name="常规 14" xfId="23211"/>
    <cellStyle name="常规 14 2" xfId="23213"/>
    <cellStyle name="常规 14 3" xfId="23214"/>
    <cellStyle name="常规 14 4" xfId="23216"/>
    <cellStyle name="常规 14 5" xfId="23217"/>
    <cellStyle name="常规 15" xfId="23218"/>
    <cellStyle name="常规 15 2" xfId="17900"/>
    <cellStyle name="常规 15 3" xfId="17942"/>
    <cellStyle name="常规 15 4" xfId="17990"/>
    <cellStyle name="常规 15 5" xfId="18020"/>
    <cellStyle name="常规 16" xfId="23222"/>
    <cellStyle name="常规 16 2" xfId="17482"/>
    <cellStyle name="常规 16 3" xfId="1674"/>
    <cellStyle name="常规 16 4" xfId="17489"/>
    <cellStyle name="常规 16 5" xfId="18787"/>
    <cellStyle name="常规 17" xfId="23228"/>
    <cellStyle name="常规 17 2" xfId="17502"/>
    <cellStyle name="常规 17 2 2" xfId="18849"/>
    <cellStyle name="常规 17 3" xfId="1198"/>
    <cellStyle name="常规 17 3 2" xfId="18857"/>
    <cellStyle name="常规 17 4" xfId="17507"/>
    <cellStyle name="常规 17 4 2" xfId="23234"/>
    <cellStyle name="常规 17 5" xfId="18863"/>
    <cellStyle name="常规 17 5 2" xfId="23237"/>
    <cellStyle name="常规 17 6" xfId="23238"/>
    <cellStyle name="常规 17 7" xfId="23240"/>
    <cellStyle name="常规 18" xfId="23242"/>
    <cellStyle name="常规 18 2" xfId="23244"/>
    <cellStyle name="常规 18 2 2" xfId="23143"/>
    <cellStyle name="常规 18 2 2 2" xfId="23248"/>
    <cellStyle name="常规 18 2 2 2 2" xfId="23249"/>
    <cellStyle name="常规 18 2 2 2 3" xfId="23251"/>
    <cellStyle name="常规 18 2 2 2 4" xfId="23252"/>
    <cellStyle name="常规 18 2 2 3" xfId="20420"/>
    <cellStyle name="常规 18 2 2 3 2" xfId="11173"/>
    <cellStyle name="常规 18 2 2 4" xfId="23253"/>
    <cellStyle name="常规 18 2 2 5" xfId="23254"/>
    <cellStyle name="常规 18 2 3" xfId="21993"/>
    <cellStyle name="常规 18 2 3 2" xfId="21997"/>
    <cellStyle name="常规 18 2 4" xfId="21999"/>
    <cellStyle name="常规 18 2 5" xfId="22003"/>
    <cellStyle name="常规 18 3" xfId="1272"/>
    <cellStyle name="常规 18 3 2" xfId="23255"/>
    <cellStyle name="常规 18 3 2 2" xfId="18325"/>
    <cellStyle name="常规 18 3 3" xfId="23257"/>
    <cellStyle name="常规 18 3 4" xfId="23259"/>
    <cellStyle name="常规 18 3 5" xfId="23260"/>
    <cellStyle name="常规 18 4" xfId="23261"/>
    <cellStyle name="常规 18 4 2" xfId="23265"/>
    <cellStyle name="常规 18 5" xfId="23267"/>
    <cellStyle name="常规 18 6" xfId="23271"/>
    <cellStyle name="常规 18 7" xfId="23274"/>
    <cellStyle name="常规 18_管材管件常用产品及其他全系列产品报价表" xfId="23278"/>
    <cellStyle name="常规 19" xfId="23279"/>
    <cellStyle name="常规 19 2" xfId="18901"/>
    <cellStyle name="常规 19 2 2" xfId="18904"/>
    <cellStyle name="常规 19 2 3" xfId="18906"/>
    <cellStyle name="常规 19 3" xfId="23282"/>
    <cellStyle name="常规 19 3 2" xfId="23284"/>
    <cellStyle name="常规 19 3 3" xfId="23285"/>
    <cellStyle name="常规 19 4" xfId="1315"/>
    <cellStyle name="常规 19 5" xfId="23286"/>
    <cellStyle name="常规 19 6" xfId="23288"/>
    <cellStyle name="常规 2" xfId="1614"/>
    <cellStyle name="常规 2 10" xfId="23290"/>
    <cellStyle name="常规 2 10 10" xfId="3203"/>
    <cellStyle name="常规 2 10 10 2" xfId="23293"/>
    <cellStyle name="常规 2 10 11" xfId="23294"/>
    <cellStyle name="常规 2 10 12" xfId="23295"/>
    <cellStyle name="常规 2 10 13" xfId="23296"/>
    <cellStyle name="常规 2 10 14" xfId="23297"/>
    <cellStyle name="常规 2 10 15" xfId="14411"/>
    <cellStyle name="常规 2 10 16" xfId="23298"/>
    <cellStyle name="常规 2 10 17" xfId="23300"/>
    <cellStyle name="常规 2 10 18" xfId="23302"/>
    <cellStyle name="常规 2 10 19" xfId="23303"/>
    <cellStyle name="常规 2 10 2" xfId="23304"/>
    <cellStyle name="常规 2 10 2 2" xfId="23305"/>
    <cellStyle name="常规 2 10 20" xfId="14412"/>
    <cellStyle name="常规 2 10 21" xfId="23299"/>
    <cellStyle name="常规 2 10 22" xfId="23301"/>
    <cellStyle name="常规 2 10 3" xfId="8667"/>
    <cellStyle name="常规 2 10 4" xfId="23306"/>
    <cellStyle name="常规 2 10 5" xfId="23307"/>
    <cellStyle name="常规 2 10 6" xfId="23308"/>
    <cellStyle name="常规 2 10 7" xfId="23310"/>
    <cellStyle name="常规 2 10 8" xfId="16549"/>
    <cellStyle name="常规 2 10 9" xfId="23311"/>
    <cellStyle name="常规 2 10_12#A、B、C户型云浮二期样板房装修20111028" xfId="23313"/>
    <cellStyle name="常规 2 100" xfId="23315"/>
    <cellStyle name="常规 2 101" xfId="5488"/>
    <cellStyle name="常规 2 102" xfId="23318"/>
    <cellStyle name="常规 2 103" xfId="23320"/>
    <cellStyle name="常规 2 104" xfId="23323"/>
    <cellStyle name="常规 2 105" xfId="1790"/>
    <cellStyle name="常规 2 106" xfId="16402"/>
    <cellStyle name="常规 2 107" xfId="12161"/>
    <cellStyle name="常规 2 108" xfId="16428"/>
    <cellStyle name="常规 2 109" xfId="16433"/>
    <cellStyle name="常规 2 11" xfId="23326"/>
    <cellStyle name="常规 2 11 10" xfId="23327"/>
    <cellStyle name="常规 2 11 11" xfId="23328"/>
    <cellStyle name="常规 2 11 12" xfId="23329"/>
    <cellStyle name="常规 2 11 13" xfId="23330"/>
    <cellStyle name="常规 2 11 14" xfId="23333"/>
    <cellStyle name="常规 2 11 15" xfId="23336"/>
    <cellStyle name="常规 2 11 16" xfId="12477"/>
    <cellStyle name="常规 2 11 17" xfId="23339"/>
    <cellStyle name="常规 2 11 18" xfId="23341"/>
    <cellStyle name="常规 2 11 19" xfId="5668"/>
    <cellStyle name="常规 2 11 2" xfId="23343"/>
    <cellStyle name="常规 2 11 20" xfId="23337"/>
    <cellStyle name="常规 2 11 21" xfId="12478"/>
    <cellStyle name="常规 2 11 22" xfId="23340"/>
    <cellStyle name="常规 2 11 22 2" xfId="23344"/>
    <cellStyle name="常规 2 11 3" xfId="23345"/>
    <cellStyle name="常规 2 11 4" xfId="23346"/>
    <cellStyle name="常规 2 11 5" xfId="23347"/>
    <cellStyle name="常规 2 11 6" xfId="23348"/>
    <cellStyle name="常规 2 11 7" xfId="23349"/>
    <cellStyle name="常规 2 11 8" xfId="16552"/>
    <cellStyle name="常规 2 11 9" xfId="23350"/>
    <cellStyle name="常规 2 110" xfId="1791"/>
    <cellStyle name="常规 2 111" xfId="16403"/>
    <cellStyle name="常规 2 112" xfId="12162"/>
    <cellStyle name="常规 2 113" xfId="16429"/>
    <cellStyle name="常规 2 114" xfId="16434"/>
    <cellStyle name="常规 2 115" xfId="8076"/>
    <cellStyle name="常规 2 116" xfId="23351"/>
    <cellStyle name="常规 2 117" xfId="23353"/>
    <cellStyle name="常规 2 118" xfId="23355"/>
    <cellStyle name="常规 2 119" xfId="22912"/>
    <cellStyle name="常规 2 12" xfId="13386"/>
    <cellStyle name="常规 2 12 10" xfId="23358"/>
    <cellStyle name="常规 2 12 11" xfId="23361"/>
    <cellStyle name="常规 2 12 12" xfId="23364"/>
    <cellStyle name="常规 2 12 13" xfId="20293"/>
    <cellStyle name="常规 2 12 14" xfId="23366"/>
    <cellStyle name="常规 2 12 15" xfId="23368"/>
    <cellStyle name="常规 2 12 16" xfId="23372"/>
    <cellStyle name="常规 2 12 17" xfId="23377"/>
    <cellStyle name="常规 2 12 18" xfId="20546"/>
    <cellStyle name="常规 2 12 19" xfId="20551"/>
    <cellStyle name="常规 2 12 2" xfId="23380"/>
    <cellStyle name="常规 2 12 20" xfId="23369"/>
    <cellStyle name="常规 2 12 21" xfId="23373"/>
    <cellStyle name="常规 2 12 22" xfId="23378"/>
    <cellStyle name="常规 2 12 3" xfId="23381"/>
    <cellStyle name="常规 2 12 4" xfId="23382"/>
    <cellStyle name="常规 2 12 5" xfId="23383"/>
    <cellStyle name="常规 2 12 6" xfId="23385"/>
    <cellStyle name="常规 2 12 7" xfId="23387"/>
    <cellStyle name="常规 2 12 8" xfId="23389"/>
    <cellStyle name="常规 2 12 9" xfId="23391"/>
    <cellStyle name="常规 2 120" xfId="8077"/>
    <cellStyle name="常规 2 121" xfId="23352"/>
    <cellStyle name="常规 2 122" xfId="23354"/>
    <cellStyle name="常规 2 123" xfId="23356"/>
    <cellStyle name="常规 2 124" xfId="22913"/>
    <cellStyle name="常规 2 125" xfId="23393"/>
    <cellStyle name="常规 2 126" xfId="23395"/>
    <cellStyle name="常规 2 127" xfId="3801"/>
    <cellStyle name="常规 2 128" xfId="3805"/>
    <cellStyle name="常规 2 129" xfId="3809"/>
    <cellStyle name="常规 2 13" xfId="23397"/>
    <cellStyle name="常规 2 13 10" xfId="11842"/>
    <cellStyle name="常规 2 13 11" xfId="23401"/>
    <cellStyle name="常规 2 13 12" xfId="9580"/>
    <cellStyle name="常规 2 13 13" xfId="9585"/>
    <cellStyle name="常规 2 13 14" xfId="9592"/>
    <cellStyle name="常规 2 13 15" xfId="9594"/>
    <cellStyle name="常规 2 13 16" xfId="9601"/>
    <cellStyle name="常规 2 13 17" xfId="23405"/>
    <cellStyle name="常规 2 13 18" xfId="23408"/>
    <cellStyle name="常规 2 13 19" xfId="23410"/>
    <cellStyle name="常规 2 13 2" xfId="23411"/>
    <cellStyle name="常规 2 13 20" xfId="9595"/>
    <cellStyle name="常规 2 13 21" xfId="9602"/>
    <cellStyle name="常规 2 13 22" xfId="23406"/>
    <cellStyle name="常规 2 13 3" xfId="23416"/>
    <cellStyle name="常规 2 13 4" xfId="23000"/>
    <cellStyle name="常规 2 13 5" xfId="23420"/>
    <cellStyle name="常规 2 13 6" xfId="23424"/>
    <cellStyle name="常规 2 13 7" xfId="23427"/>
    <cellStyle name="常规 2 13 8" xfId="23430"/>
    <cellStyle name="常规 2 13 9" xfId="8525"/>
    <cellStyle name="常规 2 130" xfId="23394"/>
    <cellStyle name="常规 2 131" xfId="23396"/>
    <cellStyle name="常规 2 132" xfId="3802"/>
    <cellStyle name="常规 2 133" xfId="3806"/>
    <cellStyle name="常规 2 134" xfId="3810"/>
    <cellStyle name="常规 2 135" xfId="3813"/>
    <cellStyle name="常规 2 136" xfId="23434"/>
    <cellStyle name="常规 2 137" xfId="23436"/>
    <cellStyle name="常规 2 138" xfId="23439"/>
    <cellStyle name="常规 2 139" xfId="23443"/>
    <cellStyle name="常规 2 14" xfId="23445"/>
    <cellStyle name="常规 2 14 10" xfId="23448"/>
    <cellStyle name="常规 2 14 11" xfId="23449"/>
    <cellStyle name="常规 2 14 12" xfId="9678"/>
    <cellStyle name="常规 2 14 13" xfId="7891"/>
    <cellStyle name="常规 2 14 14" xfId="23450"/>
    <cellStyle name="常规 2 14 15" xfId="23451"/>
    <cellStyle name="常规 2 14 16" xfId="23455"/>
    <cellStyle name="常规 2 14 17" xfId="23457"/>
    <cellStyle name="常规 2 14 18" xfId="13532"/>
    <cellStyle name="常规 2 14 19" xfId="13550"/>
    <cellStyle name="常规 2 14 2" xfId="23459"/>
    <cellStyle name="常规 2 14 20" xfId="23452"/>
    <cellStyle name="常规 2 14 21" xfId="23456"/>
    <cellStyle name="常规 2 14 22" xfId="23458"/>
    <cellStyle name="常规 2 14 3" xfId="23463"/>
    <cellStyle name="常规 2 14 4" xfId="23466"/>
    <cellStyle name="常规 2 14 5" xfId="23470"/>
    <cellStyle name="常规 2 14 6" xfId="23472"/>
    <cellStyle name="常规 2 14 7" xfId="23474"/>
    <cellStyle name="常规 2 14 8" xfId="23475"/>
    <cellStyle name="常规 2 14 9" xfId="10377"/>
    <cellStyle name="常规 2 140" xfId="3814"/>
    <cellStyle name="常规 2 15" xfId="18173"/>
    <cellStyle name="常规 2 15 10" xfId="22406"/>
    <cellStyle name="常规 2 15 11" xfId="21261"/>
    <cellStyle name="常规 2 15 12" xfId="23476"/>
    <cellStyle name="常规 2 15 13" xfId="23479"/>
    <cellStyle name="常规 2 15 14" xfId="5735"/>
    <cellStyle name="常规 2 15 15" xfId="14427"/>
    <cellStyle name="常规 2 15 16" xfId="23481"/>
    <cellStyle name="常规 2 15 17" xfId="16607"/>
    <cellStyle name="常规 2 15 18" xfId="23487"/>
    <cellStyle name="常规 2 15 19" xfId="23491"/>
    <cellStyle name="常规 2 15 2" xfId="23493"/>
    <cellStyle name="常规 2 15 20" xfId="14428"/>
    <cellStyle name="常规 2 15 21" xfId="23482"/>
    <cellStyle name="常规 2 15 22" xfId="16608"/>
    <cellStyle name="常规 2 15 3" xfId="23497"/>
    <cellStyle name="常规 2 15 4" xfId="23499"/>
    <cellStyle name="常规 2 15 5" xfId="19895"/>
    <cellStyle name="常规 2 15 6" xfId="23501"/>
    <cellStyle name="常规 2 15 7" xfId="23503"/>
    <cellStyle name="常规 2 15 8" xfId="23505"/>
    <cellStyle name="常规 2 15 9" xfId="10390"/>
    <cellStyle name="常规 2 16" xfId="18178"/>
    <cellStyle name="常规 2 16 10" xfId="23509"/>
    <cellStyle name="常规 2 16 11" xfId="23511"/>
    <cellStyle name="常规 2 16 12" xfId="23513"/>
    <cellStyle name="常规 2 16 13" xfId="23515"/>
    <cellStyle name="常规 2 16 14" xfId="23519"/>
    <cellStyle name="常规 2 16 15" xfId="23521"/>
    <cellStyle name="常规 2 16 16" xfId="22509"/>
    <cellStyle name="常规 2 16 17" xfId="22733"/>
    <cellStyle name="常规 2 16 18" xfId="23526"/>
    <cellStyle name="常规 2 16 19" xfId="5678"/>
    <cellStyle name="常规 2 16 2" xfId="23528"/>
    <cellStyle name="常规 2 16 20" xfId="23522"/>
    <cellStyle name="常规 2 16 21" xfId="22510"/>
    <cellStyle name="常规 2 16 22" xfId="22734"/>
    <cellStyle name="常规 2 16 3" xfId="23530"/>
    <cellStyle name="常规 2 16 4" xfId="9327"/>
    <cellStyle name="常规 2 16 5" xfId="9333"/>
    <cellStyle name="常规 2 16 6" xfId="9338"/>
    <cellStyle name="常规 2 16 7" xfId="9343"/>
    <cellStyle name="常规 2 16 8" xfId="23532"/>
    <cellStyle name="常规 2 16 9" xfId="10407"/>
    <cellStyle name="常规 2 17" xfId="23534"/>
    <cellStyle name="常规 2 17 10" xfId="23538"/>
    <cellStyle name="常规 2 17 11" xfId="23540"/>
    <cellStyle name="常规 2 17 12" xfId="23543"/>
    <cellStyle name="常规 2 17 13" xfId="23545"/>
    <cellStyle name="常规 2 17 14" xfId="23547"/>
    <cellStyle name="常规 2 17 15" xfId="21168"/>
    <cellStyle name="常规 2 17 16" xfId="21174"/>
    <cellStyle name="常规 2 17 17" xfId="21182"/>
    <cellStyle name="常规 2 17 18" xfId="21190"/>
    <cellStyle name="常规 2 17 19" xfId="21193"/>
    <cellStyle name="常规 2 17 2" xfId="23550"/>
    <cellStyle name="常规 2 17 20" xfId="21169"/>
    <cellStyle name="常规 2 17 21" xfId="21175"/>
    <cellStyle name="常规 2 17 22" xfId="21183"/>
    <cellStyle name="常规 2 17 3" xfId="8"/>
    <cellStyle name="常规 2 17 4" xfId="23552"/>
    <cellStyle name="常规 2 17 5" xfId="19903"/>
    <cellStyle name="常规 2 17 6" xfId="23554"/>
    <cellStyle name="常规 2 17 7" xfId="23556"/>
    <cellStyle name="常规 2 17 8" xfId="23558"/>
    <cellStyle name="常规 2 17 9" xfId="11886"/>
    <cellStyle name="常规 2 18" xfId="10393"/>
    <cellStyle name="常规 2 18 10" xfId="11860"/>
    <cellStyle name="常规 2 18 11" xfId="12378"/>
    <cellStyle name="常规 2 18 12" xfId="9688"/>
    <cellStyle name="常规 2 18 13" xfId="9703"/>
    <cellStyle name="常规 2 18 14" xfId="9713"/>
    <cellStyle name="常规 2 18 15" xfId="9717"/>
    <cellStyle name="常规 2 18 16" xfId="11570"/>
    <cellStyle name="常规 2 18 17" xfId="11576"/>
    <cellStyle name="常规 2 18 18" xfId="11582"/>
    <cellStyle name="常规 2 18 19" xfId="23560"/>
    <cellStyle name="常规 2 18 2" xfId="23562"/>
    <cellStyle name="常规 2 18 20" xfId="9718"/>
    <cellStyle name="常规 2 18 21" xfId="11571"/>
    <cellStyle name="常规 2 18 22" xfId="11577"/>
    <cellStyle name="常规 2 18 23" xfId="11583"/>
    <cellStyle name="常规 2 18 3" xfId="23566"/>
    <cellStyle name="常规 2 18 4" xfId="23570"/>
    <cellStyle name="常规 2 18 5" xfId="19908"/>
    <cellStyle name="常规 2 18 6" xfId="21021"/>
    <cellStyle name="常规 2 18 7" xfId="21026"/>
    <cellStyle name="常规 2 18 8" xfId="21031"/>
    <cellStyle name="常规 2 18 9" xfId="23574"/>
    <cellStyle name="常规 2 19" xfId="23578"/>
    <cellStyle name="常规 2 19 10" xfId="23581"/>
    <cellStyle name="常规 2 19 11" xfId="23583"/>
    <cellStyle name="常规 2 19 12" xfId="23584"/>
    <cellStyle name="常规 2 19 13" xfId="23585"/>
    <cellStyle name="常规 2 19 14" xfId="23587"/>
    <cellStyle name="常规 2 19 15" xfId="23588"/>
    <cellStyle name="常规 2 19 16" xfId="23590"/>
    <cellStyle name="常规 2 19 17" xfId="23593"/>
    <cellStyle name="常规 2 19 18" xfId="13595"/>
    <cellStyle name="常规 2 19 19" xfId="13609"/>
    <cellStyle name="常规 2 19 2" xfId="23596"/>
    <cellStyle name="常规 2 19 20" xfId="23589"/>
    <cellStyle name="常规 2 19 21" xfId="23591"/>
    <cellStyle name="常规 2 19 22" xfId="23594"/>
    <cellStyle name="常规 2 19 23" xfId="13596"/>
    <cellStyle name="常规 2 19 3" xfId="23599"/>
    <cellStyle name="常规 2 19 4" xfId="23602"/>
    <cellStyle name="常规 2 19 5" xfId="21039"/>
    <cellStyle name="常规 2 19 6" xfId="21043"/>
    <cellStyle name="常规 2 19 7" xfId="21049"/>
    <cellStyle name="常规 2 19 8" xfId="21053"/>
    <cellStyle name="常规 2 19 9" xfId="23604"/>
    <cellStyle name="常规 2 2" xfId="23606"/>
    <cellStyle name="常规 2 2 10" xfId="14109"/>
    <cellStyle name="常规 2 2 10 10" xfId="16466"/>
    <cellStyle name="常规 2 2 10 11" xfId="16471"/>
    <cellStyle name="常规 2 2 10 12" xfId="200"/>
    <cellStyle name="常规 2 2 10 13" xfId="23607"/>
    <cellStyle name="常规 2 2 10 14" xfId="695"/>
    <cellStyle name="常规 2 2 10 15" xfId="699"/>
    <cellStyle name="常规 2 2 10 16" xfId="709"/>
    <cellStyle name="常规 2 2 10 2" xfId="14112"/>
    <cellStyle name="常规 2 2 10 3" xfId="23608"/>
    <cellStyle name="常规 2 2 10 4" xfId="23609"/>
    <cellStyle name="常规 2 2 10 5" xfId="23610"/>
    <cellStyle name="常规 2 2 10 6" xfId="19803"/>
    <cellStyle name="常规 2 2 10 7" xfId="11372"/>
    <cellStyle name="常规 2 2 10 8" xfId="19780"/>
    <cellStyle name="常规 2 2 10 9" xfId="19783"/>
    <cellStyle name="常规 2 2 11" xfId="14117"/>
    <cellStyle name="常规 2 2 11 10" xfId="16584"/>
    <cellStyle name="常规 2 2 11 11" xfId="9394"/>
    <cellStyle name="常规 2 2 11 12" xfId="23611"/>
    <cellStyle name="常规 2 2 11 13" xfId="23613"/>
    <cellStyle name="常规 2 2 11 14" xfId="23615"/>
    <cellStyle name="常规 2 2 11 15" xfId="23616"/>
    <cellStyle name="常规 2 2 11 16" xfId="23617"/>
    <cellStyle name="常规 2 2 11 2" xfId="14119"/>
    <cellStyle name="常规 2 2 11 3" xfId="23618"/>
    <cellStyle name="常规 2 2 11 4" xfId="23619"/>
    <cellStyle name="常规 2 2 11 5" xfId="23620"/>
    <cellStyle name="常规 2 2 11 6" xfId="19808"/>
    <cellStyle name="常规 2 2 11 7" xfId="23622"/>
    <cellStyle name="常规 2 2 11 8" xfId="23623"/>
    <cellStyle name="常规 2 2 11 9" xfId="23624"/>
    <cellStyle name="常规 2 2 12" xfId="14122"/>
    <cellStyle name="常规 2 2 12 10" xfId="23625"/>
    <cellStyle name="常规 2 2 12 11" xfId="23626"/>
    <cellStyle name="常规 2 2 12 12" xfId="23627"/>
    <cellStyle name="常规 2 2 12 13" xfId="23628"/>
    <cellStyle name="常规 2 2 12 14" xfId="23631"/>
    <cellStyle name="常规 2 2 12 15" xfId="23633"/>
    <cellStyle name="常规 2 2 12 16" xfId="23635"/>
    <cellStyle name="常规 2 2 12 2" xfId="14125"/>
    <cellStyle name="常规 2 2 12 3" xfId="23636"/>
    <cellStyle name="常规 2 2 12 4" xfId="9749"/>
    <cellStyle name="常规 2 2 12 5" xfId="23637"/>
    <cellStyle name="常规 2 2 12 6" xfId="19811"/>
    <cellStyle name="常规 2 2 12 7" xfId="23638"/>
    <cellStyle name="常规 2 2 12 8" xfId="23639"/>
    <cellStyle name="常规 2 2 12 9" xfId="23640"/>
    <cellStyle name="常规 2 2 13" xfId="14128"/>
    <cellStyle name="常规 2 2 13 10" xfId="23641"/>
    <cellStyle name="常规 2 2 13 11" xfId="23643"/>
    <cellStyle name="常规 2 2 13 12" xfId="680"/>
    <cellStyle name="常规 2 2 13 13" xfId="23644"/>
    <cellStyle name="常规 2 2 13 14" xfId="23648"/>
    <cellStyle name="常规 2 2 13 15" xfId="23650"/>
    <cellStyle name="常规 2 2 13 16" xfId="22457"/>
    <cellStyle name="常规 2 2 13 2" xfId="23653"/>
    <cellStyle name="常规 2 2 13 3" xfId="15913"/>
    <cellStyle name="常规 2 2 13 4" xfId="9753"/>
    <cellStyle name="常规 2 2 13 5" xfId="15917"/>
    <cellStyle name="常规 2 2 13 6" xfId="15920"/>
    <cellStyle name="常规 2 2 13 7" xfId="23654"/>
    <cellStyle name="常规 2 2 13 8" xfId="23655"/>
    <cellStyle name="常规 2 2 13 9" xfId="23656"/>
    <cellStyle name="常规 2 2 14" xfId="23657"/>
    <cellStyle name="常规 2 2 14 2" xfId="23659"/>
    <cellStyle name="常规 2 2 14 3" xfId="15923"/>
    <cellStyle name="常规 2 2 15" xfId="23660"/>
    <cellStyle name="常规 2 2 15 2" xfId="15577"/>
    <cellStyle name="常规 2 2 15 3" xfId="23662"/>
    <cellStyle name="常规 2 2 16" xfId="23664"/>
    <cellStyle name="常规 2 2 16 2" xfId="15778"/>
    <cellStyle name="常规 2 2 16 3" xfId="23666"/>
    <cellStyle name="常规 2 2 17" xfId="23668"/>
    <cellStyle name="常规 2 2 17 2" xfId="15899"/>
    <cellStyle name="常规 2 2 17 3" xfId="23672"/>
    <cellStyle name="常规 2 2 18" xfId="23674"/>
    <cellStyle name="常规 2 2 18 2" xfId="23676"/>
    <cellStyle name="常规 2 2 18 3" xfId="23678"/>
    <cellStyle name="常规 2 2 19" xfId="23681"/>
    <cellStyle name="常规 2 2 19 2" xfId="23683"/>
    <cellStyle name="常规 2 2 19 3" xfId="23685"/>
    <cellStyle name="常规 2 2 2" xfId="6171"/>
    <cellStyle name="常规 2 2 2 10" xfId="23687"/>
    <cellStyle name="常规 2 2 2 10 10" xfId="23691"/>
    <cellStyle name="常规 2 2 2 10 11" xfId="23695"/>
    <cellStyle name="常规 2 2 2 10 12" xfId="23697"/>
    <cellStyle name="常规 2 2 2 10 13" xfId="23699"/>
    <cellStyle name="常规 2 2 2 10 14" xfId="23701"/>
    <cellStyle name="常规 2 2 2 10 15" xfId="23704"/>
    <cellStyle name="常规 2 2 2 10 16" xfId="23705"/>
    <cellStyle name="常规 2 2 2 10 17" xfId="23706"/>
    <cellStyle name="常规 2 2 2 10 2" xfId="23707"/>
    <cellStyle name="常规 2 2 2 10 3" xfId="23708"/>
    <cellStyle name="常规 2 2 2 10 4" xfId="23709"/>
    <cellStyle name="常规 2 2 2 10 5" xfId="23710"/>
    <cellStyle name="常规 2 2 2 10 6" xfId="23711"/>
    <cellStyle name="常规 2 2 2 10 7" xfId="23712"/>
    <cellStyle name="常规 2 2 2 10 8" xfId="23713"/>
    <cellStyle name="常规 2 2 2 10 9" xfId="6388"/>
    <cellStyle name="常规 2 2 2 11" xfId="23714"/>
    <cellStyle name="常规 2 2 2 11 10" xfId="15873"/>
    <cellStyle name="常规 2 2 2 11 11" xfId="15880"/>
    <cellStyle name="常规 2 2 2 11 12" xfId="15887"/>
    <cellStyle name="常规 2 2 2 11 13" xfId="23715"/>
    <cellStyle name="常规 2 2 2 11 14" xfId="23716"/>
    <cellStyle name="常规 2 2 2 11 15" xfId="936"/>
    <cellStyle name="常规 2 2 2 11 16" xfId="11966"/>
    <cellStyle name="常规 2 2 2 11 17" xfId="23719"/>
    <cellStyle name="常规 2 2 2 11 2" xfId="23720"/>
    <cellStyle name="常规 2 2 2 11 3" xfId="9836"/>
    <cellStyle name="常规 2 2 2 11 4" xfId="23721"/>
    <cellStyle name="常规 2 2 2 11 5" xfId="23722"/>
    <cellStyle name="常规 2 2 2 11 6" xfId="23723"/>
    <cellStyle name="常规 2 2 2 11 7" xfId="23724"/>
    <cellStyle name="常规 2 2 2 11 8" xfId="23725"/>
    <cellStyle name="常规 2 2 2 11 9" xfId="23726"/>
    <cellStyle name="常规 2 2 2 12" xfId="23727"/>
    <cellStyle name="常规 2 2 2 12 2" xfId="23728"/>
    <cellStyle name="常规 2 2 2 12 3" xfId="9839"/>
    <cellStyle name="常规 2 2 2 13" xfId="23729"/>
    <cellStyle name="常规 2 2 2 13 2" xfId="23730"/>
    <cellStyle name="常规 2 2 2 13 3" xfId="9842"/>
    <cellStyle name="常规 2 2 2 14" xfId="23733"/>
    <cellStyle name="常规 2 2 2 14 2" xfId="23735"/>
    <cellStyle name="常规 2 2 2 14 3" xfId="23737"/>
    <cellStyle name="常规 2 2 2 15" xfId="23738"/>
    <cellStyle name="常规 2 2 2 15 2" xfId="23741"/>
    <cellStyle name="常规 2 2 2 15 3" xfId="23743"/>
    <cellStyle name="常规 2 2 2 16" xfId="23745"/>
    <cellStyle name="常规 2 2 2 16 2" xfId="23747"/>
    <cellStyle name="常规 2 2 2 16 3" xfId="23749"/>
    <cellStyle name="常规 2 2 2 17" xfId="23751"/>
    <cellStyle name="常规 2 2 2 17 2" xfId="23753"/>
    <cellStyle name="常规 2 2 2 17 3" xfId="23755"/>
    <cellStyle name="常规 2 2 2 18" xfId="20952"/>
    <cellStyle name="常规 2 2 2 18 2" xfId="20857"/>
    <cellStyle name="常规 2 2 2 18 3" xfId="23757"/>
    <cellStyle name="常规 2 2 2 19" xfId="6827"/>
    <cellStyle name="常规 2 2 2 19 2" xfId="1605"/>
    <cellStyle name="常规 2 2 2 19 3" xfId="23759"/>
    <cellStyle name="常规 2 2 2 2" xfId="6176"/>
    <cellStyle name="常规 2 2 2 2 10" xfId="12170"/>
    <cellStyle name="常规 2 2 2 2 11" xfId="12174"/>
    <cellStyle name="常规 2 2 2 2 12" xfId="12179"/>
    <cellStyle name="常规 2 2 2 2 13" xfId="23762"/>
    <cellStyle name="常规 2 2 2 2 14" xfId="1741"/>
    <cellStyle name="常规 2 2 2 2 15" xfId="1751"/>
    <cellStyle name="常规 2 2 2 2 16" xfId="1758"/>
    <cellStyle name="常规 2 2 2 2 17" xfId="1770"/>
    <cellStyle name="常规 2 2 2 2 18" xfId="23763"/>
    <cellStyle name="常规 2 2 2 2 2" xfId="23765"/>
    <cellStyle name="常规 2 2 2 2 2 2" xfId="3916"/>
    <cellStyle name="常规 2 2 2 2 2 3" xfId="3926"/>
    <cellStyle name="常规 2 2 2 2 2 4" xfId="23011"/>
    <cellStyle name="常规 2 2 2 2 3" xfId="15001"/>
    <cellStyle name="常规 2 2 2 2 3 2" xfId="23768"/>
    <cellStyle name="常规 2 2 2 2 3 3" xfId="16163"/>
    <cellStyle name="常规 2 2 2 2 3 4" xfId="23769"/>
    <cellStyle name="常规 2 2 2 2 4" xfId="23771"/>
    <cellStyle name="常规 2 2 2 2 4 2" xfId="23773"/>
    <cellStyle name="常规 2 2 2 2 4 3" xfId="16165"/>
    <cellStyle name="常规 2 2 2 2 4 4" xfId="2565"/>
    <cellStyle name="常规 2 2 2 2 5" xfId="23775"/>
    <cellStyle name="常规 2 2 2 2 5 2" xfId="23776"/>
    <cellStyle name="常规 2 2 2 2 5 3" xfId="16168"/>
    <cellStyle name="常规 2 2 2 2 5 4" xfId="2583"/>
    <cellStyle name="常规 2 2 2 2 6" xfId="23777"/>
    <cellStyle name="常规 2 2 2 2 6 2" xfId="23778"/>
    <cellStyle name="常规 2 2 2 2 6 3" xfId="23779"/>
    <cellStyle name="常规 2 2 2 2 6 4" xfId="2595"/>
    <cellStyle name="常规 2 2 2 2 7" xfId="23780"/>
    <cellStyle name="常规 2 2 2 2 7 2" xfId="23781"/>
    <cellStyle name="常规 2 2 2 2 7 3" xfId="23782"/>
    <cellStyle name="常规 2 2 2 2 7 4" xfId="23783"/>
    <cellStyle name="常规 2 2 2 2 8" xfId="4543"/>
    <cellStyle name="常规 2 2 2 2 8 2" xfId="23784"/>
    <cellStyle name="常规 2 2 2 2 8 3" xfId="23785"/>
    <cellStyle name="常规 2 2 2 2 9" xfId="23786"/>
    <cellStyle name="常规 2 2 2 2_武汉名都样板房装修清单  首二期2010.8.13" xfId="23787"/>
    <cellStyle name="常规 2 2 2 20" xfId="23739"/>
    <cellStyle name="常规 2 2 2 20 2" xfId="23742"/>
    <cellStyle name="常规 2 2 2 20 3" xfId="23744"/>
    <cellStyle name="常规 2 2 2 21" xfId="23746"/>
    <cellStyle name="常规 2 2 2 21 2" xfId="23748"/>
    <cellStyle name="常规 2 2 2 21 3" xfId="23750"/>
    <cellStyle name="常规 2 2 2 22" xfId="23752"/>
    <cellStyle name="常规 2 2 2 22 2" xfId="23754"/>
    <cellStyle name="常规 2 2 2 22 3" xfId="23756"/>
    <cellStyle name="常规 2 2 2 23" xfId="20953"/>
    <cellStyle name="常规 2 2 2 23 2" xfId="20858"/>
    <cellStyle name="常规 2 2 2 23 3" xfId="23758"/>
    <cellStyle name="常规 2 2 2 24" xfId="6828"/>
    <cellStyle name="常规 2 2 2 24 2" xfId="1606"/>
    <cellStyle name="常规 2 2 2 24 3" xfId="23760"/>
    <cellStyle name="常规 2 2 2 25" xfId="6830"/>
    <cellStyle name="常规 2 2 2 25 2" xfId="1703"/>
    <cellStyle name="常规 2 2 2 25 3" xfId="23788"/>
    <cellStyle name="常规 2 2 2 26" xfId="6833"/>
    <cellStyle name="常规 2 2 2 26 2" xfId="12148"/>
    <cellStyle name="常规 2 2 2 27" xfId="10918"/>
    <cellStyle name="常规 2 2 2 27 2" xfId="12151"/>
    <cellStyle name="常规 2 2 2 28" xfId="12154"/>
    <cellStyle name="常规 2 2 2 28 2" xfId="12157"/>
    <cellStyle name="常规 2 2 2 29" xfId="12165"/>
    <cellStyle name="常规 2 2 2 29 2" xfId="16440"/>
    <cellStyle name="常规 2 2 2 3" xfId="23791"/>
    <cellStyle name="常规 2 2 2 3 10" xfId="6342"/>
    <cellStyle name="常规 2 2 2 3 11" xfId="6355"/>
    <cellStyle name="常规 2 2 2 3 12" xfId="6362"/>
    <cellStyle name="常规 2 2 2 3 13" xfId="23793"/>
    <cellStyle name="常规 2 2 2 3 14" xfId="23795"/>
    <cellStyle name="常规 2 2 2 3 15" xfId="4743"/>
    <cellStyle name="常规 2 2 2 3 16" xfId="4754"/>
    <cellStyle name="常规 2 2 2 3 2" xfId="23798"/>
    <cellStyle name="常规 2 2 2 3 2 2" xfId="23800"/>
    <cellStyle name="常规 2 2 2 3 3" xfId="23803"/>
    <cellStyle name="常规 2 2 2 3 3 2" xfId="23807"/>
    <cellStyle name="常规 2 2 2 3 4" xfId="23809"/>
    <cellStyle name="常规 2 2 2 3 4 2" xfId="23810"/>
    <cellStyle name="常规 2 2 2 3 5" xfId="23811"/>
    <cellStyle name="常规 2 2 2 3 6" xfId="23813"/>
    <cellStyle name="常规 2 2 2 3 7" xfId="872"/>
    <cellStyle name="常规 2 2 2 3 8" xfId="4548"/>
    <cellStyle name="常规 2 2 2 3 9" xfId="23815"/>
    <cellStyle name="常规 2 2 2 30" xfId="6831"/>
    <cellStyle name="常规 2 2 2 30 2" xfId="1704"/>
    <cellStyle name="常规 2 2 2 31" xfId="6834"/>
    <cellStyle name="常规 2 2 2 31 2" xfId="12149"/>
    <cellStyle name="常规 2 2 2 32" xfId="10919"/>
    <cellStyle name="常规 2 2 2 32 2" xfId="12152"/>
    <cellStyle name="常规 2 2 2 33" xfId="12155"/>
    <cellStyle name="常规 2 2 2 33 2" xfId="12158"/>
    <cellStyle name="常规 2 2 2 34" xfId="12166"/>
    <cellStyle name="常规 2 2 2 34 2" xfId="16441"/>
    <cellStyle name="常规 2 2 2 35" xfId="23816"/>
    <cellStyle name="常规 2 2 2 35 2" xfId="16457"/>
    <cellStyle name="常规 2 2 2 36" xfId="23818"/>
    <cellStyle name="常规 2 2 2 36 2" xfId="23820"/>
    <cellStyle name="常规 2 2 2 36 2 2" xfId="6005"/>
    <cellStyle name="常规 2 2 2 36 3" xfId="23822"/>
    <cellStyle name="常规 2 2 2 36 3 2" xfId="13221"/>
    <cellStyle name="常规 2 2 2 36 4" xfId="458"/>
    <cellStyle name="常规 2 2 2 37" xfId="23823"/>
    <cellStyle name="常规 2 2 2 37 2" xfId="23825"/>
    <cellStyle name="常规 2 2 2 37 2 2" xfId="13264"/>
    <cellStyle name="常规 2 2 2 37 3" xfId="23827"/>
    <cellStyle name="常规 2 2 2 37 3 2" xfId="13274"/>
    <cellStyle name="常规 2 2 2 37 4" xfId="7051"/>
    <cellStyle name="常规 2 2 2 38" xfId="5276"/>
    <cellStyle name="常规 2 2 2 38 2" xfId="56"/>
    <cellStyle name="常规 2 2 2 38 2 2" xfId="13323"/>
    <cellStyle name="常规 2 2 2 38 3" xfId="23828"/>
    <cellStyle name="常规 2 2 2 38 3 2" xfId="13354"/>
    <cellStyle name="常规 2 2 2 38 4" xfId="2611"/>
    <cellStyle name="常规 2 2 2 39" xfId="6016"/>
    <cellStyle name="常规 2 2 2 39 2" xfId="5661"/>
    <cellStyle name="常规 2 2 2 4" xfId="20971"/>
    <cellStyle name="常规 2 2 2 4 10" xfId="23829"/>
    <cellStyle name="常规 2 2 2 4 11" xfId="23831"/>
    <cellStyle name="常规 2 2 2 4 12" xfId="23833"/>
    <cellStyle name="常规 2 2 2 4 13" xfId="23835"/>
    <cellStyle name="常规 2 2 2 4 14" xfId="23837"/>
    <cellStyle name="常规 2 2 2 4 15" xfId="23839"/>
    <cellStyle name="常规 2 2 2 4 16" xfId="23841"/>
    <cellStyle name="常规 2 2 2 4 2" xfId="23844"/>
    <cellStyle name="常规 2 2 2 4 3" xfId="23846"/>
    <cellStyle name="常规 2 2 2 4 4" xfId="23847"/>
    <cellStyle name="常规 2 2 2 4 5" xfId="23848"/>
    <cellStyle name="常规 2 2 2 4 6" xfId="23850"/>
    <cellStyle name="常规 2 2 2 4 7" xfId="23852"/>
    <cellStyle name="常规 2 2 2 4 8" xfId="4554"/>
    <cellStyle name="常规 2 2 2 4 9" xfId="23854"/>
    <cellStyle name="常规 2 2 2 40" xfId="23817"/>
    <cellStyle name="常规 2 2 2 40 2" xfId="16458"/>
    <cellStyle name="常规 2 2 2 41" xfId="23819"/>
    <cellStyle name="常规 2 2 2 41 2" xfId="23821"/>
    <cellStyle name="常规 2 2 2 42" xfId="23824"/>
    <cellStyle name="常规 2 2 2 42 2" xfId="23826"/>
    <cellStyle name="常规 2 2 2 43" xfId="5277"/>
    <cellStyle name="常规 2 2 2 43 2" xfId="57"/>
    <cellStyle name="常规 2 2 2 44" xfId="6017"/>
    <cellStyle name="常规 2 2 2 44 2" xfId="5662"/>
    <cellStyle name="常规 2 2 2 44 2 2" xfId="13401"/>
    <cellStyle name="常规 2 2 2 44 3" xfId="23856"/>
    <cellStyle name="常规 2 2 2 44 3 2" xfId="664"/>
    <cellStyle name="常规 2 2 2 44 4" xfId="23859"/>
    <cellStyle name="常规 2 2 2 45" xfId="6578"/>
    <cellStyle name="常规 2 2 2 45 2" xfId="5789"/>
    <cellStyle name="常规 2 2 2 45 2 2" xfId="13419"/>
    <cellStyle name="常规 2 2 2 45 3" xfId="23861"/>
    <cellStyle name="常规 2 2 2 45 3 2" xfId="13877"/>
    <cellStyle name="常规 2 2 2 45 4" xfId="23865"/>
    <cellStyle name="常规 2 2 2 46" xfId="866"/>
    <cellStyle name="常规 2 2 2 46 2" xfId="23867"/>
    <cellStyle name="常规 2 2 2 46 2 2" xfId="6513"/>
    <cellStyle name="常规 2 2 2 46 3" xfId="23870"/>
    <cellStyle name="常规 2 2 2 46 3 2" xfId="23872"/>
    <cellStyle name="常规 2 2 2 46 4" xfId="23876"/>
    <cellStyle name="常规 2 2 2 47" xfId="23878"/>
    <cellStyle name="常规 2 2 2 47 2" xfId="23881"/>
    <cellStyle name="常规 2 2 2 47 2 2" xfId="18270"/>
    <cellStyle name="常规 2 2 2 47 3" xfId="23884"/>
    <cellStyle name="常规 2 2 2 47 3 2" xfId="23886"/>
    <cellStyle name="常规 2 2 2 47 4" xfId="23890"/>
    <cellStyle name="常规 2 2 2 48" xfId="23892"/>
    <cellStyle name="常规 2 2 2 48 2" xfId="23894"/>
    <cellStyle name="常规 2 2 2 48 2 2" xfId="23896"/>
    <cellStyle name="常规 2 2 2 48 3" xfId="23899"/>
    <cellStyle name="常规 2 2 2 48 3 2" xfId="23901"/>
    <cellStyle name="常规 2 2 2 48 4" xfId="23904"/>
    <cellStyle name="常规 2 2 2 49" xfId="21141"/>
    <cellStyle name="常规 2 2 2 49 2" xfId="21144"/>
    <cellStyle name="常规 2 2 2 49 2 2" xfId="21148"/>
    <cellStyle name="常规 2 2 2 49 3" xfId="21151"/>
    <cellStyle name="常规 2 2 2 49 3 2" xfId="21154"/>
    <cellStyle name="常规 2 2 2 49 4" xfId="21158"/>
    <cellStyle name="常规 2 2 2 5" xfId="23908"/>
    <cellStyle name="常规 2 2 2 5 10" xfId="4935"/>
    <cellStyle name="常规 2 2 2 5 11" xfId="8058"/>
    <cellStyle name="常规 2 2 2 5 12" xfId="3223"/>
    <cellStyle name="常规 2 2 2 5 13" xfId="3303"/>
    <cellStyle name="常规 2 2 2 5 14" xfId="3358"/>
    <cellStyle name="常规 2 2 2 5 15" xfId="3412"/>
    <cellStyle name="常规 2 2 2 5 16" xfId="3441"/>
    <cellStyle name="常规 2 2 2 5 2" xfId="23910"/>
    <cellStyle name="常规 2 2 2 5 3" xfId="23912"/>
    <cellStyle name="常规 2 2 2 5 4" xfId="23913"/>
    <cellStyle name="常规 2 2 2 5 5" xfId="23914"/>
    <cellStyle name="常规 2 2 2 5 6" xfId="23916"/>
    <cellStyle name="常规 2 2 2 5 7" xfId="2674"/>
    <cellStyle name="常规 2 2 2 5 8" xfId="2700"/>
    <cellStyle name="常规 2 2 2 5 9" xfId="23918"/>
    <cellStyle name="常规 2 2 2 50" xfId="6579"/>
    <cellStyle name="常规 2 2 2 50 2" xfId="5790"/>
    <cellStyle name="常规 2 2 2 50 2 2" xfId="13420"/>
    <cellStyle name="常规 2 2 2 50 3" xfId="23862"/>
    <cellStyle name="常规 2 2 2 50 3 2" xfId="13878"/>
    <cellStyle name="常规 2 2 2 50 4" xfId="23866"/>
    <cellStyle name="常规 2 2 2 51" xfId="867"/>
    <cellStyle name="常规 2 2 2 51 2" xfId="23868"/>
    <cellStyle name="常规 2 2 2 51 2 2" xfId="6514"/>
    <cellStyle name="常规 2 2 2 51 3" xfId="23871"/>
    <cellStyle name="常规 2 2 2 51 3 2" xfId="23873"/>
    <cellStyle name="常规 2 2 2 51 4" xfId="23877"/>
    <cellStyle name="常规 2 2 2 52" xfId="23879"/>
    <cellStyle name="常规 2 2 2 52 2" xfId="23882"/>
    <cellStyle name="常规 2 2 2 52 2 2" xfId="18271"/>
    <cellStyle name="常规 2 2 2 52 3" xfId="23885"/>
    <cellStyle name="常规 2 2 2 52 3 2" xfId="23887"/>
    <cellStyle name="常规 2 2 2 52 4" xfId="23891"/>
    <cellStyle name="常规 2 2 2 53" xfId="23893"/>
    <cellStyle name="常规 2 2 2 53 2" xfId="23895"/>
    <cellStyle name="常规 2 2 2 53 2 2" xfId="23897"/>
    <cellStyle name="常规 2 2 2 53 3" xfId="23900"/>
    <cellStyle name="常规 2 2 2 53 3 2" xfId="23902"/>
    <cellStyle name="常规 2 2 2 53 4" xfId="23905"/>
    <cellStyle name="常规 2 2 2 54" xfId="21142"/>
    <cellStyle name="常规 2 2 2 54 2" xfId="21145"/>
    <cellStyle name="常规 2 2 2 54 2 2" xfId="21149"/>
    <cellStyle name="常规 2 2 2 54 3" xfId="21152"/>
    <cellStyle name="常规 2 2 2 54 3 2" xfId="21155"/>
    <cellStyle name="常规 2 2 2 54 4" xfId="21159"/>
    <cellStyle name="常规 2 2 2 55" xfId="23919"/>
    <cellStyle name="常规 2 2 2 55 2" xfId="23922"/>
    <cellStyle name="常规 2 2 2 55 2 2" xfId="7586"/>
    <cellStyle name="常规 2 2 2 55 3" xfId="23924"/>
    <cellStyle name="常规 2 2 2 55 3 2" xfId="7671"/>
    <cellStyle name="常规 2 2 2 55 4" xfId="23926"/>
    <cellStyle name="常规 2 2 2 56" xfId="23928"/>
    <cellStyle name="常规 2 2 2 56 2" xfId="22934"/>
    <cellStyle name="常规 2 2 2 56 2 2" xfId="300"/>
    <cellStyle name="常规 2 2 2 56 3" xfId="23931"/>
    <cellStyle name="常规 2 2 2 56 3 2" xfId="23933"/>
    <cellStyle name="常规 2 2 2 56 4" xfId="23936"/>
    <cellStyle name="常规 2 2 2 57" xfId="23938"/>
    <cellStyle name="常规 2 2 2 57 2" xfId="23940"/>
    <cellStyle name="常规 2 2 2 57 2 2" xfId="23942"/>
    <cellStyle name="常规 2 2 2 57 3" xfId="23944"/>
    <cellStyle name="常规 2 2 2 57 3 2" xfId="23946"/>
    <cellStyle name="常规 2 2 2 57 4" xfId="23948"/>
    <cellStyle name="常规 2 2 2 58" xfId="23950"/>
    <cellStyle name="常规 2 2 2 58 2" xfId="23952"/>
    <cellStyle name="常规 2 2 2 58 2 2" xfId="23954"/>
    <cellStyle name="常规 2 2 2 58 3" xfId="23956"/>
    <cellStyle name="常规 2 2 2 58 3 2" xfId="23958"/>
    <cellStyle name="常规 2 2 2 58 4" xfId="23960"/>
    <cellStyle name="常规 2 2 2 59" xfId="23963"/>
    <cellStyle name="常规 2 2 2 59 2" xfId="23965"/>
    <cellStyle name="常规 2 2 2 59 2 2" xfId="23967"/>
    <cellStyle name="常规 2 2 2 59 3" xfId="23969"/>
    <cellStyle name="常规 2 2 2 59 3 2" xfId="23971"/>
    <cellStyle name="常规 2 2 2 59 4" xfId="23973"/>
    <cellStyle name="常规 2 2 2 6" xfId="23976"/>
    <cellStyle name="常规 2 2 2 6 10" xfId="23978"/>
    <cellStyle name="常规 2 2 2 6 11" xfId="23979"/>
    <cellStyle name="常规 2 2 2 6 12" xfId="849"/>
    <cellStyle name="常规 2 2 2 6 13" xfId="854"/>
    <cellStyle name="常规 2 2 2 6 14" xfId="859"/>
    <cellStyle name="常规 2 2 2 6 15" xfId="3793"/>
    <cellStyle name="常规 2 2 2 6 16" xfId="7213"/>
    <cellStyle name="常规 2 2 2 6 2" xfId="23980"/>
    <cellStyle name="常规 2 2 2 6 3" xfId="23289"/>
    <cellStyle name="常规 2 2 2 6 4" xfId="23325"/>
    <cellStyle name="常规 2 2 2 6 5" xfId="13385"/>
    <cellStyle name="常规 2 2 2 6 6" xfId="23399"/>
    <cellStyle name="常规 2 2 2 6 7" xfId="23447"/>
    <cellStyle name="常规 2 2 2 6 8" xfId="18176"/>
    <cellStyle name="常规 2 2 2 6 9" xfId="18182"/>
    <cellStyle name="常规 2 2 2 60" xfId="23920"/>
    <cellStyle name="常规 2 2 2 60 2" xfId="23923"/>
    <cellStyle name="常规 2 2 2 60 2 2" xfId="7587"/>
    <cellStyle name="常规 2 2 2 60 3" xfId="23925"/>
    <cellStyle name="常规 2 2 2 60 3 2" xfId="7672"/>
    <cellStyle name="常规 2 2 2 60 4" xfId="23927"/>
    <cellStyle name="常规 2 2 2 61" xfId="23929"/>
    <cellStyle name="常规 2 2 2 61 2" xfId="22935"/>
    <cellStyle name="常规 2 2 2 61 2 2" xfId="301"/>
    <cellStyle name="常规 2 2 2 61 3" xfId="23932"/>
    <cellStyle name="常规 2 2 2 61 3 2" xfId="23934"/>
    <cellStyle name="常规 2 2 2 61 4" xfId="23937"/>
    <cellStyle name="常规 2 2 2 62" xfId="23939"/>
    <cellStyle name="常规 2 2 2 62 2" xfId="23941"/>
    <cellStyle name="常规 2 2 2 62 2 2" xfId="23943"/>
    <cellStyle name="常规 2 2 2 62 3" xfId="23945"/>
    <cellStyle name="常规 2 2 2 62 3 2" xfId="23947"/>
    <cellStyle name="常规 2 2 2 62 4" xfId="23949"/>
    <cellStyle name="常规 2 2 2 63" xfId="23951"/>
    <cellStyle name="常规 2 2 2 63 2" xfId="23953"/>
    <cellStyle name="常规 2 2 2 63 2 2" xfId="23955"/>
    <cellStyle name="常规 2 2 2 63 3" xfId="23957"/>
    <cellStyle name="常规 2 2 2 63 3 2" xfId="23959"/>
    <cellStyle name="常规 2 2 2 63 4" xfId="23961"/>
    <cellStyle name="常规 2 2 2 64" xfId="23964"/>
    <cellStyle name="常规 2 2 2 7" xfId="23982"/>
    <cellStyle name="常规 2 2 2 7 10" xfId="12275"/>
    <cellStyle name="常规 2 2 2 7 11" xfId="12278"/>
    <cellStyle name="常规 2 2 2 7 12" xfId="23984"/>
    <cellStyle name="常规 2 2 2 7 13" xfId="12616"/>
    <cellStyle name="常规 2 2 2 7 14" xfId="1795"/>
    <cellStyle name="常规 2 2 2 7 15" xfId="12621"/>
    <cellStyle name="常规 2 2 2 7 16" xfId="23986"/>
    <cellStyle name="常规 2 2 2 7 2" xfId="23990"/>
    <cellStyle name="常规 2 2 2 7 3" xfId="23993"/>
    <cellStyle name="常规 2 2 2 7 4" xfId="21641"/>
    <cellStyle name="常规 2 2 2 7 5" xfId="13391"/>
    <cellStyle name="常规 2 2 2 7 6" xfId="14938"/>
    <cellStyle name="常规 2 2 2 7 7" xfId="21659"/>
    <cellStyle name="常规 2 2 2 7 8" xfId="21669"/>
    <cellStyle name="常规 2 2 2 7 9" xfId="23997"/>
    <cellStyle name="常规 2 2 2 8" xfId="23999"/>
    <cellStyle name="常规 2 2 2 8 10" xfId="3101"/>
    <cellStyle name="常规 2 2 2 8 11" xfId="3110"/>
    <cellStyle name="常规 2 2 2 8 12" xfId="3124"/>
    <cellStyle name="常规 2 2 2 8 13" xfId="24000"/>
    <cellStyle name="常规 2 2 2 8 14" xfId="24002"/>
    <cellStyle name="常规 2 2 2 8 15" xfId="4814"/>
    <cellStyle name="常规 2 2 2 8 16" xfId="4818"/>
    <cellStyle name="常规 2 2 2 8 2" xfId="24004"/>
    <cellStyle name="常规 2 2 2 8 3" xfId="24006"/>
    <cellStyle name="常规 2 2 2 8 4" xfId="24007"/>
    <cellStyle name="常规 2 2 2 8 5" xfId="13397"/>
    <cellStyle name="常规 2 2 2 8 6" xfId="14944"/>
    <cellStyle name="常规 2 2 2 8 7" xfId="20199"/>
    <cellStyle name="常规 2 2 2 8 8" xfId="24009"/>
    <cellStyle name="常规 2 2 2 8 9" xfId="24011"/>
    <cellStyle name="常规 2 2 2 9" xfId="16529"/>
    <cellStyle name="常规 2 2 2 9 10" xfId="24012"/>
    <cellStyle name="常规 2 2 2 9 11" xfId="24014"/>
    <cellStyle name="常规 2 2 2 9 12" xfId="24015"/>
    <cellStyle name="常规 2 2 2 9 13" xfId="24016"/>
    <cellStyle name="常规 2 2 2 9 14" xfId="24017"/>
    <cellStyle name="常规 2 2 2 9 15" xfId="24018"/>
    <cellStyle name="常规 2 2 2 9 16" xfId="24019"/>
    <cellStyle name="常规 2 2 2 9 2" xfId="22342"/>
    <cellStyle name="常规 2 2 2 9 3" xfId="22568"/>
    <cellStyle name="常规 2 2 2 9 4" xfId="22571"/>
    <cellStyle name="常规 2 2 2 9 5" xfId="13841"/>
    <cellStyle name="常规 2 2 2 9 6" xfId="14951"/>
    <cellStyle name="常规 2 2 2 9 7" xfId="24021"/>
    <cellStyle name="常规 2 2 2 9 8" xfId="24023"/>
    <cellStyle name="常规 2 2 2 9 9" xfId="24025"/>
    <cellStyle name="常规 2 2 2_12#A、B、C户型云浮二期样板房装修20111028" xfId="14531"/>
    <cellStyle name="常规 2 2 20" xfId="23661"/>
    <cellStyle name="常规 2 2 20 2" xfId="15578"/>
    <cellStyle name="常规 2 2 20 3" xfId="23663"/>
    <cellStyle name="常规 2 2 21" xfId="23665"/>
    <cellStyle name="常规 2 2 21 2" xfId="15779"/>
    <cellStyle name="常规 2 2 21 3" xfId="23667"/>
    <cellStyle name="常规 2 2 22" xfId="23669"/>
    <cellStyle name="常规 2 2 22 2" xfId="15900"/>
    <cellStyle name="常规 2 2 22 3" xfId="23673"/>
    <cellStyle name="常规 2 2 23" xfId="23675"/>
    <cellStyle name="常规 2 2 23 2" xfId="23677"/>
    <cellStyle name="常规 2 2 23 3" xfId="23679"/>
    <cellStyle name="常规 2 2 24" xfId="23682"/>
    <cellStyle name="常规 2 2 24 2" xfId="23684"/>
    <cellStyle name="常规 2 2 24 3" xfId="23686"/>
    <cellStyle name="常规 2 2 25" xfId="24027"/>
    <cellStyle name="常规 2 2 25 2" xfId="10994"/>
    <cellStyle name="常规 2 2 25 3" xfId="10999"/>
    <cellStyle name="常规 2 2 26" xfId="24029"/>
    <cellStyle name="常规 2 2 26 2" xfId="11009"/>
    <cellStyle name="常规 2 2 26 3" xfId="11013"/>
    <cellStyle name="常规 2 2 27" xfId="24031"/>
    <cellStyle name="常规 2 2 27 2" xfId="11022"/>
    <cellStyle name="常规 2 2 27 3" xfId="11026"/>
    <cellStyle name="常规 2 2 28" xfId="24033"/>
    <cellStyle name="常规 2 2 28 2" xfId="11033"/>
    <cellStyle name="常规 2 2 29" xfId="20745"/>
    <cellStyle name="常规 2 2 29 2" xfId="24035"/>
    <cellStyle name="常规 2 2 3" xfId="6181"/>
    <cellStyle name="常规 2 2 3 10" xfId="4748"/>
    <cellStyle name="常规 2 2 3 10 10" xfId="11653"/>
    <cellStyle name="常规 2 2 3 10 11" xfId="11655"/>
    <cellStyle name="常规 2 2 3 10 12" xfId="16731"/>
    <cellStyle name="常规 2 2 3 10 13" xfId="24037"/>
    <cellStyle name="常规 2 2 3 10 14" xfId="24038"/>
    <cellStyle name="常规 2 2 3 10 15" xfId="22553"/>
    <cellStyle name="常规 2 2 3 10 16" xfId="24039"/>
    <cellStyle name="常规 2 2 3 10 17" xfId="18033"/>
    <cellStyle name="常规 2 2 3 10 2" xfId="24040"/>
    <cellStyle name="常规 2 2 3 10 2 2" xfId="24041"/>
    <cellStyle name="常规 2 2 3 10 2 3" xfId="24042"/>
    <cellStyle name="常规 2 2 3 10 3" xfId="24043"/>
    <cellStyle name="常规 2 2 3 10 3 2" xfId="24045"/>
    <cellStyle name="常规 2 2 3 10 3 3" xfId="24046"/>
    <cellStyle name="常规 2 2 3 10 4" xfId="24047"/>
    <cellStyle name="常规 2 2 3 10 4 2" xfId="24049"/>
    <cellStyle name="常规 2 2 3 10 4 3" xfId="24050"/>
    <cellStyle name="常规 2 2 3 10 5" xfId="24051"/>
    <cellStyle name="常规 2 2 3 10 6" xfId="24052"/>
    <cellStyle name="常规 2 2 3 10 7" xfId="24053"/>
    <cellStyle name="常规 2 2 3 10 8" xfId="18022"/>
    <cellStyle name="常规 2 2 3 10 9" xfId="18024"/>
    <cellStyle name="常规 2 2 3 11" xfId="24054"/>
    <cellStyle name="常规 2 2 3 11 10" xfId="23183"/>
    <cellStyle name="常规 2 2 3 11 11" xfId="23185"/>
    <cellStyle name="常规 2 2 3 11 12" xfId="23187"/>
    <cellStyle name="常规 2 2 3 11 13" xfId="24055"/>
    <cellStyle name="常规 2 2 3 11 14" xfId="8889"/>
    <cellStyle name="常规 2 2 3 11 15" xfId="153"/>
    <cellStyle name="常规 2 2 3 11 16" xfId="166"/>
    <cellStyle name="常规 2 2 3 11 17" xfId="184"/>
    <cellStyle name="常规 2 2 3 11 2" xfId="24056"/>
    <cellStyle name="常规 2 2 3 11 2 2" xfId="24057"/>
    <cellStyle name="常规 2 2 3 11 2 3" xfId="24058"/>
    <cellStyle name="常规 2 2 3 11 3" xfId="3231"/>
    <cellStyle name="常规 2 2 3 11 3 2" xfId="3233"/>
    <cellStyle name="常规 2 2 3 11 3 3" xfId="24059"/>
    <cellStyle name="常规 2 2 3 11 4" xfId="3235"/>
    <cellStyle name="常规 2 2 3 11 4 2" xfId="3238"/>
    <cellStyle name="常规 2 2 3 11 4 3" xfId="13710"/>
    <cellStyle name="常规 2 2 3 11 5" xfId="3240"/>
    <cellStyle name="常规 2 2 3 11 6" xfId="2666"/>
    <cellStyle name="常规 2 2 3 11 7" xfId="24060"/>
    <cellStyle name="常规 2 2 3 11 8" xfId="24061"/>
    <cellStyle name="常规 2 2 3 11 9" xfId="24062"/>
    <cellStyle name="常规 2 2 3 12" xfId="24063"/>
    <cellStyle name="常规 2 2 3 12 10" xfId="1199"/>
    <cellStyle name="常规 2 2 3 12 11" xfId="17508"/>
    <cellStyle name="常规 2 2 3 12 12" xfId="18864"/>
    <cellStyle name="常规 2 2 3 12 13" xfId="23239"/>
    <cellStyle name="常规 2 2 3 12 14" xfId="23241"/>
    <cellStyle name="常规 2 2 3 12 15" xfId="24064"/>
    <cellStyle name="常规 2 2 3 12 16" xfId="24065"/>
    <cellStyle name="常规 2 2 3 12 17" xfId="24066"/>
    <cellStyle name="常规 2 2 3 12 2" xfId="20081"/>
    <cellStyle name="常规 2 2 3 12 3" xfId="3243"/>
    <cellStyle name="常规 2 2 3 12 4" xfId="3248"/>
    <cellStyle name="常规 2 2 3 12 5" xfId="3252"/>
    <cellStyle name="常规 2 2 3 12 6" xfId="24068"/>
    <cellStyle name="常规 2 2 3 12 7" xfId="24069"/>
    <cellStyle name="常规 2 2 3 12 8" xfId="20717"/>
    <cellStyle name="常规 2 2 3 12 9" xfId="24070"/>
    <cellStyle name="常规 2 2 3 13" xfId="24071"/>
    <cellStyle name="常规 2 2 3 13 2" xfId="24072"/>
    <cellStyle name="常规 2 2 3 13 2 2" xfId="24073"/>
    <cellStyle name="常规 2 2 3 13 3" xfId="3256"/>
    <cellStyle name="常规 2 2 3 13 4" xfId="24074"/>
    <cellStyle name="常规 2 2 3 14" xfId="24076"/>
    <cellStyle name="常规 2 2 3 14 2" xfId="24078"/>
    <cellStyle name="常规 2 2 3 14 3" xfId="24080"/>
    <cellStyle name="常规 2 2 3 15" xfId="24081"/>
    <cellStyle name="常规 2 2 3 15 2" xfId="24083"/>
    <cellStyle name="常规 2 2 3 15 3" xfId="24086"/>
    <cellStyle name="常规 2 2 3 16" xfId="9023"/>
    <cellStyle name="常规 2 2 3 16 2" xfId="24088"/>
    <cellStyle name="常规 2 2 3 16 3" xfId="24091"/>
    <cellStyle name="常规 2 2 3 17" xfId="5238"/>
    <cellStyle name="常规 2 2 3 17 2" xfId="2506"/>
    <cellStyle name="常规 2 2 3 17 3" xfId="2517"/>
    <cellStyle name="常规 2 2 3 18" xfId="5243"/>
    <cellStyle name="常规 2 2 3 18 2" xfId="2538"/>
    <cellStyle name="常规 2 2 3 18 3" xfId="5247"/>
    <cellStyle name="常规 2 2 3 19" xfId="5257"/>
    <cellStyle name="常规 2 2 3 19 2" xfId="5262"/>
    <cellStyle name="常规 2 2 3 19 3" xfId="24093"/>
    <cellStyle name="常规 2 2 3 2" xfId="7204"/>
    <cellStyle name="常规 2 2 3 2 10" xfId="12482"/>
    <cellStyle name="常规 2 2 3 2 10 10" xfId="24097"/>
    <cellStyle name="常规 2 2 3 2 10 11" xfId="24100"/>
    <cellStyle name="常规 2 2 3 2 10 12" xfId="24102"/>
    <cellStyle name="常规 2 2 3 2 10 13" xfId="24103"/>
    <cellStyle name="常规 2 2 3 2 10 14" xfId="24104"/>
    <cellStyle name="常规 2 2 3 2 10 15" xfId="2111"/>
    <cellStyle name="常规 2 2 3 2 10 16" xfId="4309"/>
    <cellStyle name="常规 2 2 3 2 10 17" xfId="4312"/>
    <cellStyle name="常规 2 2 3 2 10 2" xfId="15729"/>
    <cellStyle name="常规 2 2 3 2 10 3" xfId="24107"/>
    <cellStyle name="常规 2 2 3 2 10 4" xfId="24110"/>
    <cellStyle name="常规 2 2 3 2 10 5" xfId="151"/>
    <cellStyle name="常规 2 2 3 2 10 6" xfId="164"/>
    <cellStyle name="常规 2 2 3 2 10 7" xfId="20154"/>
    <cellStyle name="常规 2 2 3 2 10 8" xfId="9059"/>
    <cellStyle name="常规 2 2 3 2 10 9" xfId="9071"/>
    <cellStyle name="常规 2 2 3 2 11" xfId="15731"/>
    <cellStyle name="常规 2 2 3 2 11 10" xfId="21947"/>
    <cellStyle name="常规 2 2 3 2 11 11" xfId="22285"/>
    <cellStyle name="常规 2 2 3 2 11 12" xfId="14205"/>
    <cellStyle name="常规 2 2 3 2 11 13" xfId="24112"/>
    <cellStyle name="常规 2 2 3 2 11 14" xfId="24113"/>
    <cellStyle name="常规 2 2 3 2 11 15" xfId="24114"/>
    <cellStyle name="常规 2 2 3 2 11 16" xfId="24116"/>
    <cellStyle name="常规 2 2 3 2 11 17" xfId="24117"/>
    <cellStyle name="常规 2 2 3 2 11 2" xfId="15733"/>
    <cellStyle name="常规 2 2 3 2 11 3" xfId="24119"/>
    <cellStyle name="常规 2 2 3 2 11 4" xfId="24121"/>
    <cellStyle name="常规 2 2 3 2 11 5" xfId="1407"/>
    <cellStyle name="常规 2 2 3 2 11 6" xfId="24122"/>
    <cellStyle name="常规 2 2 3 2 11 7" xfId="24123"/>
    <cellStyle name="常规 2 2 3 2 11 8" xfId="9086"/>
    <cellStyle name="常规 2 2 3 2 11 9" xfId="9089"/>
    <cellStyle name="常规 2 2 3 2 12" xfId="15735"/>
    <cellStyle name="常规 2 2 3 2 12 2" xfId="24124"/>
    <cellStyle name="常规 2 2 3 2 12 3" xfId="24126"/>
    <cellStyle name="常规 2 2 3 2 13" xfId="24128"/>
    <cellStyle name="常规 2 2 3 2 13 2" xfId="24130"/>
    <cellStyle name="常规 2 2 3 2 13 3" xfId="24133"/>
    <cellStyle name="常规 2 2 3 2 14" xfId="24135"/>
    <cellStyle name="常规 2 2 3 2 14 2" xfId="23371"/>
    <cellStyle name="常规 2 2 3 2 14 3" xfId="23376"/>
    <cellStyle name="常规 2 2 3 2 15" xfId="24137"/>
    <cellStyle name="常规 2 2 3 2 15 2" xfId="24140"/>
    <cellStyle name="常规 2 2 3 2 15 3" xfId="24144"/>
    <cellStyle name="常规 2 2 3 2 16" xfId="24147"/>
    <cellStyle name="常规 2 2 3 2 16 2" xfId="24149"/>
    <cellStyle name="常规 2 2 3 2 16 3" xfId="24152"/>
    <cellStyle name="常规 2 2 3 2 17" xfId="24156"/>
    <cellStyle name="常规 2 2 3 2 17 2" xfId="24158"/>
    <cellStyle name="常规 2 2 3 2 17 3" xfId="24160"/>
    <cellStyle name="常规 2 2 3 2 18" xfId="24164"/>
    <cellStyle name="常规 2 2 3 2 18 2" xfId="24166"/>
    <cellStyle name="常规 2 2 3 2 18 3" xfId="24168"/>
    <cellStyle name="常规 2 2 3 2 19" xfId="24172"/>
    <cellStyle name="常规 2 2 3 2 19 2" xfId="9599"/>
    <cellStyle name="常规 2 2 3 2 19 3" xfId="23403"/>
    <cellStyle name="常规 2 2 3 2 2" xfId="24178"/>
    <cellStyle name="常规 2 2 3 2 2 10" xfId="24179"/>
    <cellStyle name="常规 2 2 3 2 2 11" xfId="24180"/>
    <cellStyle name="常规 2 2 3 2 2 12" xfId="24181"/>
    <cellStyle name="常规 2 2 3 2 2 13" xfId="24182"/>
    <cellStyle name="常规 2 2 3 2 2 14" xfId="24183"/>
    <cellStyle name="常规 2 2 3 2 2 15" xfId="24184"/>
    <cellStyle name="常规 2 2 3 2 2 16" xfId="24185"/>
    <cellStyle name="常规 2 2 3 2 2 17" xfId="24186"/>
    <cellStyle name="常规 2 2 3 2 2 18" xfId="24188"/>
    <cellStyle name="常规 2 2 3 2 2 2" xfId="24193"/>
    <cellStyle name="常规 2 2 3 2 2 3" xfId="24196"/>
    <cellStyle name="常规 2 2 3 2 2 4" xfId="24200"/>
    <cellStyle name="常规 2 2 3 2 2 5" xfId="24201"/>
    <cellStyle name="常规 2 2 3 2 2 6" xfId="24202"/>
    <cellStyle name="常规 2 2 3 2 2 7" xfId="24203"/>
    <cellStyle name="常规 2 2 3 2 2 8" xfId="17427"/>
    <cellStyle name="常规 2 2 3 2 2 9" xfId="17430"/>
    <cellStyle name="常规 2 2 3 2 20" xfId="24138"/>
    <cellStyle name="常规 2 2 3 2 20 2" xfId="24141"/>
    <cellStyle name="常规 2 2 3 2 20 3" xfId="24145"/>
    <cellStyle name="常规 2 2 3 2 21" xfId="24148"/>
    <cellStyle name="常规 2 2 3 2 21 2" xfId="24150"/>
    <cellStyle name="常规 2 2 3 2 21 3" xfId="24153"/>
    <cellStyle name="常规 2 2 3 2 22" xfId="24157"/>
    <cellStyle name="常规 2 2 3 2 22 2" xfId="24159"/>
    <cellStyle name="常规 2 2 3 2 22 3" xfId="24161"/>
    <cellStyle name="常规 2 2 3 2 23" xfId="24165"/>
    <cellStyle name="常规 2 2 3 2 23 2" xfId="24167"/>
    <cellStyle name="常规 2 2 3 2 23 3" xfId="24169"/>
    <cellStyle name="常规 2 2 3 2 24" xfId="24173"/>
    <cellStyle name="常规 2 2 3 2 24 2" xfId="9600"/>
    <cellStyle name="常规 2 2 3 2 24 3" xfId="23404"/>
    <cellStyle name="常规 2 2 3 2 25" xfId="24205"/>
    <cellStyle name="常规 2 2 3 2 25 2" xfId="24208"/>
    <cellStyle name="常规 2 2 3 2 25 3" xfId="24212"/>
    <cellStyle name="常规 2 2 3 2 26" xfId="24214"/>
    <cellStyle name="常规 2 2 3 2 26 2" xfId="24217"/>
    <cellStyle name="常规 2 2 3 2 27" xfId="24222"/>
    <cellStyle name="常规 2 2 3 2 27 2" xfId="24224"/>
    <cellStyle name="常规 2 2 3 2 28" xfId="24227"/>
    <cellStyle name="常规 2 2 3 2 28 2" xfId="24229"/>
    <cellStyle name="常规 2 2 3 2 29" xfId="24232"/>
    <cellStyle name="常规 2 2 3 2 29 2" xfId="23453"/>
    <cellStyle name="常规 2 2 3 2 3" xfId="15031"/>
    <cellStyle name="常规 2 2 3 2 3 10" xfId="24234"/>
    <cellStyle name="常规 2 2 3 2 3 11" xfId="24235"/>
    <cellStyle name="常规 2 2 3 2 3 12" xfId="24236"/>
    <cellStyle name="常规 2 2 3 2 3 13" xfId="24237"/>
    <cellStyle name="常规 2 2 3 2 3 14" xfId="11143"/>
    <cellStyle name="常规 2 2 3 2 3 15" xfId="11146"/>
    <cellStyle name="常规 2 2 3 2 3 16" xfId="11149"/>
    <cellStyle name="常规 2 2 3 2 3 2" xfId="24242"/>
    <cellStyle name="常规 2 2 3 2 3 3" xfId="16191"/>
    <cellStyle name="常规 2 2 3 2 3 4" xfId="24244"/>
    <cellStyle name="常规 2 2 3 2 3 5" xfId="24245"/>
    <cellStyle name="常规 2 2 3 2 3 6" xfId="21442"/>
    <cellStyle name="常规 2 2 3 2 3 7" xfId="21445"/>
    <cellStyle name="常规 2 2 3 2 3 8" xfId="5226"/>
    <cellStyle name="常规 2 2 3 2 3 9" xfId="21450"/>
    <cellStyle name="常规 2 2 3 2 30" xfId="24206"/>
    <cellStyle name="常规 2 2 3 2 30 2" xfId="24209"/>
    <cellStyle name="常规 2 2 3 2 31" xfId="24215"/>
    <cellStyle name="常规 2 2 3 2 31 2" xfId="24218"/>
    <cellStyle name="常规 2 2 3 2 32" xfId="24223"/>
    <cellStyle name="常规 2 2 3 2 32 2" xfId="24225"/>
    <cellStyle name="常规 2 2 3 2 33" xfId="24228"/>
    <cellStyle name="常规 2 2 3 2 33 2" xfId="24230"/>
    <cellStyle name="常规 2 2 3 2 34" xfId="24233"/>
    <cellStyle name="常规 2 2 3 2 34 2" xfId="23454"/>
    <cellStyle name="常规 2 2 3 2 35" xfId="24246"/>
    <cellStyle name="常规 2 2 3 2 35 2" xfId="22634"/>
    <cellStyle name="常规 2 2 3 2 36" xfId="24248"/>
    <cellStyle name="常规 2 2 3 2 36 2" xfId="20099"/>
    <cellStyle name="常规 2 2 3 2 36 2 2" xfId="20103"/>
    <cellStyle name="常规 2 2 3 2 36 3" xfId="13719"/>
    <cellStyle name="常规 2 2 3 2 36 3 2" xfId="24250"/>
    <cellStyle name="常规 2 2 3 2 36 4" xfId="13581"/>
    <cellStyle name="常规 2 2 3 2 37" xfId="24251"/>
    <cellStyle name="常规 2 2 3 2 37 2" xfId="24253"/>
    <cellStyle name="常规 2 2 3 2 37 2 2" xfId="24256"/>
    <cellStyle name="常规 2 2 3 2 37 3" xfId="13723"/>
    <cellStyle name="常规 2 2 3 2 37 3 2" xfId="24257"/>
    <cellStyle name="常规 2 2 3 2 37 4" xfId="13587"/>
    <cellStyle name="常规 2 2 3 2 38" xfId="24260"/>
    <cellStyle name="常规 2 2 3 2 38 2" xfId="24262"/>
    <cellStyle name="常规 2 2 3 2 38 2 2" xfId="24264"/>
    <cellStyle name="常规 2 2 3 2 38 3" xfId="16605"/>
    <cellStyle name="常规 2 2 3 2 38 3 2" xfId="24265"/>
    <cellStyle name="常规 2 2 3 2 38 4" xfId="24266"/>
    <cellStyle name="常规 2 2 3 2 39" xfId="24267"/>
    <cellStyle name="常规 2 2 3 2 39 2" xfId="23485"/>
    <cellStyle name="常规 2 2 3 2 4" xfId="14843"/>
    <cellStyle name="常规 2 2 3 2 4 10" xfId="9102"/>
    <cellStyle name="常规 2 2 3 2 4 11" xfId="24269"/>
    <cellStyle name="常规 2 2 3 2 4 12" xfId="24270"/>
    <cellStyle name="常规 2 2 3 2 4 13" xfId="24273"/>
    <cellStyle name="常规 2 2 3 2 4 14" xfId="24275"/>
    <cellStyle name="常规 2 2 3 2 4 15" xfId="24277"/>
    <cellStyle name="常规 2 2 3 2 4 16" xfId="24279"/>
    <cellStyle name="常规 2 2 3 2 4 2" xfId="24282"/>
    <cellStyle name="常规 2 2 3 2 4 3" xfId="16195"/>
    <cellStyle name="常规 2 2 3 2 4 4" xfId="19082"/>
    <cellStyle name="常规 2 2 3 2 4 5" xfId="19085"/>
    <cellStyle name="常规 2 2 3 2 4 6" xfId="19088"/>
    <cellStyle name="常规 2 2 3 2 4 7" xfId="9920"/>
    <cellStyle name="常规 2 2 3 2 4 8" xfId="4062"/>
    <cellStyle name="常规 2 2 3 2 4 9" xfId="8364"/>
    <cellStyle name="常规 2 2 3 2 40" xfId="24247"/>
    <cellStyle name="常规 2 2 3 2 40 2" xfId="22635"/>
    <cellStyle name="常规 2 2 3 2 41" xfId="24249"/>
    <cellStyle name="常规 2 2 3 2 41 2" xfId="20100"/>
    <cellStyle name="常规 2 2 3 2 42" xfId="24252"/>
    <cellStyle name="常规 2 2 3 2 42 2" xfId="24254"/>
    <cellStyle name="常规 2 2 3 2 43" xfId="24261"/>
    <cellStyle name="常规 2 2 3 2 43 2" xfId="24263"/>
    <cellStyle name="常规 2 2 3 2 44" xfId="24268"/>
    <cellStyle name="常规 2 2 3 2 44 2" xfId="23486"/>
    <cellStyle name="常规 2 2 3 2 44 2 2" xfId="24283"/>
    <cellStyle name="常规 2 2 3 2 44 3" xfId="16611"/>
    <cellStyle name="常规 2 2 3 2 44 3 2" xfId="24284"/>
    <cellStyle name="常规 2 2 3 2 44 4" xfId="23490"/>
    <cellStyle name="常规 2 2 3 2 45" xfId="24285"/>
    <cellStyle name="常规 2 2 3 2 45 2" xfId="24288"/>
    <cellStyle name="常规 2 2 3 2 45 2 2" xfId="24291"/>
    <cellStyle name="常规 2 2 3 2 45 3" xfId="24294"/>
    <cellStyle name="常规 2 2 3 2 45 3 2" xfId="24296"/>
    <cellStyle name="常规 2 2 3 2 45 4" xfId="24299"/>
    <cellStyle name="常规 2 2 3 2 46" xfId="24301"/>
    <cellStyle name="常规 2 2 3 2 46 2" xfId="24303"/>
    <cellStyle name="常规 2 2 3 2 46 2 2" xfId="24306"/>
    <cellStyle name="常规 2 2 3 2 46 3" xfId="24308"/>
    <cellStyle name="常规 2 2 3 2 46 3 2" xfId="24310"/>
    <cellStyle name="常规 2 2 3 2 46 4" xfId="24312"/>
    <cellStyle name="常规 2 2 3 2 47" xfId="22475"/>
    <cellStyle name="常规 2 2 3 2 47 2" xfId="22478"/>
    <cellStyle name="常规 2 2 3 2 47 2 2" xfId="22482"/>
    <cellStyle name="常规 2 2 3 2 47 3" xfId="22487"/>
    <cellStyle name="常规 2 2 3 2 47 3 2" xfId="22490"/>
    <cellStyle name="常规 2 2 3 2 47 4" xfId="16959"/>
    <cellStyle name="常规 2 2 3 2 48" xfId="12485"/>
    <cellStyle name="常规 2 2 3 2 48 2" xfId="22496"/>
    <cellStyle name="常规 2 2 3 2 48 2 2" xfId="20478"/>
    <cellStyle name="常规 2 2 3 2 48 3" xfId="22499"/>
    <cellStyle name="常规 2 2 3 2 48 3 2" xfId="22503"/>
    <cellStyle name="常规 2 2 3 2 48 4" xfId="22506"/>
    <cellStyle name="常规 2 2 3 2 49" xfId="20892"/>
    <cellStyle name="常规 2 2 3 2 49 2" xfId="22512"/>
    <cellStyle name="常规 2 2 3 2 49 2 2" xfId="24220"/>
    <cellStyle name="常规 2 2 3 2 49 3" xfId="22736"/>
    <cellStyle name="常规 2 2 3 2 49 3 2" xfId="21607"/>
    <cellStyle name="常规 2 2 3 2 49 4" xfId="23524"/>
    <cellStyle name="常规 2 2 3 2 5" xfId="24316"/>
    <cellStyle name="常规 2 2 3 2 5 10" xfId="24317"/>
    <cellStyle name="常规 2 2 3 2 5 11" xfId="24318"/>
    <cellStyle name="常规 2 2 3 2 5 12" xfId="24319"/>
    <cellStyle name="常规 2 2 3 2 5 13" xfId="21886"/>
    <cellStyle name="常规 2 2 3 2 5 14" xfId="24323"/>
    <cellStyle name="常规 2 2 3 2 5 15" xfId="24327"/>
    <cellStyle name="常规 2 2 3 2 5 16" xfId="24331"/>
    <cellStyle name="常规 2 2 3 2 5 2" xfId="24333"/>
    <cellStyle name="常规 2 2 3 2 5 3" xfId="16199"/>
    <cellStyle name="常规 2 2 3 2 5 4" xfId="24335"/>
    <cellStyle name="常规 2 2 3 2 5 5" xfId="24336"/>
    <cellStyle name="常规 2 2 3 2 5 6" xfId="20332"/>
    <cellStyle name="常规 2 2 3 2 5 7" xfId="9930"/>
    <cellStyle name="常规 2 2 3 2 5 8" xfId="9935"/>
    <cellStyle name="常规 2 2 3 2 5 9" xfId="9942"/>
    <cellStyle name="常规 2 2 3 2 50" xfId="24286"/>
    <cellStyle name="常规 2 2 3 2 50 2" xfId="24289"/>
    <cellStyle name="常规 2 2 3 2 50 2 2" xfId="24292"/>
    <cellStyle name="常规 2 2 3 2 50 3" xfId="24295"/>
    <cellStyle name="常规 2 2 3 2 50 3 2" xfId="24297"/>
    <cellStyle name="常规 2 2 3 2 50 4" xfId="24300"/>
    <cellStyle name="常规 2 2 3 2 51" xfId="24302"/>
    <cellStyle name="常规 2 2 3 2 51 2" xfId="24304"/>
    <cellStyle name="常规 2 2 3 2 51 2 2" xfId="24307"/>
    <cellStyle name="常规 2 2 3 2 51 3" xfId="24309"/>
    <cellStyle name="常规 2 2 3 2 51 3 2" xfId="24311"/>
    <cellStyle name="常规 2 2 3 2 51 4" xfId="24313"/>
    <cellStyle name="常规 2 2 3 2 52" xfId="22476"/>
    <cellStyle name="常规 2 2 3 2 52 2" xfId="22479"/>
    <cellStyle name="常规 2 2 3 2 52 2 2" xfId="22483"/>
    <cellStyle name="常规 2 2 3 2 52 3" xfId="22488"/>
    <cellStyle name="常规 2 2 3 2 52 3 2" xfId="22491"/>
    <cellStyle name="常规 2 2 3 2 52 4" xfId="16960"/>
    <cellStyle name="常规 2 2 3 2 53" xfId="12486"/>
    <cellStyle name="常规 2 2 3 2 53 2" xfId="22497"/>
    <cellStyle name="常规 2 2 3 2 53 2 2" xfId="20479"/>
    <cellStyle name="常规 2 2 3 2 53 3" xfId="22500"/>
    <cellStyle name="常规 2 2 3 2 53 3 2" xfId="22504"/>
    <cellStyle name="常规 2 2 3 2 53 4" xfId="22507"/>
    <cellStyle name="常规 2 2 3 2 54" xfId="20893"/>
    <cellStyle name="常规 2 2 3 2 54 2" xfId="22513"/>
    <cellStyle name="常规 2 2 3 2 54 2 2" xfId="24221"/>
    <cellStyle name="常规 2 2 3 2 54 3" xfId="22737"/>
    <cellStyle name="常规 2 2 3 2 54 3 2" xfId="21608"/>
    <cellStyle name="常规 2 2 3 2 54 4" xfId="23525"/>
    <cellStyle name="常规 2 2 3 2 55" xfId="15739"/>
    <cellStyle name="常规 2 2 3 2 55 2" xfId="22516"/>
    <cellStyle name="常规 2 2 3 2 55 2 2" xfId="8778"/>
    <cellStyle name="常规 2 2 3 2 55 3" xfId="22742"/>
    <cellStyle name="常规 2 2 3 2 55 3 2" xfId="24337"/>
    <cellStyle name="常规 2 2 3 2 55 4" xfId="24340"/>
    <cellStyle name="常规 2 2 3 2 56" xfId="22519"/>
    <cellStyle name="常规 2 2 3 2 56 2" xfId="22522"/>
    <cellStyle name="常规 2 2 3 2 56 2 2" xfId="24342"/>
    <cellStyle name="常规 2 2 3 2 56 3" xfId="22746"/>
    <cellStyle name="常规 2 2 3 2 56 3 2" xfId="24344"/>
    <cellStyle name="常规 2 2 3 2 56 4" xfId="24346"/>
    <cellStyle name="常规 2 2 3 2 57" xfId="22525"/>
    <cellStyle name="常规 2 2 3 2 57 2" xfId="22528"/>
    <cellStyle name="常规 2 2 3 2 57 2 2" xfId="24348"/>
    <cellStyle name="常规 2 2 3 2 57 3" xfId="24350"/>
    <cellStyle name="常规 2 2 3 2 57 3 2" xfId="24352"/>
    <cellStyle name="常规 2 2 3 2 57 4" xfId="24354"/>
    <cellStyle name="常规 2 2 3 2 58" xfId="22531"/>
    <cellStyle name="常规 2 2 3 2 58 2" xfId="24356"/>
    <cellStyle name="常规 2 2 3 2 58 2 2" xfId="18988"/>
    <cellStyle name="常规 2 2 3 2 58 3" xfId="24358"/>
    <cellStyle name="常规 2 2 3 2 58 3 2" xfId="19003"/>
    <cellStyle name="常规 2 2 3 2 58 4" xfId="24360"/>
    <cellStyle name="常规 2 2 3 2 59" xfId="24363"/>
    <cellStyle name="常规 2 2 3 2 59 2" xfId="21177"/>
    <cellStyle name="常规 2 2 3 2 59 2 2" xfId="21179"/>
    <cellStyle name="常规 2 2 3 2 59 3" xfId="21185"/>
    <cellStyle name="常规 2 2 3 2 59 3 2" xfId="21186"/>
    <cellStyle name="常规 2 2 3 2 59 4" xfId="21188"/>
    <cellStyle name="常规 2 2 3 2 6" xfId="24366"/>
    <cellStyle name="常规 2 2 3 2 6 10" xfId="21380"/>
    <cellStyle name="常规 2 2 3 2 6 11" xfId="24367"/>
    <cellStyle name="常规 2 2 3 2 6 12" xfId="24368"/>
    <cellStyle name="常规 2 2 3 2 6 13" xfId="16405"/>
    <cellStyle name="常规 2 2 3 2 6 14" xfId="2832"/>
    <cellStyle name="常规 2 2 3 2 6 15" xfId="16413"/>
    <cellStyle name="常规 2 2 3 2 6 16" xfId="16417"/>
    <cellStyle name="常规 2 2 3 2 6 2" xfId="24371"/>
    <cellStyle name="常规 2 2 3 2 6 3" xfId="24375"/>
    <cellStyle name="常规 2 2 3 2 6 4" xfId="24378"/>
    <cellStyle name="常规 2 2 3 2 6 5" xfId="24380"/>
    <cellStyle name="常规 2 2 3 2 6 6" xfId="20340"/>
    <cellStyle name="常规 2 2 3 2 6 7" xfId="9947"/>
    <cellStyle name="常规 2 2 3 2 6 8" xfId="20346"/>
    <cellStyle name="常规 2 2 3 2 6 9" xfId="20349"/>
    <cellStyle name="常规 2 2 3 2 60" xfId="15740"/>
    <cellStyle name="常规 2 2 3 2 60 2" xfId="22517"/>
    <cellStyle name="常规 2 2 3 2 60 2 2" xfId="8779"/>
    <cellStyle name="常规 2 2 3 2 60 3" xfId="22743"/>
    <cellStyle name="常规 2 2 3 2 60 3 2" xfId="24338"/>
    <cellStyle name="常规 2 2 3 2 60 4" xfId="24341"/>
    <cellStyle name="常规 2 2 3 2 61" xfId="22520"/>
    <cellStyle name="常规 2 2 3 2 61 2" xfId="22523"/>
    <cellStyle name="常规 2 2 3 2 61 2 2" xfId="24343"/>
    <cellStyle name="常规 2 2 3 2 61 3" xfId="22747"/>
    <cellStyle name="常规 2 2 3 2 61 3 2" xfId="24345"/>
    <cellStyle name="常规 2 2 3 2 61 4" xfId="24347"/>
    <cellStyle name="常规 2 2 3 2 62" xfId="22526"/>
    <cellStyle name="常规 2 2 3 2 62 2" xfId="22529"/>
    <cellStyle name="常规 2 2 3 2 62 2 2" xfId="24349"/>
    <cellStyle name="常规 2 2 3 2 62 3" xfId="24351"/>
    <cellStyle name="常规 2 2 3 2 62 3 2" xfId="24353"/>
    <cellStyle name="常规 2 2 3 2 62 4" xfId="24355"/>
    <cellStyle name="常规 2 2 3 2 63" xfId="22532"/>
    <cellStyle name="常规 2 2 3 2 63 2" xfId="24357"/>
    <cellStyle name="常规 2 2 3 2 63 2 2" xfId="18989"/>
    <cellStyle name="常规 2 2 3 2 63 3" xfId="24359"/>
    <cellStyle name="常规 2 2 3 2 63 3 2" xfId="19004"/>
    <cellStyle name="常规 2 2 3 2 63 4" xfId="24361"/>
    <cellStyle name="常规 2 2 3 2 64" xfId="24364"/>
    <cellStyle name="常规 2 2 3 2 64 2" xfId="21178"/>
    <cellStyle name="常规 2 2 3 2 65" xfId="24381"/>
    <cellStyle name="常规 2 2 3 2 66" xfId="24382"/>
    <cellStyle name="常规 2 2 3 2 7" xfId="24384"/>
    <cellStyle name="常规 2 2 3 2 7 10" xfId="24385"/>
    <cellStyle name="常规 2 2 3 2 7 11" xfId="24386"/>
    <cellStyle name="常规 2 2 3 2 7 12" xfId="24387"/>
    <cellStyle name="常规 2 2 3 2 7 13" xfId="24388"/>
    <cellStyle name="常规 2 2 3 2 7 14" xfId="24389"/>
    <cellStyle name="常规 2 2 3 2 7 15" xfId="24393"/>
    <cellStyle name="常规 2 2 3 2 7 16" xfId="24395"/>
    <cellStyle name="常规 2 2 3 2 7 2" xfId="24397"/>
    <cellStyle name="常规 2 2 3 2 7 3" xfId="24400"/>
    <cellStyle name="常规 2 2 3 2 7 4" xfId="24403"/>
    <cellStyle name="常规 2 2 3 2 7 5" xfId="24405"/>
    <cellStyle name="常规 2 2 3 2 7 6" xfId="20353"/>
    <cellStyle name="常规 2 2 3 2 7 7" xfId="22837"/>
    <cellStyle name="常规 2 2 3 2 7 8" xfId="24406"/>
    <cellStyle name="常规 2 2 3 2 7 9" xfId="24407"/>
    <cellStyle name="常规 2 2 3 2 8" xfId="4559"/>
    <cellStyle name="常规 2 2 3 2 8 10" xfId="24408"/>
    <cellStyle name="常规 2 2 3 2 8 11" xfId="24409"/>
    <cellStyle name="常规 2 2 3 2 8 12" xfId="15326"/>
    <cellStyle name="常规 2 2 3 2 8 13" xfId="24410"/>
    <cellStyle name="常规 2 2 3 2 8 14" xfId="11309"/>
    <cellStyle name="常规 2 2 3 2 8 15" xfId="11312"/>
    <cellStyle name="常规 2 2 3 2 8 16" xfId="272"/>
    <cellStyle name="常规 2 2 3 2 8 17" xfId="16826"/>
    <cellStyle name="常规 2 2 3 2 8 2" xfId="24411"/>
    <cellStyle name="常规 2 2 3 2 8 3" xfId="24413"/>
    <cellStyle name="常规 2 2 3 2 8 4" xfId="24415"/>
    <cellStyle name="常规 2 2 3 2 8 5" xfId="24417"/>
    <cellStyle name="常规 2 2 3 2 8 6" xfId="20358"/>
    <cellStyle name="常规 2 2 3 2 8 7" xfId="22840"/>
    <cellStyle name="常规 2 2 3 2 8 8" xfId="24418"/>
    <cellStyle name="常规 2 2 3 2 8 9" xfId="24419"/>
    <cellStyle name="常规 2 2 3 2 9" xfId="24420"/>
    <cellStyle name="常规 2 2 3 2 9 10" xfId="68"/>
    <cellStyle name="常规 2 2 3 2 9 11" xfId="1349"/>
    <cellStyle name="常规 2 2 3 2 9 12" xfId="888"/>
    <cellStyle name="常规 2 2 3 2 9 13" xfId="24422"/>
    <cellStyle name="常规 2 2 3 2 9 14" xfId="24424"/>
    <cellStyle name="常规 2 2 3 2 9 15" xfId="24426"/>
    <cellStyle name="常规 2 2 3 2 9 16" xfId="24428"/>
    <cellStyle name="常规 2 2 3 2 9 17" xfId="13537"/>
    <cellStyle name="常规 2 2 3 2 9 2" xfId="24429"/>
    <cellStyle name="常规 2 2 3 2 9 3" xfId="24431"/>
    <cellStyle name="常规 2 2 3 2 9 4" xfId="24434"/>
    <cellStyle name="常规 2 2 3 2 9 5" xfId="4517"/>
    <cellStyle name="常规 2 2 3 2 9 6" xfId="20362"/>
    <cellStyle name="常规 2 2 3 2 9 7" xfId="22846"/>
    <cellStyle name="常规 2 2 3 2 9 8" xfId="20434"/>
    <cellStyle name="常规 2 2 3 2 9 9" xfId="24435"/>
    <cellStyle name="常规 2 2 3 2_集团版本-绿洲35-36、46-55#装修工程清单" xfId="10570"/>
    <cellStyle name="常规 2 2 3 20" xfId="24082"/>
    <cellStyle name="常规 2 2 3 20 2" xfId="24084"/>
    <cellStyle name="常规 2 2 3 20 2 2" xfId="24436"/>
    <cellStyle name="常规 2 2 3 20 3" xfId="24087"/>
    <cellStyle name="常规 2 2 3 20 3 2" xfId="24438"/>
    <cellStyle name="常规 2 2 3 20 4" xfId="2325"/>
    <cellStyle name="常规 2 2 3 20 4 2" xfId="24440"/>
    <cellStyle name="常规 2 2 3 20 5" xfId="24442"/>
    <cellStyle name="常规 2 2 3 20 6" xfId="13617"/>
    <cellStyle name="常规 2 2 3 21" xfId="9024"/>
    <cellStyle name="常规 2 2 3 21 2" xfId="24089"/>
    <cellStyle name="常规 2 2 3 21 2 2" xfId="24444"/>
    <cellStyle name="常规 2 2 3 21 3" xfId="24092"/>
    <cellStyle name="常规 2 2 3 21 3 2" xfId="24446"/>
    <cellStyle name="常规 2 2 3 21 4" xfId="11387"/>
    <cellStyle name="常规 2 2 3 21 4 2" xfId="24448"/>
    <cellStyle name="常规 2 2 3 21 5" xfId="24450"/>
    <cellStyle name="常规 2 2 3 21 6" xfId="24451"/>
    <cellStyle name="常规 2 2 3 22" xfId="5239"/>
    <cellStyle name="常规 2 2 3 22 2" xfId="2507"/>
    <cellStyle name="常规 2 2 3 22 2 2" xfId="2511"/>
    <cellStyle name="常规 2 2 3 22 3" xfId="2518"/>
    <cellStyle name="常规 2 2 3 22 3 2" xfId="3423"/>
    <cellStyle name="常规 2 2 3 22 4" xfId="5153"/>
    <cellStyle name="常规 2 2 3 22 4 2" xfId="3456"/>
    <cellStyle name="常规 2 2 3 22 5" xfId="5241"/>
    <cellStyle name="常规 2 2 3 22 6" xfId="24453"/>
    <cellStyle name="常规 2 2 3 23" xfId="5244"/>
    <cellStyle name="常规 2 2 3 23 2" xfId="2539"/>
    <cellStyle name="常规 2 2 3 23 3" xfId="5248"/>
    <cellStyle name="常规 2 2 3 24" xfId="5258"/>
    <cellStyle name="常规 2 2 3 24 2" xfId="5263"/>
    <cellStyle name="常规 2 2 3 24 2 2" xfId="24454"/>
    <cellStyle name="常规 2 2 3 24 3" xfId="24094"/>
    <cellStyle name="常规 2 2 3 24 3 2" xfId="24455"/>
    <cellStyle name="常规 2 2 3 24 4" xfId="24456"/>
    <cellStyle name="常规 2 2 3 24 5" xfId="24457"/>
    <cellStyle name="常规 2 2 3 25" xfId="5265"/>
    <cellStyle name="常规 2 2 3 25 2" xfId="24458"/>
    <cellStyle name="常规 2 2 3 25 2 2" xfId="24460"/>
    <cellStyle name="常规 2 2 3 25 3" xfId="24462"/>
    <cellStyle name="常规 2 2 3 25 3 2" xfId="24464"/>
    <cellStyle name="常规 2 2 3 25 4" xfId="24466"/>
    <cellStyle name="常规 2 2 3 25 5" xfId="24468"/>
    <cellStyle name="常规 2 2 3 26" xfId="1743"/>
    <cellStyle name="常规 2 2 3 26 2" xfId="24470"/>
    <cellStyle name="常规 2 2 3 26 2 2" xfId="24472"/>
    <cellStyle name="常规 2 2 3 26 3" xfId="24474"/>
    <cellStyle name="常规 2 2 3 26 3 2" xfId="15312"/>
    <cellStyle name="常规 2 2 3 26 4" xfId="24476"/>
    <cellStyle name="常规 2 2 3 26 5" xfId="24478"/>
    <cellStyle name="常规 2 2 3 27" xfId="24479"/>
    <cellStyle name="常规 2 2 3 27 2" xfId="24481"/>
    <cellStyle name="常规 2 2 3 27 2 2" xfId="24483"/>
    <cellStyle name="常规 2 2 3 27 3" xfId="24485"/>
    <cellStyle name="常规 2 2 3 27 3 2" xfId="15647"/>
    <cellStyle name="常规 2 2 3 27 4" xfId="24487"/>
    <cellStyle name="常规 2 2 3 28" xfId="24489"/>
    <cellStyle name="常规 2 2 3 28 2" xfId="24491"/>
    <cellStyle name="常规 2 2 3 28 2 2" xfId="23702"/>
    <cellStyle name="常规 2 2 3 28 3" xfId="24493"/>
    <cellStyle name="常规 2 2 3 28 3 2" xfId="24495"/>
    <cellStyle name="常规 2 2 3 28 4" xfId="24497"/>
    <cellStyle name="常规 2 2 3 29" xfId="24499"/>
    <cellStyle name="常规 2 2 3 29 2" xfId="24501"/>
    <cellStyle name="常规 2 2 3 29 2 2" xfId="1003"/>
    <cellStyle name="常规 2 2 3 29 3" xfId="24503"/>
    <cellStyle name="常规 2 2 3 29 3 2" xfId="24505"/>
    <cellStyle name="常规 2 2 3 29 4" xfId="1612"/>
    <cellStyle name="常规 2 2 3 3" xfId="24509"/>
    <cellStyle name="常规 2 2 3 3 10" xfId="24510"/>
    <cellStyle name="常规 2 2 3 3 11" xfId="24511"/>
    <cellStyle name="常规 2 2 3 3 12" xfId="8261"/>
    <cellStyle name="常规 2 2 3 3 13" xfId="24512"/>
    <cellStyle name="常规 2 2 3 3 14" xfId="24513"/>
    <cellStyle name="常规 2 2 3 3 15" xfId="4121"/>
    <cellStyle name="常规 2 2 3 3 16" xfId="18197"/>
    <cellStyle name="常规 2 2 3 3 17" xfId="3998"/>
    <cellStyle name="常规 2 2 3 3 18" xfId="6523"/>
    <cellStyle name="常规 2 2 3 3 2" xfId="24516"/>
    <cellStyle name="常规 2 2 3 3 2 2" xfId="9358"/>
    <cellStyle name="常规 2 2 3 3 2 3" xfId="9359"/>
    <cellStyle name="常规 2 2 3 3 3" xfId="24518"/>
    <cellStyle name="常规 2 2 3 3 3 2" xfId="9368"/>
    <cellStyle name="常规 2 2 3 3 3 3" xfId="16205"/>
    <cellStyle name="常规 2 2 3 3 4" xfId="24520"/>
    <cellStyle name="常规 2 2 3 3 4 2" xfId="24521"/>
    <cellStyle name="常规 2 2 3 3 4 3" xfId="16208"/>
    <cellStyle name="常规 2 2 3 3 5" xfId="2705"/>
    <cellStyle name="常规 2 2 3 3 6" xfId="2754"/>
    <cellStyle name="常规 2 2 3 3 7" xfId="2785"/>
    <cellStyle name="常规 2 2 3 3 8" xfId="2808"/>
    <cellStyle name="常规 2 2 3 3 9" xfId="898"/>
    <cellStyle name="常规 2 2 3 30" xfId="5266"/>
    <cellStyle name="常规 2 2 3 30 2" xfId="24459"/>
    <cellStyle name="常规 2 2 3 30 2 2" xfId="24461"/>
    <cellStyle name="常规 2 2 3 30 3" xfId="24463"/>
    <cellStyle name="常规 2 2 3 30 3 2" xfId="24465"/>
    <cellStyle name="常规 2 2 3 30 4" xfId="24467"/>
    <cellStyle name="常规 2 2 3 31" xfId="1744"/>
    <cellStyle name="常规 2 2 3 31 2" xfId="24471"/>
    <cellStyle name="常规 2 2 3 31 2 2" xfId="24473"/>
    <cellStyle name="常规 2 2 3 31 3" xfId="24475"/>
    <cellStyle name="常规 2 2 3 31 3 2" xfId="15313"/>
    <cellStyle name="常规 2 2 3 31 4" xfId="24477"/>
    <cellStyle name="常规 2 2 3 32" xfId="24480"/>
    <cellStyle name="常规 2 2 3 32 2" xfId="24482"/>
    <cellStyle name="常规 2 2 3 32 2 2" xfId="24484"/>
    <cellStyle name="常规 2 2 3 32 3" xfId="24486"/>
    <cellStyle name="常规 2 2 3 32 3 2" xfId="15648"/>
    <cellStyle name="常规 2 2 3 32 4" xfId="24488"/>
    <cellStyle name="常规 2 2 3 33" xfId="24490"/>
    <cellStyle name="常规 2 2 3 33 2" xfId="24492"/>
    <cellStyle name="常规 2 2 3 33 2 2" xfId="23703"/>
    <cellStyle name="常规 2 2 3 33 3" xfId="24494"/>
    <cellStyle name="常规 2 2 3 33 3 2" xfId="24496"/>
    <cellStyle name="常规 2 2 3 33 4" xfId="24498"/>
    <cellStyle name="常规 2 2 3 34" xfId="24500"/>
    <cellStyle name="常规 2 2 3 34 2" xfId="24502"/>
    <cellStyle name="常规 2 2 3 34 2 2" xfId="1004"/>
    <cellStyle name="常规 2 2 3 34 3" xfId="24504"/>
    <cellStyle name="常规 2 2 3 34 3 2" xfId="24506"/>
    <cellStyle name="常规 2 2 3 34 4" xfId="1613"/>
    <cellStyle name="常规 2 2 3 35" xfId="14403"/>
    <cellStyle name="常规 2 2 3 35 2" xfId="24522"/>
    <cellStyle name="常规 2 2 3 35 2 2" xfId="24525"/>
    <cellStyle name="常规 2 2 3 35 3" xfId="24527"/>
    <cellStyle name="常规 2 2 3 35 3 2" xfId="24531"/>
    <cellStyle name="常规 2 2 3 35 4" xfId="1619"/>
    <cellStyle name="常规 2 2 3 36" xfId="24533"/>
    <cellStyle name="常规 2 2 3 36 2" xfId="24536"/>
    <cellStyle name="常规 2 2 3 36 2 2" xfId="24539"/>
    <cellStyle name="常规 2 2 3 36 3" xfId="24542"/>
    <cellStyle name="常规 2 2 3 36 3 2" xfId="24544"/>
    <cellStyle name="常规 2 2 3 36 4" xfId="4279"/>
    <cellStyle name="常规 2 2 3 37" xfId="24547"/>
    <cellStyle name="常规 2 2 3 37 2" xfId="24549"/>
    <cellStyle name="常规 2 2 3 37 2 2" xfId="24551"/>
    <cellStyle name="常规 2 2 3 37 3" xfId="24553"/>
    <cellStyle name="常规 2 2 3 37 3 2" xfId="24555"/>
    <cellStyle name="常规 2 2 3 37 4" xfId="24557"/>
    <cellStyle name="常规 2 2 3 38" xfId="24559"/>
    <cellStyle name="常规 2 2 3 38 2" xfId="24561"/>
    <cellStyle name="常规 2 2 3 38 2 2" xfId="24563"/>
    <cellStyle name="常规 2 2 3 38 3" xfId="24565"/>
    <cellStyle name="常规 2 2 3 38 3 2" xfId="24567"/>
    <cellStyle name="常规 2 2 3 38 4" xfId="24569"/>
    <cellStyle name="常规 2 2 3 39" xfId="24571"/>
    <cellStyle name="常规 2 2 3 39 2" xfId="24573"/>
    <cellStyle name="常规 2 2 3 39 2 2" xfId="24574"/>
    <cellStyle name="常规 2 2 3 39 3" xfId="24575"/>
    <cellStyle name="常规 2 2 3 39 3 2" xfId="24576"/>
    <cellStyle name="常规 2 2 3 39 4" xfId="24577"/>
    <cellStyle name="常规 2 2 3 4" xfId="20976"/>
    <cellStyle name="常规 2 2 3 4 10" xfId="24578"/>
    <cellStyle name="常规 2 2 3 4 11" xfId="6082"/>
    <cellStyle name="常规 2 2 3 4 12" xfId="8269"/>
    <cellStyle name="常规 2 2 3 4 13" xfId="24579"/>
    <cellStyle name="常规 2 2 3 4 14" xfId="24580"/>
    <cellStyle name="常规 2 2 3 4 15" xfId="24581"/>
    <cellStyle name="常规 2 2 3 4 16" xfId="18227"/>
    <cellStyle name="常规 2 2 3 4 2" xfId="24584"/>
    <cellStyle name="常规 2 2 3 4 2 2" xfId="24585"/>
    <cellStyle name="常规 2 2 3 4 2 3" xfId="24586"/>
    <cellStyle name="常规 2 2 3 4 3" xfId="24587"/>
    <cellStyle name="常规 2 2 3 4 3 2" xfId="24588"/>
    <cellStyle name="常规 2 2 3 4 3 3" xfId="24591"/>
    <cellStyle name="常规 2 2 3 4 4" xfId="24594"/>
    <cellStyle name="常规 2 2 3 4 4 2" xfId="24595"/>
    <cellStyle name="常规 2 2 3 4 4 3" xfId="24596"/>
    <cellStyle name="常规 2 2 3 4 5" xfId="2841"/>
    <cellStyle name="常规 2 2 3 4 6" xfId="2902"/>
    <cellStyle name="常规 2 2 3 4 7" xfId="2940"/>
    <cellStyle name="常规 2 2 3 4 8" xfId="2953"/>
    <cellStyle name="常规 2 2 3 4 9" xfId="1323"/>
    <cellStyle name="常规 2 2 3 40" xfId="14404"/>
    <cellStyle name="常规 2 2 3 40 2" xfId="24523"/>
    <cellStyle name="常规 2 2 3 40 2 2" xfId="24526"/>
    <cellStyle name="常规 2 2 3 40 3" xfId="24528"/>
    <cellStyle name="常规 2 2 3 40 3 2" xfId="24532"/>
    <cellStyle name="常规 2 2 3 40 4" xfId="1620"/>
    <cellStyle name="常规 2 2 3 41" xfId="24534"/>
    <cellStyle name="常规 2 2 3 41 2" xfId="24537"/>
    <cellStyle name="常规 2 2 3 41 2 2" xfId="24540"/>
    <cellStyle name="常规 2 2 3 41 3" xfId="24543"/>
    <cellStyle name="常规 2 2 3 41 3 2" xfId="24545"/>
    <cellStyle name="常规 2 2 3 41 4" xfId="4280"/>
    <cellStyle name="常规 2 2 3 42" xfId="24548"/>
    <cellStyle name="常规 2 2 3 42 2" xfId="24550"/>
    <cellStyle name="常规 2 2 3 42 2 2" xfId="24552"/>
    <cellStyle name="常规 2 2 3 42 3" xfId="24554"/>
    <cellStyle name="常规 2 2 3 42 3 2" xfId="24556"/>
    <cellStyle name="常规 2 2 3 42 4" xfId="24558"/>
    <cellStyle name="常规 2 2 3 43" xfId="24560"/>
    <cellStyle name="常规 2 2 3 43 2" xfId="24562"/>
    <cellStyle name="常规 2 2 3 43 2 2" xfId="24564"/>
    <cellStyle name="常规 2 2 3 43 3" xfId="24566"/>
    <cellStyle name="常规 2 2 3 43 3 2" xfId="24568"/>
    <cellStyle name="常规 2 2 3 43 4" xfId="24570"/>
    <cellStyle name="常规 2 2 3 44" xfId="24572"/>
    <cellStyle name="常规 2 2 3 45" xfId="24597"/>
    <cellStyle name="常规 2 2 3 46" xfId="24598"/>
    <cellStyle name="常规 2 2 3 47" xfId="24599"/>
    <cellStyle name="常规 2 2 3 48" xfId="24600"/>
    <cellStyle name="常规 2 2 3 5" xfId="24603"/>
    <cellStyle name="常规 2 2 3 5 10" xfId="24605"/>
    <cellStyle name="常规 2 2 3 5 11" xfId="24606"/>
    <cellStyle name="常规 2 2 3 5 12" xfId="1232"/>
    <cellStyle name="常规 2 2 3 5 13" xfId="1243"/>
    <cellStyle name="常规 2 2 3 5 14" xfId="4360"/>
    <cellStyle name="常规 2 2 3 5 15" xfId="20052"/>
    <cellStyle name="常规 2 2 3 5 16" xfId="20055"/>
    <cellStyle name="常规 2 2 3 5 2" xfId="24608"/>
    <cellStyle name="常规 2 2 3 5 2 2" xfId="24609"/>
    <cellStyle name="常规 2 2 3 5 2 3" xfId="770"/>
    <cellStyle name="常规 2 2 3 5 3" xfId="24610"/>
    <cellStyle name="常规 2 2 3 5 3 2" xfId="24611"/>
    <cellStyle name="常规 2 2 3 5 3 3" xfId="780"/>
    <cellStyle name="常规 2 2 3 5 4" xfId="24612"/>
    <cellStyle name="常规 2 2 3 5 4 2" xfId="23612"/>
    <cellStyle name="常规 2 2 3 5 4 3" xfId="23614"/>
    <cellStyle name="常规 2 2 3 5 5" xfId="2961"/>
    <cellStyle name="常规 2 2 3 5 6" xfId="2977"/>
    <cellStyle name="常规 2 2 3 5 7" xfId="2995"/>
    <cellStyle name="常规 2 2 3 5 8" xfId="3000"/>
    <cellStyle name="常规 2 2 3 5 9" xfId="24614"/>
    <cellStyle name="常规 2 2 3 6" xfId="24617"/>
    <cellStyle name="常规 2 2 3 6 10" xfId="24618"/>
    <cellStyle name="常规 2 2 3 6 11" xfId="24619"/>
    <cellStyle name="常规 2 2 3 6 12" xfId="24622"/>
    <cellStyle name="常规 2 2 3 6 13" xfId="24623"/>
    <cellStyle name="常规 2 2 3 6 14" xfId="24624"/>
    <cellStyle name="常规 2 2 3 6 15" xfId="24626"/>
    <cellStyle name="常规 2 2 3 6 16" xfId="20428"/>
    <cellStyle name="常规 2 2 3 6 2" xfId="24627"/>
    <cellStyle name="常规 2 2 3 6 2 2" xfId="24629"/>
    <cellStyle name="常规 2 2 3 6 2 3" xfId="24630"/>
    <cellStyle name="常规 2 2 3 6 3" xfId="11120"/>
    <cellStyle name="常规 2 2 3 6 3 2" xfId="24634"/>
    <cellStyle name="常规 2 2 3 6 3 3" xfId="24636"/>
    <cellStyle name="常规 2 2 3 6 4" xfId="24638"/>
    <cellStyle name="常规 2 2 3 6 4 2" xfId="24643"/>
    <cellStyle name="常规 2 2 3 6 4 3" xfId="24646"/>
    <cellStyle name="常规 2 2 3 6 5" xfId="3007"/>
    <cellStyle name="常规 2 2 3 6 6" xfId="3049"/>
    <cellStyle name="常规 2 2 3 6 7" xfId="3083"/>
    <cellStyle name="常规 2 2 3 6 8" xfId="3096"/>
    <cellStyle name="常规 2 2 3 6 9" xfId="24651"/>
    <cellStyle name="常规 2 2 3 7" xfId="24653"/>
    <cellStyle name="常规 2 2 3 7 10" xfId="15750"/>
    <cellStyle name="常规 2 2 3 7 11" xfId="24655"/>
    <cellStyle name="常规 2 2 3 7 12" xfId="20012"/>
    <cellStyle name="常规 2 2 3 7 13" xfId="24656"/>
    <cellStyle name="常规 2 2 3 7 14" xfId="24657"/>
    <cellStyle name="常规 2 2 3 7 15" xfId="24658"/>
    <cellStyle name="常规 2 2 3 7 16" xfId="24660"/>
    <cellStyle name="常规 2 2 3 7 2" xfId="24662"/>
    <cellStyle name="常规 2 2 3 7 2 2" xfId="24663"/>
    <cellStyle name="常规 2 2 3 7 2 3" xfId="24664"/>
    <cellStyle name="常规 2 2 3 7 3" xfId="11123"/>
    <cellStyle name="常规 2 2 3 7 3 2" xfId="24665"/>
    <cellStyle name="常规 2 2 3 7 3 3" xfId="24667"/>
    <cellStyle name="常规 2 2 3 7 4" xfId="24668"/>
    <cellStyle name="常规 2 2 3 7 4 2" xfId="24669"/>
    <cellStyle name="常规 2 2 3 7 4 3" xfId="24670"/>
    <cellStyle name="常规 2 2 3 7 5" xfId="3102"/>
    <cellStyle name="常规 2 2 3 7 6" xfId="3116"/>
    <cellStyle name="常规 2 2 3 7 7" xfId="3130"/>
    <cellStyle name="常规 2 2 3 7 8" xfId="3140"/>
    <cellStyle name="常规 2 2 3 7 9" xfId="16126"/>
    <cellStyle name="常规 2 2 3 8" xfId="24671"/>
    <cellStyle name="常规 2 2 3 8 10" xfId="24672"/>
    <cellStyle name="常规 2 2 3 8 11" xfId="24673"/>
    <cellStyle name="常规 2 2 3 8 12" xfId="24674"/>
    <cellStyle name="常规 2 2 3 8 13" xfId="24675"/>
    <cellStyle name="常规 2 2 3 8 14" xfId="24676"/>
    <cellStyle name="常规 2 2 3 8 15" xfId="4182"/>
    <cellStyle name="常规 2 2 3 8 16" xfId="18305"/>
    <cellStyle name="常规 2 2 3 8 2" xfId="24678"/>
    <cellStyle name="常规 2 2 3 8 3" xfId="11127"/>
    <cellStyle name="常规 2 2 3 8 4" xfId="20279"/>
    <cellStyle name="常规 2 2 3 8 5" xfId="1474"/>
    <cellStyle name="常规 2 2 3 8 6" xfId="3151"/>
    <cellStyle name="常规 2 2 3 8 7" xfId="3157"/>
    <cellStyle name="常规 2 2 3 8 8" xfId="3165"/>
    <cellStyle name="常规 2 2 3 8 9" xfId="16133"/>
    <cellStyle name="常规 2 2 3 9" xfId="24679"/>
    <cellStyle name="常规 2 2 3 9 10" xfId="24680"/>
    <cellStyle name="常规 2 2 3 9 11" xfId="24681"/>
    <cellStyle name="常规 2 2 3 9 12" xfId="24682"/>
    <cellStyle name="常规 2 2 3 9 13" xfId="24684"/>
    <cellStyle name="常规 2 2 3 9 14" xfId="24687"/>
    <cellStyle name="常规 2 2 3 9 15" xfId="24689"/>
    <cellStyle name="常规 2 2 3 9 16" xfId="24691"/>
    <cellStyle name="常规 2 2 3 9 17" xfId="2747"/>
    <cellStyle name="常规 2 2 3 9 2" xfId="4686"/>
    <cellStyle name="常规 2 2 3 9 3" xfId="4737"/>
    <cellStyle name="常规 2 2 3 9 4" xfId="4808"/>
    <cellStyle name="常规 2 2 3 9 5" xfId="1482"/>
    <cellStyle name="常规 2 2 3 9 6" xfId="3174"/>
    <cellStyle name="常规 2 2 3 9 7" xfId="3184"/>
    <cellStyle name="常规 2 2 3 9 8" xfId="3196"/>
    <cellStyle name="常规 2 2 3 9 9" xfId="5330"/>
    <cellStyle name="常规 2 2 3_（安装）重庆恒大名都综合楼装修工程报价清单-090422发标(1)" xfId="24692"/>
    <cellStyle name="常规 2 2 30" xfId="24028"/>
    <cellStyle name="常规 2 2 30 2" xfId="10995"/>
    <cellStyle name="常规 2 2 31" xfId="24030"/>
    <cellStyle name="常规 2 2 31 2" xfId="11010"/>
    <cellStyle name="常规 2 2 32" xfId="24032"/>
    <cellStyle name="常规 2 2 32 2" xfId="11023"/>
    <cellStyle name="常规 2 2 33" xfId="24034"/>
    <cellStyle name="常规 2 2 33 2" xfId="11034"/>
    <cellStyle name="常规 2 2 34" xfId="20746"/>
    <cellStyle name="常规 2 2 34 2" xfId="24036"/>
    <cellStyle name="常规 2 2 35" xfId="24695"/>
    <cellStyle name="常规 2 2 35 2" xfId="24698"/>
    <cellStyle name="常规 2 2 36" xfId="24700"/>
    <cellStyle name="常规 2 2 36 2" xfId="24702"/>
    <cellStyle name="常规 2 2 37" xfId="24704"/>
    <cellStyle name="常规 2 2 37 2" xfId="24706"/>
    <cellStyle name="常规 2 2 38" xfId="12194"/>
    <cellStyle name="常规 2 2 38 2" xfId="24708"/>
    <cellStyle name="常规 2 2 38 2 2" xfId="24712"/>
    <cellStyle name="常规 2 2 38 3" xfId="6595"/>
    <cellStyle name="常规 2 2 38 3 2" xfId="24713"/>
    <cellStyle name="常规 2 2 38 4" xfId="24716"/>
    <cellStyle name="常规 2 2 39" xfId="24718"/>
    <cellStyle name="常规 2 2 39 2" xfId="24720"/>
    <cellStyle name="常规 2 2 39 2 2" xfId="24723"/>
    <cellStyle name="常规 2 2 39 3" xfId="6602"/>
    <cellStyle name="常规 2 2 39 3 2" xfId="16883"/>
    <cellStyle name="常规 2 2 39 4" xfId="24726"/>
    <cellStyle name="常规 2 2 4" xfId="5357"/>
    <cellStyle name="常规 2 2 4 10" xfId="24727"/>
    <cellStyle name="常规 2 2 4 11" xfId="24728"/>
    <cellStyle name="常规 2 2 4 12" xfId="5516"/>
    <cellStyle name="常规 2 2 4 13" xfId="3768"/>
    <cellStyle name="常规 2 2 4 14" xfId="2253"/>
    <cellStyle name="常规 2 2 4 15" xfId="5562"/>
    <cellStyle name="常规 2 2 4 16" xfId="5565"/>
    <cellStyle name="常规 2 2 4 17" xfId="24730"/>
    <cellStyle name="常规 2 2 4 18" xfId="24732"/>
    <cellStyle name="常规 2 2 4 2" xfId="24734"/>
    <cellStyle name="常规 2 2 4 2 2" xfId="24737"/>
    <cellStyle name="常规 2 2 4 2 2 2" xfId="24738"/>
    <cellStyle name="常规 2 2 4 2 2 3" xfId="24740"/>
    <cellStyle name="常规 2 2 4 2 3" xfId="15038"/>
    <cellStyle name="常规 2 2 4 2 3 2" xfId="24741"/>
    <cellStyle name="常规 2 2 4 2 3 3" xfId="24742"/>
    <cellStyle name="常规 2 2 4 2 4" xfId="24744"/>
    <cellStyle name="常规 2 2 4 2 5" xfId="24746"/>
    <cellStyle name="常规 2 2 4 2_武汉名都样板房装修清单  首二期2010.8.13" xfId="22383"/>
    <cellStyle name="常规 2 2 4 3" xfId="24749"/>
    <cellStyle name="常规 2 2 4 3 2" xfId="24752"/>
    <cellStyle name="常规 2 2 4 3 3" xfId="24754"/>
    <cellStyle name="常规 2 2 4 3 4" xfId="24756"/>
    <cellStyle name="常规 2 2 4 4" xfId="24760"/>
    <cellStyle name="常规 2 2 4 4 2" xfId="24764"/>
    <cellStyle name="常规 2 2 4 4 3" xfId="24767"/>
    <cellStyle name="常规 2 2 4 4 4" xfId="24769"/>
    <cellStyle name="常规 2 2 4 5" xfId="24772"/>
    <cellStyle name="常规 2 2 4 5 2" xfId="24775"/>
    <cellStyle name="常规 2 2 4 5 3" xfId="24777"/>
    <cellStyle name="常规 2 2 4 5 4" xfId="24779"/>
    <cellStyle name="常规 2 2 4 6" xfId="24782"/>
    <cellStyle name="常规 2 2 4 6 2" xfId="24784"/>
    <cellStyle name="常规 2 2 4 6 3" xfId="11134"/>
    <cellStyle name="常规 2 2 4 6 4" xfId="24785"/>
    <cellStyle name="常规 2 2 4 7" xfId="5414"/>
    <cellStyle name="常规 2 2 4 7 2" xfId="1850"/>
    <cellStyle name="常规 2 2 4 7 3" xfId="1856"/>
    <cellStyle name="常规 2 2 4 7 4" xfId="5419"/>
    <cellStyle name="常规 2 2 4 8" xfId="5428"/>
    <cellStyle name="常规 2 2 4 9" xfId="24786"/>
    <cellStyle name="常规 2 2 4_武汉名都样板房装修清单  首二期2010.8.13" xfId="24787"/>
    <cellStyle name="常规 2 2 40" xfId="24696"/>
    <cellStyle name="常规 2 2 40 2" xfId="24699"/>
    <cellStyle name="常规 2 2 40 2 2" xfId="24789"/>
    <cellStyle name="常规 2 2 40 3" xfId="24790"/>
    <cellStyle name="常规 2 2 40 3 2" xfId="21461"/>
    <cellStyle name="常规 2 2 40 4" xfId="24792"/>
    <cellStyle name="常规 2 2 41" xfId="24701"/>
    <cellStyle name="常规 2 2 41 2" xfId="24703"/>
    <cellStyle name="常规 2 2 42" xfId="24705"/>
    <cellStyle name="常规 2 2 42 2" xfId="24707"/>
    <cellStyle name="常规 2 2 43" xfId="12195"/>
    <cellStyle name="常规 2 2 43 2" xfId="24709"/>
    <cellStyle name="常规 2 2 44" xfId="24719"/>
    <cellStyle name="常规 2 2 44 2" xfId="24721"/>
    <cellStyle name="常规 2 2 45" xfId="15661"/>
    <cellStyle name="常规 2 2 45 2" xfId="24793"/>
    <cellStyle name="常规 2 2 46" xfId="20398"/>
    <cellStyle name="常规 2 2 46 2" xfId="24795"/>
    <cellStyle name="常规 2 2 46 2 2" xfId="24798"/>
    <cellStyle name="常规 2 2 46 3" xfId="24801"/>
    <cellStyle name="常规 2 2 46 3 2" xfId="24805"/>
    <cellStyle name="常规 2 2 46 4" xfId="24809"/>
    <cellStyle name="常规 2 2 47" xfId="24811"/>
    <cellStyle name="常规 2 2 47 2" xfId="24813"/>
    <cellStyle name="常规 2 2 47 2 2" xfId="24815"/>
    <cellStyle name="常规 2 2 47 3" xfId="24817"/>
    <cellStyle name="常规 2 2 47 3 2" xfId="17004"/>
    <cellStyle name="常规 2 2 47 4" xfId="24821"/>
    <cellStyle name="常规 2 2 48" xfId="24824"/>
    <cellStyle name="常规 2 2 48 2" xfId="24827"/>
    <cellStyle name="常规 2 2 48 2 2" xfId="24829"/>
    <cellStyle name="常规 2 2 48 3" xfId="24831"/>
    <cellStyle name="常规 2 2 48 3 2" xfId="24834"/>
    <cellStyle name="常规 2 2 48 4" xfId="24838"/>
    <cellStyle name="常规 2 2 49" xfId="24841"/>
    <cellStyle name="常规 2 2 49 2" xfId="24843"/>
    <cellStyle name="常规 2 2 49 2 2" xfId="24846"/>
    <cellStyle name="常规 2 2 49 3" xfId="24848"/>
    <cellStyle name="常规 2 2 49 3 2" xfId="17306"/>
    <cellStyle name="常规 2 2 49 4" xfId="24852"/>
    <cellStyle name="常规 2 2 5" xfId="24855"/>
    <cellStyle name="常规 2 2 5 10" xfId="24857"/>
    <cellStyle name="常规 2 2 5 11" xfId="16652"/>
    <cellStyle name="常规 2 2 5 12" xfId="3482"/>
    <cellStyle name="常规 2 2 5 13" xfId="3490"/>
    <cellStyle name="常规 2 2 5 14" xfId="4200"/>
    <cellStyle name="常规 2 2 5 15" xfId="5698"/>
    <cellStyle name="常规 2 2 5 16" xfId="24858"/>
    <cellStyle name="常规 2 2 5 2" xfId="24860"/>
    <cellStyle name="常规 2 2 5 2 2" xfId="24862"/>
    <cellStyle name="常规 2 2 5 2 2 2" xfId="24863"/>
    <cellStyle name="常规 2 2 5 2 3" xfId="15293"/>
    <cellStyle name="常规 2 2 5 2 3 2" xfId="24865"/>
    <cellStyle name="常规 2 2 5 2 4" xfId="24866"/>
    <cellStyle name="常规 2 2 5 2 5" xfId="16055"/>
    <cellStyle name="常规 2 2 5 3" xfId="24869"/>
    <cellStyle name="常规 2 2 5 4" xfId="24873"/>
    <cellStyle name="常规 2 2 5 5" xfId="24876"/>
    <cellStyle name="常规 2 2 5 6" xfId="24880"/>
    <cellStyle name="常规 2 2 5 7" xfId="24884"/>
    <cellStyle name="常规 2 2 5 8" xfId="24886"/>
    <cellStyle name="常规 2 2 5 9" xfId="24887"/>
    <cellStyle name="常规 2 2 50" xfId="15662"/>
    <cellStyle name="常规 2 2 50 2" xfId="24794"/>
    <cellStyle name="常规 2 2 50 2 2" xfId="24890"/>
    <cellStyle name="常规 2 2 50 3" xfId="6609"/>
    <cellStyle name="常规 2 2 50 3 2" xfId="16945"/>
    <cellStyle name="常规 2 2 50 4" xfId="24893"/>
    <cellStyle name="常规 2 2 51" xfId="20399"/>
    <cellStyle name="常规 2 2 51 2" xfId="24796"/>
    <cellStyle name="常规 2 2 51 2 2" xfId="24799"/>
    <cellStyle name="常规 2 2 51 3" xfId="24802"/>
    <cellStyle name="常规 2 2 51 3 2" xfId="24806"/>
    <cellStyle name="常规 2 2 51 4" xfId="24810"/>
    <cellStyle name="常规 2 2 52" xfId="24812"/>
    <cellStyle name="常规 2 2 52 2" xfId="24814"/>
    <cellStyle name="常规 2 2 52 2 2" xfId="24816"/>
    <cellStyle name="常规 2 2 52 3" xfId="24818"/>
    <cellStyle name="常规 2 2 52 3 2" xfId="17005"/>
    <cellStyle name="常规 2 2 52 4" xfId="24822"/>
    <cellStyle name="常规 2 2 53" xfId="24825"/>
    <cellStyle name="常规 2 2 53 2" xfId="24828"/>
    <cellStyle name="常规 2 2 53 2 2" xfId="24830"/>
    <cellStyle name="常规 2 2 53 3" xfId="24832"/>
    <cellStyle name="常规 2 2 53 3 2" xfId="24835"/>
    <cellStyle name="常规 2 2 53 4" xfId="24839"/>
    <cellStyle name="常规 2 2 54" xfId="24842"/>
    <cellStyle name="常规 2 2 54 2" xfId="24844"/>
    <cellStyle name="常规 2 2 54 2 2" xfId="24847"/>
    <cellStyle name="常规 2 2 54 3" xfId="24849"/>
    <cellStyle name="常规 2 2 54 3 2" xfId="17307"/>
    <cellStyle name="常规 2 2 54 4" xfId="24853"/>
    <cellStyle name="常规 2 2 55" xfId="14134"/>
    <cellStyle name="常规 2 2 55 2" xfId="14138"/>
    <cellStyle name="常规 2 2 55 2 2" xfId="24895"/>
    <cellStyle name="常规 2 2 55 3" xfId="24897"/>
    <cellStyle name="常规 2 2 55 3 2" xfId="17330"/>
    <cellStyle name="常规 2 2 55 4" xfId="24902"/>
    <cellStyle name="常规 2 2 56" xfId="14141"/>
    <cellStyle name="常规 2 2 56 2" xfId="14144"/>
    <cellStyle name="常规 2 2 56 2 2" xfId="24904"/>
    <cellStyle name="常规 2 2 56 3" xfId="24906"/>
    <cellStyle name="常规 2 2 56 3 2" xfId="17357"/>
    <cellStyle name="常规 2 2 56 4" xfId="24910"/>
    <cellStyle name="常规 2 2 57" xfId="14148"/>
    <cellStyle name="常规 2 2 57 2" xfId="24912"/>
    <cellStyle name="常规 2 2 57 2 2" xfId="24914"/>
    <cellStyle name="常规 2 2 57 3" xfId="24916"/>
    <cellStyle name="常规 2 2 57 3 2" xfId="24919"/>
    <cellStyle name="常规 2 2 57 4" xfId="9768"/>
    <cellStyle name="常规 2 2 58" xfId="24922"/>
    <cellStyle name="常规 2 2 58 2" xfId="24926"/>
    <cellStyle name="常规 2 2 58 2 2" xfId="24929"/>
    <cellStyle name="常规 2 2 58 3" xfId="24931"/>
    <cellStyle name="常规 2 2 58 3 2" xfId="17389"/>
    <cellStyle name="常规 2 2 58 4" xfId="9776"/>
    <cellStyle name="常规 2 2 59" xfId="20868"/>
    <cellStyle name="常规 2 2 59 2" xfId="24934"/>
    <cellStyle name="常规 2 2 59 2 2" xfId="24937"/>
    <cellStyle name="常规 2 2 59 3" xfId="1828"/>
    <cellStyle name="常规 2 2 59 3 2" xfId="381"/>
    <cellStyle name="常规 2 2 59 4" xfId="24941"/>
    <cellStyle name="常规 2 2 6" xfId="24944"/>
    <cellStyle name="常规 2 2 6 10" xfId="16876"/>
    <cellStyle name="常规 2 2 6 11" xfId="16880"/>
    <cellStyle name="常规 2 2 6 12" xfId="16884"/>
    <cellStyle name="常规 2 2 6 13" xfId="16886"/>
    <cellStyle name="常规 2 2 6 14" xfId="16888"/>
    <cellStyle name="常规 2 2 6 15" xfId="24945"/>
    <cellStyle name="常规 2 2 6 16" xfId="24946"/>
    <cellStyle name="常规 2 2 6 2" xfId="24948"/>
    <cellStyle name="常规 2 2 6 3" xfId="24951"/>
    <cellStyle name="常规 2 2 6 4" xfId="24954"/>
    <cellStyle name="常规 2 2 6 5" xfId="24957"/>
    <cellStyle name="常规 2 2 6 6" xfId="24961"/>
    <cellStyle name="常规 2 2 6 7" xfId="24963"/>
    <cellStyle name="常规 2 2 6 8" xfId="24964"/>
    <cellStyle name="常规 2 2 6 9" xfId="24965"/>
    <cellStyle name="常规 2 2 60" xfId="14135"/>
    <cellStyle name="常规 2 2 60 2" xfId="14139"/>
    <cellStyle name="常规 2 2 60 2 2" xfId="24896"/>
    <cellStyle name="常规 2 2 60 3" xfId="24898"/>
    <cellStyle name="常规 2 2 60 3 2" xfId="17331"/>
    <cellStyle name="常规 2 2 60 4" xfId="24903"/>
    <cellStyle name="常规 2 2 61" xfId="14142"/>
    <cellStyle name="常规 2 2 61 2" xfId="14145"/>
    <cellStyle name="常规 2 2 61 2 2" xfId="24905"/>
    <cellStyle name="常规 2 2 61 3" xfId="24907"/>
    <cellStyle name="常规 2 2 61 3 2" xfId="17358"/>
    <cellStyle name="常规 2 2 61 4" xfId="24911"/>
    <cellStyle name="常规 2 2 62" xfId="14149"/>
    <cellStyle name="常规 2 2 62 2" xfId="24913"/>
    <cellStyle name="常规 2 2 62 2 2" xfId="24915"/>
    <cellStyle name="常规 2 2 62 3" xfId="24917"/>
    <cellStyle name="常规 2 2 62 3 2" xfId="24920"/>
    <cellStyle name="常规 2 2 62 4" xfId="9769"/>
    <cellStyle name="常规 2 2 63" xfId="24923"/>
    <cellStyle name="常规 2 2 63 2" xfId="24927"/>
    <cellStyle name="常规 2 2 63 2 2" xfId="24930"/>
    <cellStyle name="常规 2 2 63 3" xfId="24932"/>
    <cellStyle name="常规 2 2 63 3 2" xfId="17390"/>
    <cellStyle name="常规 2 2 63 4" xfId="9777"/>
    <cellStyle name="常规 2 2 64" xfId="20869"/>
    <cellStyle name="常规 2 2 64 2" xfId="24935"/>
    <cellStyle name="常规 2 2 64 2 2" xfId="24938"/>
    <cellStyle name="常规 2 2 64 3" xfId="1829"/>
    <cellStyle name="常规 2 2 64 3 2" xfId="382"/>
    <cellStyle name="常规 2 2 64 4" xfId="24942"/>
    <cellStyle name="常规 2 2 65" xfId="24966"/>
    <cellStyle name="常规 2 2 65 2" xfId="24967"/>
    <cellStyle name="常规 2 2 65 2 2" xfId="24969"/>
    <cellStyle name="常规 2 2 65 3" xfId="1836"/>
    <cellStyle name="常规 2 2 65 3 2" xfId="17424"/>
    <cellStyle name="常规 2 2 65 4" xfId="24972"/>
    <cellStyle name="常规 2 2 66" xfId="24973"/>
    <cellStyle name="常规 2 2 7" xfId="24976"/>
    <cellStyle name="常规 2 2 7 10" xfId="16925"/>
    <cellStyle name="常规 2 2 7 11" xfId="8606"/>
    <cellStyle name="常规 2 2 7 12" xfId="8608"/>
    <cellStyle name="常规 2 2 7 13" xfId="24977"/>
    <cellStyle name="常规 2 2 7 14" xfId="24978"/>
    <cellStyle name="常规 2 2 7 15" xfId="24979"/>
    <cellStyle name="常规 2 2 7 16" xfId="1947"/>
    <cellStyle name="常规 2 2 7 2" xfId="24980"/>
    <cellStyle name="常规 2 2 7 3" xfId="24982"/>
    <cellStyle name="常规 2 2 7 4" xfId="24984"/>
    <cellStyle name="常规 2 2 7 5" xfId="24986"/>
    <cellStyle name="常规 2 2 7 6" xfId="24988"/>
    <cellStyle name="常规 2 2 7 7" xfId="24989"/>
    <cellStyle name="常规 2 2 7 8" xfId="24990"/>
    <cellStyle name="常规 2 2 7 9" xfId="24991"/>
    <cellStyle name="常规 2 2 8" xfId="24992"/>
    <cellStyle name="常规 2 2 8 10" xfId="24993"/>
    <cellStyle name="常规 2 2 8 11" xfId="24994"/>
    <cellStyle name="常规 2 2 8 12" xfId="24995"/>
    <cellStyle name="常规 2 2 8 13" xfId="24996"/>
    <cellStyle name="常规 2 2 8 14" xfId="24997"/>
    <cellStyle name="常规 2 2 8 15" xfId="24998"/>
    <cellStyle name="常规 2 2 8 16" xfId="9033"/>
    <cellStyle name="常规 2 2 8 2" xfId="24999"/>
    <cellStyle name="常规 2 2 8 3" xfId="25001"/>
    <cellStyle name="常规 2 2 8 4" xfId="7432"/>
    <cellStyle name="常规 2 2 8 5" xfId="25003"/>
    <cellStyle name="常规 2 2 8 6" xfId="25005"/>
    <cellStyle name="常规 2 2 8 7" xfId="25006"/>
    <cellStyle name="常规 2 2 8 8" xfId="25007"/>
    <cellStyle name="常规 2 2 8 9" xfId="25008"/>
    <cellStyle name="常规 2 2 9" xfId="25009"/>
    <cellStyle name="常规 2 2 9 10" xfId="25010"/>
    <cellStyle name="常规 2 2 9 11" xfId="25011"/>
    <cellStyle name="常规 2 2 9 12" xfId="5760"/>
    <cellStyle name="常规 2 2 9 13" xfId="5768"/>
    <cellStyle name="常规 2 2 9 14" xfId="2280"/>
    <cellStyle name="常规 2 2 9 15" xfId="5771"/>
    <cellStyle name="常规 2 2 9 16" xfId="25012"/>
    <cellStyle name="常规 2 2 9 2" xfId="25013"/>
    <cellStyle name="常规 2 2 9 3" xfId="25015"/>
    <cellStyle name="常规 2 2 9 4" xfId="7437"/>
    <cellStyle name="常规 2 2 9 5" xfId="25017"/>
    <cellStyle name="常规 2 2 9 6" xfId="25020"/>
    <cellStyle name="常规 2 2 9 7" xfId="25021"/>
    <cellStyle name="常规 2 2 9 8" xfId="25022"/>
    <cellStyle name="常规 2 2 9 9" xfId="25023"/>
    <cellStyle name="常规 2 2_恒大绿洲大门室内外装修报价单" xfId="25026"/>
    <cellStyle name="常规 2 20" xfId="18174"/>
    <cellStyle name="常规 2 20 10" xfId="22407"/>
    <cellStyle name="常规 2 20 11" xfId="21262"/>
    <cellStyle name="常规 2 20 12" xfId="23477"/>
    <cellStyle name="常规 2 20 13" xfId="23480"/>
    <cellStyle name="常规 2 20 14" xfId="5736"/>
    <cellStyle name="常规 2 20 15" xfId="14429"/>
    <cellStyle name="常规 2 20 16" xfId="23483"/>
    <cellStyle name="常规 2 20 17" xfId="16609"/>
    <cellStyle name="常规 2 20 18" xfId="23488"/>
    <cellStyle name="常规 2 20 19" xfId="23492"/>
    <cellStyle name="常规 2 20 2" xfId="23494"/>
    <cellStyle name="常规 2 20 20" xfId="14430"/>
    <cellStyle name="常规 2 20 21" xfId="23484"/>
    <cellStyle name="常规 2 20 22" xfId="16610"/>
    <cellStyle name="常规 2 20 23" xfId="23489"/>
    <cellStyle name="常规 2 20 3" xfId="23498"/>
    <cellStyle name="常规 2 20 4" xfId="23500"/>
    <cellStyle name="常规 2 20 5" xfId="19896"/>
    <cellStyle name="常规 2 20 6" xfId="23502"/>
    <cellStyle name="常规 2 20 7" xfId="23504"/>
    <cellStyle name="常规 2 20 8" xfId="23506"/>
    <cellStyle name="常规 2 20 9" xfId="10391"/>
    <cellStyle name="常规 2 21" xfId="18179"/>
    <cellStyle name="常规 2 21 10" xfId="23510"/>
    <cellStyle name="常规 2 21 11" xfId="23512"/>
    <cellStyle name="常规 2 21 12" xfId="23514"/>
    <cellStyle name="常规 2 21 13" xfId="23516"/>
    <cellStyle name="常规 2 21 14" xfId="23520"/>
    <cellStyle name="常规 2 21 15" xfId="23523"/>
    <cellStyle name="常规 2 21 16" xfId="22511"/>
    <cellStyle name="常规 2 21 17" xfId="22735"/>
    <cellStyle name="常规 2 21 2" xfId="23529"/>
    <cellStyle name="常规 2 21 3" xfId="23531"/>
    <cellStyle name="常规 2 21 4" xfId="9328"/>
    <cellStyle name="常规 2 21 5" xfId="9334"/>
    <cellStyle name="常规 2 21 6" xfId="9339"/>
    <cellStyle name="常规 2 21 7" xfId="9344"/>
    <cellStyle name="常规 2 21 8" xfId="23533"/>
    <cellStyle name="常规 2 21 9" xfId="10408"/>
    <cellStyle name="常规 2 22" xfId="23535"/>
    <cellStyle name="常规 2 22 10" xfId="23539"/>
    <cellStyle name="常规 2 22 11" xfId="23541"/>
    <cellStyle name="常规 2 22 12" xfId="23544"/>
    <cellStyle name="常规 2 22 13" xfId="23546"/>
    <cellStyle name="常规 2 22 14" xfId="23548"/>
    <cellStyle name="常规 2 22 15" xfId="21170"/>
    <cellStyle name="常规 2 22 16" xfId="21176"/>
    <cellStyle name="常规 2 22 17" xfId="21184"/>
    <cellStyle name="常规 2 22 2" xfId="23551"/>
    <cellStyle name="常规 2 22 3" xfId="9"/>
    <cellStyle name="常规 2 22 4" xfId="23553"/>
    <cellStyle name="常规 2 22 5" xfId="19904"/>
    <cellStyle name="常规 2 22 6" xfId="23555"/>
    <cellStyle name="常规 2 22 7" xfId="23557"/>
    <cellStyle name="常规 2 22 8" xfId="23559"/>
    <cellStyle name="常规 2 22 9" xfId="11887"/>
    <cellStyle name="常规 2 23" xfId="10394"/>
    <cellStyle name="常规 2 23 10" xfId="11861"/>
    <cellStyle name="常规 2 23 11" xfId="12379"/>
    <cellStyle name="常规 2 23 12" xfId="9689"/>
    <cellStyle name="常规 2 23 13" xfId="9704"/>
    <cellStyle name="常规 2 23 14" xfId="9714"/>
    <cellStyle name="常规 2 23 15" xfId="9719"/>
    <cellStyle name="常规 2 23 16" xfId="11572"/>
    <cellStyle name="常规 2 23 17" xfId="11578"/>
    <cellStyle name="常规 2 23 2" xfId="23563"/>
    <cellStyle name="常规 2 23 3" xfId="23567"/>
    <cellStyle name="常规 2 23 4" xfId="23571"/>
    <cellStyle name="常规 2 23 5" xfId="19909"/>
    <cellStyle name="常规 2 23 6" xfId="21022"/>
    <cellStyle name="常规 2 23 7" xfId="21027"/>
    <cellStyle name="常规 2 23 8" xfId="21032"/>
    <cellStyle name="常规 2 23 9" xfId="23575"/>
    <cellStyle name="常规 2 24" xfId="23579"/>
    <cellStyle name="常规 2 24 2" xfId="23597"/>
    <cellStyle name="常规 2 24 3" xfId="23600"/>
    <cellStyle name="常规 2 24 4" xfId="23603"/>
    <cellStyle name="常规 2 24 5" xfId="21040"/>
    <cellStyle name="常规 2 24 6" xfId="21044"/>
    <cellStyle name="常规 2 25" xfId="25027"/>
    <cellStyle name="常规 2 25 2" xfId="25029"/>
    <cellStyle name="常规 2 25 3" xfId="25031"/>
    <cellStyle name="常规 2 25 4" xfId="25033"/>
    <cellStyle name="常规 2 25 5" xfId="21056"/>
    <cellStyle name="常规 2 25 6" xfId="25035"/>
    <cellStyle name="常规 2 26" xfId="25036"/>
    <cellStyle name="常规 2 26 2" xfId="5016"/>
    <cellStyle name="常规 2 26 3" xfId="5020"/>
    <cellStyle name="常规 2 26 4" xfId="5024"/>
    <cellStyle name="常规 2 26 5" xfId="21061"/>
    <cellStyle name="常规 2 27" xfId="25038"/>
    <cellStyle name="常规 2 27 2" xfId="5031"/>
    <cellStyle name="常规 2 27 3" xfId="5035"/>
    <cellStyle name="常规 2 27 4" xfId="2250"/>
    <cellStyle name="常规 2 27 5" xfId="2256"/>
    <cellStyle name="常规 2 28" xfId="25040"/>
    <cellStyle name="常规 2 28 2" xfId="25042"/>
    <cellStyle name="常规 2 28 3" xfId="9288"/>
    <cellStyle name="常规 2 28 4" xfId="2274"/>
    <cellStyle name="常规 2 28 5" xfId="1027"/>
    <cellStyle name="常规 2 29" xfId="25046"/>
    <cellStyle name="常规 2 29 2" xfId="25048"/>
    <cellStyle name="常规 2 29 3" xfId="25050"/>
    <cellStyle name="常规 2 29 4" xfId="2295"/>
    <cellStyle name="常规 2 29 5" xfId="25052"/>
    <cellStyle name="常规 2 3" xfId="25054"/>
    <cellStyle name="常规 2 3 10" xfId="25055"/>
    <cellStyle name="常规 2 3 10 10" xfId="25057"/>
    <cellStyle name="常规 2 3 10 11" xfId="25059"/>
    <cellStyle name="常规 2 3 10 12" xfId="25061"/>
    <cellStyle name="常规 2 3 10 13" xfId="25062"/>
    <cellStyle name="常规 2 3 10 14" xfId="25063"/>
    <cellStyle name="常规 2 3 10 15" xfId="25064"/>
    <cellStyle name="常规 2 3 10 16" xfId="25065"/>
    <cellStyle name="常规 2 3 10 17" xfId="25066"/>
    <cellStyle name="常规 2 3 10 2" xfId="25067"/>
    <cellStyle name="常规 2 3 10 2 2" xfId="25068"/>
    <cellStyle name="常规 2 3 10 2 3" xfId="13592"/>
    <cellStyle name="常规 2 3 10 3" xfId="25069"/>
    <cellStyle name="常规 2 3 10 3 2" xfId="25070"/>
    <cellStyle name="常规 2 3 10 3 3" xfId="13633"/>
    <cellStyle name="常规 2 3 10 4" xfId="25071"/>
    <cellStyle name="常规 2 3 10 4 2" xfId="25072"/>
    <cellStyle name="常规 2 3 10 4 3" xfId="13648"/>
    <cellStyle name="常规 2 3 10 5" xfId="25073"/>
    <cellStyle name="常规 2 3 10 6" xfId="25074"/>
    <cellStyle name="常规 2 3 10 7" xfId="25075"/>
    <cellStyle name="常规 2 3 10 8" xfId="25076"/>
    <cellStyle name="常规 2 3 10 9" xfId="25077"/>
    <cellStyle name="常规 2 3 11" xfId="25081"/>
    <cellStyle name="常规 2 3 11 10" xfId="25082"/>
    <cellStyle name="常规 2 3 11 11" xfId="25083"/>
    <cellStyle name="常规 2 3 11 12" xfId="25084"/>
    <cellStyle name="常规 2 3 11 13" xfId="25085"/>
    <cellStyle name="常规 2 3 11 14" xfId="15595"/>
    <cellStyle name="常规 2 3 11 15" xfId="15620"/>
    <cellStyle name="常规 2 3 11 16" xfId="15627"/>
    <cellStyle name="常规 2 3 11 17" xfId="15633"/>
    <cellStyle name="常规 2 3 11 2" xfId="5"/>
    <cellStyle name="常规 2 3 11 2 2" xfId="25087"/>
    <cellStyle name="常规 2 3 11 2 3" xfId="25089"/>
    <cellStyle name="常规 2 3 11 3" xfId="25090"/>
    <cellStyle name="常规 2 3 11 4" xfId="25091"/>
    <cellStyle name="常规 2 3 11 5" xfId="25092"/>
    <cellStyle name="常规 2 3 11 6" xfId="25093"/>
    <cellStyle name="常规 2 3 11 7" xfId="25094"/>
    <cellStyle name="常规 2 3 11 8" xfId="25095"/>
    <cellStyle name="常规 2 3 11 9" xfId="25096"/>
    <cellStyle name="常规 2 3 12" xfId="5999"/>
    <cellStyle name="常规 2 3 12 2" xfId="25097"/>
    <cellStyle name="常规 2 3 12 2 2" xfId="25098"/>
    <cellStyle name="常规 2 3 12 3" xfId="25099"/>
    <cellStyle name="常规 2 3 12 4" xfId="18818"/>
    <cellStyle name="常规 2 3 13" xfId="25100"/>
    <cellStyle name="常规 2 3 13 2" xfId="25101"/>
    <cellStyle name="常规 2 3 13 3" xfId="25102"/>
    <cellStyle name="常规 2 3 14" xfId="25103"/>
    <cellStyle name="常规 2 3 14 2" xfId="25104"/>
    <cellStyle name="常规 2 3 14 3" xfId="25105"/>
    <cellStyle name="常规 2 3 15" xfId="25106"/>
    <cellStyle name="常规 2 3 15 2" xfId="25108"/>
    <cellStyle name="常规 2 3 15 3" xfId="25110"/>
    <cellStyle name="常规 2 3 16" xfId="12973"/>
    <cellStyle name="常规 2 3 16 2" xfId="25112"/>
    <cellStyle name="常规 2 3 16 3" xfId="25114"/>
    <cellStyle name="常规 2 3 17" xfId="25117"/>
    <cellStyle name="常规 2 3 17 2" xfId="25121"/>
    <cellStyle name="常规 2 3 17 3" xfId="25124"/>
    <cellStyle name="常规 2 3 18" xfId="10275"/>
    <cellStyle name="常规 2 3 18 2" xfId="25128"/>
    <cellStyle name="常规 2 3 18 3" xfId="25133"/>
    <cellStyle name="常规 2 3 19" xfId="25137"/>
    <cellStyle name="常规 2 3 19 2" xfId="25140"/>
    <cellStyle name="常规 2 3 19 2 2" xfId="25142"/>
    <cellStyle name="常规 2 3 19 3" xfId="25147"/>
    <cellStyle name="常规 2 3 19 3 2" xfId="25150"/>
    <cellStyle name="常规 2 3 19 4" xfId="23235"/>
    <cellStyle name="常规 2 3 19 4 2" xfId="25152"/>
    <cellStyle name="常规 2 3 19 5" xfId="25153"/>
    <cellStyle name="常规 2 3 19 6" xfId="25155"/>
    <cellStyle name="常规 2 3 2" xfId="6200"/>
    <cellStyle name="常规 2 3 2 10" xfId="25156"/>
    <cellStyle name="常规 2 3 2 11" xfId="25158"/>
    <cellStyle name="常规 2 3 2 12" xfId="20180"/>
    <cellStyle name="常规 2 3 2 13" xfId="25159"/>
    <cellStyle name="常规 2 3 2 14" xfId="25161"/>
    <cellStyle name="常规 2 3 2 15" xfId="15113"/>
    <cellStyle name="常规 2 3 2 16" xfId="10523"/>
    <cellStyle name="常规 2 3 2 17" xfId="25162"/>
    <cellStyle name="常规 2 3 2 18" xfId="25163"/>
    <cellStyle name="常规 2 3 2 2" xfId="7210"/>
    <cellStyle name="常规 2 3 2 2 2" xfId="25165"/>
    <cellStyle name="常规 2 3 2 2 3" xfId="15088"/>
    <cellStyle name="常规 2 3 2 3" xfId="25167"/>
    <cellStyle name="常规 2 3 2 3 2" xfId="25169"/>
    <cellStyle name="常规 2 3 2 3 3" xfId="4068"/>
    <cellStyle name="常规 2 3 2 4" xfId="25171"/>
    <cellStyle name="常规 2 3 2 4 2" xfId="25173"/>
    <cellStyle name="常规 2 3 2 4 3" xfId="4080"/>
    <cellStyle name="常规 2 3 2 5" xfId="25175"/>
    <cellStyle name="常规 2 3 2 5 2" xfId="25176"/>
    <cellStyle name="常规 2 3 2 5 3" xfId="4086"/>
    <cellStyle name="常规 2 3 2 6" xfId="25177"/>
    <cellStyle name="常规 2 3 2 6 2" xfId="19153"/>
    <cellStyle name="常规 2 3 2 6 3" xfId="22976"/>
    <cellStyle name="常规 2 3 2 7" xfId="25178"/>
    <cellStyle name="常规 2 3 2 7 2" xfId="25179"/>
    <cellStyle name="常规 2 3 2 7 3" xfId="22125"/>
    <cellStyle name="常规 2 3 2 8" xfId="25180"/>
    <cellStyle name="常规 2 3 2 9" xfId="25181"/>
    <cellStyle name="常规 2 3 20" xfId="25107"/>
    <cellStyle name="常规 2 3 20 2" xfId="25109"/>
    <cellStyle name="常规 2 3 20 2 2" xfId="25182"/>
    <cellStyle name="常规 2 3 20 3" xfId="25111"/>
    <cellStyle name="常规 2 3 20 3 2" xfId="25183"/>
    <cellStyle name="常规 2 3 20 4" xfId="18839"/>
    <cellStyle name="常规 2 3 20 4 2" xfId="25184"/>
    <cellStyle name="常规 2 3 20 5" xfId="18841"/>
    <cellStyle name="常规 2 3 20 6" xfId="18843"/>
    <cellStyle name="常规 2 3 21" xfId="12974"/>
    <cellStyle name="常规 2 3 21 2" xfId="25113"/>
    <cellStyle name="常规 2 3 21 2 2" xfId="25185"/>
    <cellStyle name="常规 2 3 21 3" xfId="25115"/>
    <cellStyle name="常规 2 3 21 3 2" xfId="25186"/>
    <cellStyle name="常规 2 3 21 4" xfId="18847"/>
    <cellStyle name="常规 2 3 21 4 2" xfId="25187"/>
    <cellStyle name="常规 2 3 21 5" xfId="18850"/>
    <cellStyle name="常规 2 3 21 6" xfId="18852"/>
    <cellStyle name="常规 2 3 22" xfId="25118"/>
    <cellStyle name="常规 2 3 22 2" xfId="25122"/>
    <cellStyle name="常规 2 3 22 3" xfId="25125"/>
    <cellStyle name="常规 2 3 23" xfId="10276"/>
    <cellStyle name="常规 2 3 23 2" xfId="25129"/>
    <cellStyle name="常规 2 3 23 2 2" xfId="25190"/>
    <cellStyle name="常规 2 3 23 3" xfId="25134"/>
    <cellStyle name="常规 2 3 23 3 2" xfId="25193"/>
    <cellStyle name="常规 2 3 23 4" xfId="23233"/>
    <cellStyle name="常规 2 3 23 5" xfId="25194"/>
    <cellStyle name="常规 2 3 24" xfId="25138"/>
    <cellStyle name="常规 2 3 24 2" xfId="25141"/>
    <cellStyle name="常规 2 3 24 2 2" xfId="25143"/>
    <cellStyle name="常规 2 3 24 3" xfId="25148"/>
    <cellStyle name="常规 2 3 24 3 2" xfId="25151"/>
    <cellStyle name="常规 2 3 24 4" xfId="23236"/>
    <cellStyle name="常规 2 3 24 5" xfId="25154"/>
    <cellStyle name="常规 2 3 25" xfId="25197"/>
    <cellStyle name="常规 2 3 25 2" xfId="25200"/>
    <cellStyle name="常规 2 3 25 2 2" xfId="25203"/>
    <cellStyle name="常规 2 3 25 3" xfId="25209"/>
    <cellStyle name="常规 2 3 25 3 2" xfId="25212"/>
    <cellStyle name="常规 2 3 25 4" xfId="25215"/>
    <cellStyle name="常规 2 3 25 5" xfId="25217"/>
    <cellStyle name="常规 2 3 26" xfId="25219"/>
    <cellStyle name="常规 2 3 26 2" xfId="25222"/>
    <cellStyle name="常规 2 3 26 2 2" xfId="25225"/>
    <cellStyle name="常规 2 3 26 3" xfId="21849"/>
    <cellStyle name="常规 2 3 26 3 2" xfId="25228"/>
    <cellStyle name="常规 2 3 26 4" xfId="25231"/>
    <cellStyle name="常规 2 3 27" xfId="19239"/>
    <cellStyle name="常规 2 3 27 2" xfId="19244"/>
    <cellStyle name="常规 2 3 27 2 2" xfId="16366"/>
    <cellStyle name="常规 2 3 27 3" xfId="19249"/>
    <cellStyle name="常规 2 3 27 3 2" xfId="16382"/>
    <cellStyle name="常规 2 3 27 4" xfId="19252"/>
    <cellStyle name="常规 2 3 28" xfId="25233"/>
    <cellStyle name="常规 2 3 28 2" xfId="25236"/>
    <cellStyle name="常规 2 3 28 2 2" xfId="16582"/>
    <cellStyle name="常规 2 3 28 3" xfId="21854"/>
    <cellStyle name="常规 2 3 28 3 2" xfId="16594"/>
    <cellStyle name="常规 2 3 28 4" xfId="25238"/>
    <cellStyle name="常规 2 3 29" xfId="25240"/>
    <cellStyle name="常规 2 3 29 2" xfId="965"/>
    <cellStyle name="常规 2 3 29 2 2" xfId="25242"/>
    <cellStyle name="常规 2 3 29 3" xfId="1013"/>
    <cellStyle name="常规 2 3 29 3 2" xfId="25245"/>
    <cellStyle name="常规 2 3 29 4" xfId="25248"/>
    <cellStyle name="常规 2 3 3" xfId="7135"/>
    <cellStyle name="常规 2 3 3 10" xfId="25252"/>
    <cellStyle name="常规 2 3 3 11" xfId="25253"/>
    <cellStyle name="常规 2 3 3 12" xfId="25254"/>
    <cellStyle name="常规 2 3 3 13" xfId="15410"/>
    <cellStyle name="常规 2 3 3 14" xfId="15416"/>
    <cellStyle name="常规 2 3 3 15" xfId="15422"/>
    <cellStyle name="常规 2 3 3 16" xfId="12585"/>
    <cellStyle name="常规 2 3 3 2" xfId="19175"/>
    <cellStyle name="常规 2 3 3 2 2" xfId="25258"/>
    <cellStyle name="常规 2 3 3 2 3" xfId="25262"/>
    <cellStyle name="常规 2 3 3 3" xfId="25264"/>
    <cellStyle name="常规 2 3 3 3 2" xfId="25266"/>
    <cellStyle name="常规 2 3 3 3 3" xfId="4094"/>
    <cellStyle name="常规 2 3 3 4" xfId="25268"/>
    <cellStyle name="常规 2 3 3 4 2" xfId="25270"/>
    <cellStyle name="常规 2 3 3 4 3" xfId="4099"/>
    <cellStyle name="常规 2 3 3 5" xfId="25272"/>
    <cellStyle name="常规 2 3 3 6" xfId="25273"/>
    <cellStyle name="常规 2 3 3 7" xfId="25274"/>
    <cellStyle name="常规 2 3 3 8" xfId="25275"/>
    <cellStyle name="常规 2 3 3 9" xfId="25276"/>
    <cellStyle name="常规 2 3 30" xfId="25198"/>
    <cellStyle name="常规 2 3 30 2" xfId="25201"/>
    <cellStyle name="常规 2 3 30 2 2" xfId="25204"/>
    <cellStyle name="常规 2 3 30 3" xfId="25210"/>
    <cellStyle name="常规 2 3 30 3 2" xfId="25213"/>
    <cellStyle name="常规 2 3 30 4" xfId="25216"/>
    <cellStyle name="常规 2 3 31" xfId="25220"/>
    <cellStyle name="常规 2 3 31 2" xfId="25223"/>
    <cellStyle name="常规 2 3 31 2 2" xfId="25226"/>
    <cellStyle name="常规 2 3 31 3" xfId="21850"/>
    <cellStyle name="常规 2 3 31 3 2" xfId="25229"/>
    <cellStyle name="常规 2 3 31 4" xfId="25232"/>
    <cellStyle name="常规 2 3 32" xfId="19240"/>
    <cellStyle name="常规 2 3 32 2" xfId="19245"/>
    <cellStyle name="常规 2 3 32 2 2" xfId="16367"/>
    <cellStyle name="常规 2 3 32 3" xfId="19250"/>
    <cellStyle name="常规 2 3 32 3 2" xfId="16383"/>
    <cellStyle name="常规 2 3 32 4" xfId="19253"/>
    <cellStyle name="常规 2 3 33" xfId="25234"/>
    <cellStyle name="常规 2 3 33 2" xfId="25237"/>
    <cellStyle name="常规 2 3 33 2 2" xfId="16583"/>
    <cellStyle name="常规 2 3 33 3" xfId="21855"/>
    <cellStyle name="常规 2 3 33 3 2" xfId="16595"/>
    <cellStyle name="常规 2 3 33 4" xfId="25239"/>
    <cellStyle name="常规 2 3 34" xfId="25241"/>
    <cellStyle name="常规 2 3 34 2" xfId="966"/>
    <cellStyle name="常规 2 3 34 2 2" xfId="25243"/>
    <cellStyle name="常规 2 3 34 3" xfId="1014"/>
    <cellStyle name="常规 2 3 34 3 2" xfId="25246"/>
    <cellStyle name="常规 2 3 34 4" xfId="25249"/>
    <cellStyle name="常规 2 3 35" xfId="19196"/>
    <cellStyle name="常规 2 3 35 2" xfId="25277"/>
    <cellStyle name="常规 2 3 35 2 2" xfId="25279"/>
    <cellStyle name="常规 2 3 35 3" xfId="25281"/>
    <cellStyle name="常规 2 3 35 3 2" xfId="25283"/>
    <cellStyle name="常规 2 3 35 4" xfId="25286"/>
    <cellStyle name="常规 2 3 36" xfId="2853"/>
    <cellStyle name="常规 2 3 36 2" xfId="25288"/>
    <cellStyle name="常规 2 3 36 2 2" xfId="25290"/>
    <cellStyle name="常规 2 3 36 3" xfId="25294"/>
    <cellStyle name="常规 2 3 36 3 2" xfId="25297"/>
    <cellStyle name="常规 2 3 36 4" xfId="25300"/>
    <cellStyle name="常规 2 3 37" xfId="25302"/>
    <cellStyle name="常规 2 3 37 2" xfId="25305"/>
    <cellStyle name="常规 2 3 37 2 2" xfId="25308"/>
    <cellStyle name="常规 2 3 37 3" xfId="25313"/>
    <cellStyle name="常规 2 3 37 3 2" xfId="25317"/>
    <cellStyle name="常规 2 3 37 4" xfId="25320"/>
    <cellStyle name="常规 2 3 38" xfId="8659"/>
    <cellStyle name="常规 2 3 38 2" xfId="25322"/>
    <cellStyle name="常规 2 3 38 2 2" xfId="24187"/>
    <cellStyle name="常规 2 3 38 3" xfId="25323"/>
    <cellStyle name="常规 2 3 38 3 2" xfId="11036"/>
    <cellStyle name="常规 2 3 38 4" xfId="16312"/>
    <cellStyle name="常规 2 3 39" xfId="25324"/>
    <cellStyle name="常规 2 3 39 2" xfId="25326"/>
    <cellStyle name="常规 2 3 39 2 2" xfId="25328"/>
    <cellStyle name="常规 2 3 39 3" xfId="25329"/>
    <cellStyle name="常规 2 3 39 3 2" xfId="11247"/>
    <cellStyle name="常规 2 3 39 4" xfId="16322"/>
    <cellStyle name="常规 2 3 4" xfId="11489"/>
    <cellStyle name="常规 2 3 4 10" xfId="25330"/>
    <cellStyle name="常规 2 3 4 11" xfId="25331"/>
    <cellStyle name="常规 2 3 4 12" xfId="5452"/>
    <cellStyle name="常规 2 3 4 13" xfId="5459"/>
    <cellStyle name="常规 2 3 4 14" xfId="4077"/>
    <cellStyle name="常规 2 3 4 15" xfId="25332"/>
    <cellStyle name="常规 2 3 4 16" xfId="25333"/>
    <cellStyle name="常规 2 3 4 2" xfId="25335"/>
    <cellStyle name="常规 2 3 4 2 2" xfId="25337"/>
    <cellStyle name="常规 2 3 4 2 3" xfId="25338"/>
    <cellStyle name="常规 2 3 4 3" xfId="14893"/>
    <cellStyle name="常规 2 3 4 3 2" xfId="25341"/>
    <cellStyle name="常规 2 3 4 3 3" xfId="25343"/>
    <cellStyle name="常规 2 3 4 4" xfId="25346"/>
    <cellStyle name="常规 2 3 4 4 2" xfId="25349"/>
    <cellStyle name="常规 2 3 4 4 3" xfId="25351"/>
    <cellStyle name="常规 2 3 4 5" xfId="25354"/>
    <cellStyle name="常规 2 3 4 6" xfId="25356"/>
    <cellStyle name="常规 2 3 4 7" xfId="25359"/>
    <cellStyle name="常规 2 3 4 8" xfId="25360"/>
    <cellStyle name="常规 2 3 4 9" xfId="25361"/>
    <cellStyle name="常规 2 3 40" xfId="19197"/>
    <cellStyle name="常规 2 3 40 2" xfId="25278"/>
    <cellStyle name="常规 2 3 40 2 2" xfId="25280"/>
    <cellStyle name="常规 2 3 40 3" xfId="25282"/>
    <cellStyle name="常规 2 3 40 3 2" xfId="25284"/>
    <cellStyle name="常规 2 3 40 4" xfId="25287"/>
    <cellStyle name="常规 2 3 41" xfId="2854"/>
    <cellStyle name="常规 2 3 41 2" xfId="25289"/>
    <cellStyle name="常规 2 3 41 2 2" xfId="25291"/>
    <cellStyle name="常规 2 3 41 3" xfId="25295"/>
    <cellStyle name="常规 2 3 41 3 2" xfId="25298"/>
    <cellStyle name="常规 2 3 41 4" xfId="25301"/>
    <cellStyle name="常规 2 3 42" xfId="25303"/>
    <cellStyle name="常规 2 3 42 2" xfId="25306"/>
    <cellStyle name="常规 2 3 42 2 2" xfId="25309"/>
    <cellStyle name="常规 2 3 42 3" xfId="25314"/>
    <cellStyle name="常规 2 3 42 3 2" xfId="25318"/>
    <cellStyle name="常规 2 3 42 4" xfId="25321"/>
    <cellStyle name="常规 2 3 43" xfId="8660"/>
    <cellStyle name="常规 2 3 44" xfId="25325"/>
    <cellStyle name="常规 2 3 5" xfId="25363"/>
    <cellStyle name="常规 2 3 5 10" xfId="25364"/>
    <cellStyle name="常规 2 3 5 11" xfId="20254"/>
    <cellStyle name="常规 2 3 5 12" xfId="25365"/>
    <cellStyle name="常规 2 3 5 13" xfId="25366"/>
    <cellStyle name="常规 2 3 5 14" xfId="25367"/>
    <cellStyle name="常规 2 3 5 15" xfId="25368"/>
    <cellStyle name="常规 2 3 5 16" xfId="25369"/>
    <cellStyle name="常规 2 3 5 2" xfId="25371"/>
    <cellStyle name="常规 2 3 5 2 2" xfId="25374"/>
    <cellStyle name="常规 2 3 5 2 3" xfId="25376"/>
    <cellStyle name="常规 2 3 5 3" xfId="14899"/>
    <cellStyle name="常规 2 3 5 3 2" xfId="25379"/>
    <cellStyle name="常规 2 3 5 3 3" xfId="25381"/>
    <cellStyle name="常规 2 3 5 4" xfId="25384"/>
    <cellStyle name="常规 2 3 5 4 2" xfId="25387"/>
    <cellStyle name="常规 2 3 5 4 3" xfId="25389"/>
    <cellStyle name="常规 2 3 5 5" xfId="25392"/>
    <cellStyle name="常规 2 3 5 6" xfId="25394"/>
    <cellStyle name="常规 2 3 5 7" xfId="25397"/>
    <cellStyle name="常规 2 3 5 8" xfId="25398"/>
    <cellStyle name="常规 2 3 5 9" xfId="25399"/>
    <cellStyle name="常规 2 3 6" xfId="25401"/>
    <cellStyle name="常规 2 3 6 10" xfId="17024"/>
    <cellStyle name="常规 2 3 6 11" xfId="17303"/>
    <cellStyle name="常规 2 3 6 12" xfId="17308"/>
    <cellStyle name="常规 2 3 6 13" xfId="17310"/>
    <cellStyle name="常规 2 3 6 14" xfId="25403"/>
    <cellStyle name="常规 2 3 6 15" xfId="25405"/>
    <cellStyle name="常规 2 3 6 16" xfId="25406"/>
    <cellStyle name="常规 2 3 6 2" xfId="25409"/>
    <cellStyle name="常规 2 3 6 2 2" xfId="25412"/>
    <cellStyle name="常规 2 3 6 2 3" xfId="25413"/>
    <cellStyle name="常规 2 3 6 3" xfId="14905"/>
    <cellStyle name="常规 2 3 6 3 2" xfId="25416"/>
    <cellStyle name="常规 2 3 6 3 3" xfId="25418"/>
    <cellStyle name="常规 2 3 6 4" xfId="25421"/>
    <cellStyle name="常规 2 3 6 4 2" xfId="25425"/>
    <cellStyle name="常规 2 3 6 4 3" xfId="25427"/>
    <cellStyle name="常规 2 3 6 5" xfId="25430"/>
    <cellStyle name="常规 2 3 6 6" xfId="25432"/>
    <cellStyle name="常规 2 3 6 7" xfId="21529"/>
    <cellStyle name="常规 2 3 6 8" xfId="21532"/>
    <cellStyle name="常规 2 3 6 9" xfId="21535"/>
    <cellStyle name="常规 2 3 7" xfId="25434"/>
    <cellStyle name="常规 2 3 7 10" xfId="25435"/>
    <cellStyle name="常规 2 3 7 11" xfId="8645"/>
    <cellStyle name="常规 2 3 7 12" xfId="8649"/>
    <cellStyle name="常规 2 3 7 13" xfId="25436"/>
    <cellStyle name="常规 2 3 7 14" xfId="25437"/>
    <cellStyle name="常规 2 3 7 15" xfId="25438"/>
    <cellStyle name="常规 2 3 7 16" xfId="16263"/>
    <cellStyle name="常规 2 3 7 2" xfId="25440"/>
    <cellStyle name="常规 2 3 7 3" xfId="25442"/>
    <cellStyle name="常规 2 3 7 4" xfId="25444"/>
    <cellStyle name="常规 2 3 7 5" xfId="25446"/>
    <cellStyle name="常规 2 3 7 6" xfId="25448"/>
    <cellStyle name="常规 2 3 7 7" xfId="21543"/>
    <cellStyle name="常规 2 3 7 8" xfId="21546"/>
    <cellStyle name="常规 2 3 7 9" xfId="21549"/>
    <cellStyle name="常规 2 3 8" xfId="25449"/>
    <cellStyle name="常规 2 3 8 10" xfId="25450"/>
    <cellStyle name="常规 2 3 8 11" xfId="25451"/>
    <cellStyle name="常规 2 3 8 12" xfId="25452"/>
    <cellStyle name="常规 2 3 8 13" xfId="15486"/>
    <cellStyle name="常规 2 3 8 14" xfId="15491"/>
    <cellStyle name="常规 2 3 8 15" xfId="15494"/>
    <cellStyle name="常规 2 3 8 16" xfId="15498"/>
    <cellStyle name="常规 2 3 8 2" xfId="19270"/>
    <cellStyle name="常规 2 3 8 3" xfId="19274"/>
    <cellStyle name="常规 2 3 8 4" xfId="22660"/>
    <cellStyle name="常规 2 3 8 5" xfId="22666"/>
    <cellStyle name="常规 2 3 8 6" xfId="22671"/>
    <cellStyle name="常规 2 3 8 7" xfId="21554"/>
    <cellStyle name="常规 2 3 8 8" xfId="22675"/>
    <cellStyle name="常规 2 3 8 9" xfId="25453"/>
    <cellStyle name="常规 2 3 9" xfId="25455"/>
    <cellStyle name="常规 2 3 9 10" xfId="25456"/>
    <cellStyle name="常规 2 3 9 11" xfId="25457"/>
    <cellStyle name="常规 2 3 9 12" xfId="5924"/>
    <cellStyle name="常规 2 3 9 13" xfId="25458"/>
    <cellStyle name="常规 2 3 9 14" xfId="25459"/>
    <cellStyle name="常规 2 3 9 15" xfId="8209"/>
    <cellStyle name="常规 2 3 9 16" xfId="25460"/>
    <cellStyle name="常规 2 3 9 17" xfId="25461"/>
    <cellStyle name="常规 2 3 9 2" xfId="22388"/>
    <cellStyle name="常规 2 3 9 2 2" xfId="22390"/>
    <cellStyle name="常规 2 3 9 2 3" xfId="25462"/>
    <cellStyle name="常规 2 3 9 3" xfId="22393"/>
    <cellStyle name="常规 2 3 9 3 2" xfId="25464"/>
    <cellStyle name="常规 2 3 9 3 3" xfId="25465"/>
    <cellStyle name="常规 2 3 9 4" xfId="25468"/>
    <cellStyle name="常规 2 3 9 4 2" xfId="25470"/>
    <cellStyle name="常规 2 3 9 4 3" xfId="23064"/>
    <cellStyle name="常规 2 3 9 5" xfId="25472"/>
    <cellStyle name="常规 2 3 9 6" xfId="25474"/>
    <cellStyle name="常规 2 3 9 7" xfId="21558"/>
    <cellStyle name="常规 2 3 9 8" xfId="25475"/>
    <cellStyle name="常规 2 3 9 9" xfId="25476"/>
    <cellStyle name="常规 2 3_（安装）重庆恒大名都综合楼装修工程报价清单-090422发标(1)" xfId="286"/>
    <cellStyle name="常规 2 30" xfId="25028"/>
    <cellStyle name="常规 2 30 2" xfId="25030"/>
    <cellStyle name="常规 2 30 3" xfId="25032"/>
    <cellStyle name="常规 2 30 4" xfId="25034"/>
    <cellStyle name="常规 2 30 5" xfId="21057"/>
    <cellStyle name="常规 2 31" xfId="25037"/>
    <cellStyle name="常规 2 31 2" xfId="5017"/>
    <cellStyle name="常规 2 31 3" xfId="5021"/>
    <cellStyle name="常规 2 31 4" xfId="5025"/>
    <cellStyle name="常规 2 31 5" xfId="21062"/>
    <cellStyle name="常规 2 32" xfId="25039"/>
    <cellStyle name="常规 2 32 2" xfId="5032"/>
    <cellStyle name="常规 2 32 3" xfId="5036"/>
    <cellStyle name="常规 2 32 4" xfId="2251"/>
    <cellStyle name="常规 2 32 5" xfId="2257"/>
    <cellStyle name="常规 2 33" xfId="25041"/>
    <cellStyle name="常规 2 33 2" xfId="25043"/>
    <cellStyle name="常规 2 33 3" xfId="9289"/>
    <cellStyle name="常规 2 33 4" xfId="2275"/>
    <cellStyle name="常规 2 33 5" xfId="1028"/>
    <cellStyle name="常规 2 34" xfId="25047"/>
    <cellStyle name="常规 2 34 2" xfId="25049"/>
    <cellStyle name="常规 2 34 3" xfId="25051"/>
    <cellStyle name="常规 2 34 4" xfId="2296"/>
    <cellStyle name="常规 2 34 5" xfId="25053"/>
    <cellStyle name="常规 2 35" xfId="25478"/>
    <cellStyle name="常规 2 35 2" xfId="25480"/>
    <cellStyle name="常规 2 35 3" xfId="22015"/>
    <cellStyle name="常规 2 35 4" xfId="22020"/>
    <cellStyle name="常规 2 35 5" xfId="22026"/>
    <cellStyle name="常规 2 36" xfId="25482"/>
    <cellStyle name="常规 2 36 2" xfId="25484"/>
    <cellStyle name="常规 2 36 3" xfId="25487"/>
    <cellStyle name="常规 2 36 4" xfId="18576"/>
    <cellStyle name="常规 2 36 5" xfId="15665"/>
    <cellStyle name="常规 2 37" xfId="25489"/>
    <cellStyle name="常规 2 37 2" xfId="25491"/>
    <cellStyle name="常规 2 37 3" xfId="25494"/>
    <cellStyle name="常规 2 37 4" xfId="18588"/>
    <cellStyle name="常规 2 37 5" xfId="15670"/>
    <cellStyle name="常规 2 38" xfId="7779"/>
    <cellStyle name="常规 2 38 2" xfId="22900"/>
    <cellStyle name="常规 2 38 3" xfId="25496"/>
    <cellStyle name="常规 2 38 4" xfId="25501"/>
    <cellStyle name="常规 2 38 5" xfId="25505"/>
    <cellStyle name="常规 2 39" xfId="25509"/>
    <cellStyle name="常规 2 39 2" xfId="25511"/>
    <cellStyle name="常规 2 39 3" xfId="25513"/>
    <cellStyle name="常规 2 39 4" xfId="25515"/>
    <cellStyle name="常规 2 39 5" xfId="25517"/>
    <cellStyle name="常规 2 4" xfId="25519"/>
    <cellStyle name="常规 2 4 10" xfId="25521"/>
    <cellStyle name="常规 2 4 10 10" xfId="22091"/>
    <cellStyle name="常规 2 4 10 11" xfId="25522"/>
    <cellStyle name="常规 2 4 10 12" xfId="25523"/>
    <cellStyle name="常规 2 4 10 13" xfId="25524"/>
    <cellStyle name="常规 2 4 10 14" xfId="25525"/>
    <cellStyle name="常规 2 4 10 15" xfId="25526"/>
    <cellStyle name="常规 2 4 10 16" xfId="25527"/>
    <cellStyle name="常规 2 4 10 17" xfId="25528"/>
    <cellStyle name="常规 2 4 10 2" xfId="25529"/>
    <cellStyle name="常规 2 4 10 3" xfId="21919"/>
    <cellStyle name="常规 2 4 10 4" xfId="804"/>
    <cellStyle name="常规 2 4 10 5" xfId="25531"/>
    <cellStyle name="常规 2 4 10 6" xfId="25535"/>
    <cellStyle name="常规 2 4 10 7" xfId="25538"/>
    <cellStyle name="常规 2 4 10 8" xfId="25540"/>
    <cellStyle name="常规 2 4 10 9" xfId="25542"/>
    <cellStyle name="常规 2 4 11" xfId="25543"/>
    <cellStyle name="常规 2 4 11 10" xfId="19687"/>
    <cellStyle name="常规 2 4 11 11" xfId="25544"/>
    <cellStyle name="常规 2 4 11 12" xfId="11414"/>
    <cellStyle name="常规 2 4 11 13" xfId="11424"/>
    <cellStyle name="常规 2 4 11 14" xfId="11440"/>
    <cellStyle name="常规 2 4 11 15" xfId="11442"/>
    <cellStyle name="常规 2 4 11 16" xfId="16718"/>
    <cellStyle name="常规 2 4 11 17" xfId="25545"/>
    <cellStyle name="常规 2 4 11 2" xfId="25546"/>
    <cellStyle name="常规 2 4 11 3" xfId="25547"/>
    <cellStyle name="常规 2 4 11 4" xfId="25550"/>
    <cellStyle name="常规 2 4 11 5" xfId="25552"/>
    <cellStyle name="常规 2 4 11 6" xfId="19656"/>
    <cellStyle name="常规 2 4 11 7" xfId="25555"/>
    <cellStyle name="常规 2 4 11 8" xfId="25556"/>
    <cellStyle name="常规 2 4 11 9" xfId="25557"/>
    <cellStyle name="常规 2 4 12" xfId="25558"/>
    <cellStyle name="常规 2 4 12 2" xfId="23006"/>
    <cellStyle name="常规 2 4 12 3" xfId="4589"/>
    <cellStyle name="常规 2 4 13" xfId="25559"/>
    <cellStyle name="常规 2 4 13 2" xfId="25560"/>
    <cellStyle name="常规 2 4 13 3" xfId="6949"/>
    <cellStyle name="常规 2 4 14" xfId="25561"/>
    <cellStyle name="常规 2 4 14 2" xfId="25562"/>
    <cellStyle name="常规 2 4 14 3" xfId="25563"/>
    <cellStyle name="常规 2 4 15" xfId="25564"/>
    <cellStyle name="常规 2 4 15 2" xfId="3799"/>
    <cellStyle name="常规 2 4 15 3" xfId="25566"/>
    <cellStyle name="常规 2 4 16" xfId="25568"/>
    <cellStyle name="常规 2 4 16 2" xfId="4036"/>
    <cellStyle name="常规 2 4 16 3" xfId="25570"/>
    <cellStyle name="常规 2 4 17" xfId="13075"/>
    <cellStyle name="常规 2 4 17 2" xfId="3649"/>
    <cellStyle name="常规 2 4 17 3" xfId="25572"/>
    <cellStyle name="常规 2 4 18" xfId="19110"/>
    <cellStyle name="常规 2 4 18 2" xfId="19115"/>
    <cellStyle name="常规 2 4 18 3" xfId="25575"/>
    <cellStyle name="常规 2 4 19" xfId="19121"/>
    <cellStyle name="常规 2 4 19 2" xfId="19126"/>
    <cellStyle name="常规 2 4 19 3" xfId="25578"/>
    <cellStyle name="常规 2 4 2" xfId="25581"/>
    <cellStyle name="常规 2 4 2 10" xfId="25584"/>
    <cellStyle name="常规 2 4 2 11" xfId="25585"/>
    <cellStyle name="常规 2 4 2 12" xfId="25586"/>
    <cellStyle name="常规 2 4 2 13" xfId="25588"/>
    <cellStyle name="常规 2 4 2 14" xfId="25589"/>
    <cellStyle name="常规 2 4 2 15" xfId="25590"/>
    <cellStyle name="常规 2 4 2 16" xfId="25592"/>
    <cellStyle name="常规 2 4 2 17" xfId="25593"/>
    <cellStyle name="常规 2 4 2 18" xfId="25594"/>
    <cellStyle name="常规 2 4 2 2" xfId="25596"/>
    <cellStyle name="常规 2 4 2 2 2" xfId="25598"/>
    <cellStyle name="常规 2 4 2 2 3" xfId="15134"/>
    <cellStyle name="常规 2 4 2 3" xfId="25600"/>
    <cellStyle name="常规 2 4 2 3 2" xfId="25602"/>
    <cellStyle name="常规 2 4 2 3 3" xfId="25605"/>
    <cellStyle name="常规 2 4 2 4" xfId="25607"/>
    <cellStyle name="常规 2 4 2 4 2" xfId="25609"/>
    <cellStyle name="常规 2 4 2 4 3" xfId="25611"/>
    <cellStyle name="常规 2 4 2 5" xfId="25613"/>
    <cellStyle name="常规 2 4 2 5 2" xfId="25614"/>
    <cellStyle name="常规 2 4 2 5 3" xfId="161"/>
    <cellStyle name="常规 2 4 2 6" xfId="25615"/>
    <cellStyle name="常规 2 4 2 6 2" xfId="641"/>
    <cellStyle name="常规 2 4 2 6 3" xfId="714"/>
    <cellStyle name="常规 2 4 2 7" xfId="19210"/>
    <cellStyle name="常规 2 4 2 7 2" xfId="25616"/>
    <cellStyle name="常规 2 4 2 7 3" xfId="25617"/>
    <cellStyle name="常规 2 4 2 8" xfId="25619"/>
    <cellStyle name="常规 2 4 2 9" xfId="25621"/>
    <cellStyle name="常规 2 4 20" xfId="25565"/>
    <cellStyle name="常规 2 4 20 2" xfId="3800"/>
    <cellStyle name="常规 2 4 20 3" xfId="25567"/>
    <cellStyle name="常规 2 4 21" xfId="25569"/>
    <cellStyle name="常规 2 4 21 2" xfId="4037"/>
    <cellStyle name="常规 2 4 21 3" xfId="25571"/>
    <cellStyle name="常规 2 4 22" xfId="13076"/>
    <cellStyle name="常规 2 4 22 2" xfId="3650"/>
    <cellStyle name="常规 2 4 22 3" xfId="25573"/>
    <cellStyle name="常规 2 4 23" xfId="19111"/>
    <cellStyle name="常规 2 4 23 2" xfId="19116"/>
    <cellStyle name="常规 2 4 23 3" xfId="25576"/>
    <cellStyle name="常规 2 4 24" xfId="19122"/>
    <cellStyle name="常规 2 4 24 2" xfId="19127"/>
    <cellStyle name="常规 2 4 24 3" xfId="25579"/>
    <cellStyle name="常规 2 4 25" xfId="19132"/>
    <cellStyle name="常规 2 4 25 2" xfId="19136"/>
    <cellStyle name="常规 2 4 25 3" xfId="25623"/>
    <cellStyle name="常规 2 4 26" xfId="19139"/>
    <cellStyle name="常规 2 4 26 2" xfId="19142"/>
    <cellStyle name="常规 2 4 27" xfId="19145"/>
    <cellStyle name="常规 2 4 27 2" xfId="181"/>
    <cellStyle name="常规 2 4 28" xfId="11829"/>
    <cellStyle name="常规 2 4 28 2" xfId="727"/>
    <cellStyle name="常规 2 4 29" xfId="25624"/>
    <cellStyle name="常规 2 4 29 2" xfId="25626"/>
    <cellStyle name="常规 2 4 3" xfId="12297"/>
    <cellStyle name="常规 2 4 3 10" xfId="25628"/>
    <cellStyle name="常规 2 4 3 11" xfId="25629"/>
    <cellStyle name="常规 2 4 3 12" xfId="5777"/>
    <cellStyle name="常规 2 4 3 13" xfId="15584"/>
    <cellStyle name="常规 2 4 3 14" xfId="25630"/>
    <cellStyle name="常规 2 4 3 15" xfId="25631"/>
    <cellStyle name="常规 2 4 3 16" xfId="2356"/>
    <cellStyle name="常规 2 4 3 2" xfId="25633"/>
    <cellStyle name="常规 2 4 3 3" xfId="25635"/>
    <cellStyle name="常规 2 4 3 4" xfId="25637"/>
    <cellStyle name="常规 2 4 3 5" xfId="25639"/>
    <cellStyle name="常规 2 4 3 6" xfId="6185"/>
    <cellStyle name="常规 2 4 3 7" xfId="25640"/>
    <cellStyle name="常规 2 4 3 8" xfId="25642"/>
    <cellStyle name="常规 2 4 3 9" xfId="25644"/>
    <cellStyle name="常规 2 4 30" xfId="19133"/>
    <cellStyle name="常规 2 4 30 2" xfId="19137"/>
    <cellStyle name="常规 2 4 31" xfId="19140"/>
    <cellStyle name="常规 2 4 31 2" xfId="19143"/>
    <cellStyle name="常规 2 4 32" xfId="19146"/>
    <cellStyle name="常规 2 4 32 2" xfId="182"/>
    <cellStyle name="常规 2 4 33" xfId="11830"/>
    <cellStyle name="常规 2 4 33 2" xfId="728"/>
    <cellStyle name="常规 2 4 33 2 2" xfId="25645"/>
    <cellStyle name="常规 2 4 33 3" xfId="733"/>
    <cellStyle name="常规 2 4 33 3 2" xfId="25646"/>
    <cellStyle name="常规 2 4 33 4" xfId="25647"/>
    <cellStyle name="常规 2 4 34" xfId="25625"/>
    <cellStyle name="常规 2 4 34 2" xfId="25627"/>
    <cellStyle name="常规 2 4 34 2 2" xfId="2348"/>
    <cellStyle name="常规 2 4 34 3" xfId="6507"/>
    <cellStyle name="常规 2 4 34 3 2" xfId="2446"/>
    <cellStyle name="常规 2 4 34 4" xfId="15020"/>
    <cellStyle name="常规 2 4 35" xfId="25648"/>
    <cellStyle name="常规 2 4 35 2" xfId="25650"/>
    <cellStyle name="常规 2 4 36" xfId="25654"/>
    <cellStyle name="常规 2 4 36 2" xfId="25659"/>
    <cellStyle name="常规 2 4 37" xfId="23412"/>
    <cellStyle name="常规 2 4 37 2" xfId="25661"/>
    <cellStyle name="常规 2 4 38" xfId="23417"/>
    <cellStyle name="常规 2 4 38 2" xfId="25664"/>
    <cellStyle name="常规 2 4 39" xfId="23001"/>
    <cellStyle name="常规 2 4 39 2" xfId="25668"/>
    <cellStyle name="常规 2 4 4" xfId="11497"/>
    <cellStyle name="常规 2 4 4 10" xfId="20753"/>
    <cellStyle name="常规 2 4 4 11" xfId="20772"/>
    <cellStyle name="常规 2 4 4 12" xfId="20783"/>
    <cellStyle name="常规 2 4 4 13" xfId="20788"/>
    <cellStyle name="常规 2 4 4 14" xfId="20793"/>
    <cellStyle name="常规 2 4 4 15" xfId="20796"/>
    <cellStyle name="常规 2 4 4 16" xfId="20799"/>
    <cellStyle name="常规 2 4 4 2" xfId="25672"/>
    <cellStyle name="常规 2 4 4 3" xfId="14915"/>
    <cellStyle name="常规 2 4 4 4" xfId="21768"/>
    <cellStyle name="常规 2 4 4 5" xfId="25675"/>
    <cellStyle name="常规 2 4 4 6" xfId="7141"/>
    <cellStyle name="常规 2 4 4 7" xfId="25677"/>
    <cellStyle name="常规 2 4 4 8" xfId="25680"/>
    <cellStyle name="常规 2 4 4 9" xfId="25682"/>
    <cellStyle name="常规 2 4 40" xfId="25649"/>
    <cellStyle name="常规 2 4 40 2" xfId="25651"/>
    <cellStyle name="常规 2 4 40 2 2" xfId="25683"/>
    <cellStyle name="常规 2 4 40 3" xfId="6511"/>
    <cellStyle name="常规 2 4 40 3 2" xfId="25684"/>
    <cellStyle name="常规 2 4 40 4" xfId="15023"/>
    <cellStyle name="常规 2 4 41" xfId="25655"/>
    <cellStyle name="常规 2 4 41 2" xfId="25660"/>
    <cellStyle name="常规 2 4 41 2 2" xfId="25686"/>
    <cellStyle name="常规 2 4 41 3" xfId="25688"/>
    <cellStyle name="常规 2 4 41 3 2" xfId="25689"/>
    <cellStyle name="常规 2 4 41 4" xfId="25691"/>
    <cellStyle name="常规 2 4 42" xfId="23413"/>
    <cellStyle name="常规 2 4 42 2" xfId="25662"/>
    <cellStyle name="常规 2 4 42 2 2" xfId="25692"/>
    <cellStyle name="常规 2 4 42 3" xfId="25694"/>
    <cellStyle name="常规 2 4 42 3 2" xfId="25695"/>
    <cellStyle name="常规 2 4 42 4" xfId="20337"/>
    <cellStyle name="常规 2 4 43" xfId="23418"/>
    <cellStyle name="常规 2 4 43 2" xfId="25665"/>
    <cellStyle name="常规 2 4 43 2 2" xfId="25698"/>
    <cellStyle name="常规 2 4 43 3" xfId="25700"/>
    <cellStyle name="常规 2 4 43 3 2" xfId="25702"/>
    <cellStyle name="常规 2 4 43 4" xfId="25705"/>
    <cellStyle name="常规 2 4 44" xfId="23002"/>
    <cellStyle name="常规 2 4 44 2" xfId="25669"/>
    <cellStyle name="常规 2 4 44 2 2" xfId="25706"/>
    <cellStyle name="常规 2 4 44 3" xfId="25707"/>
    <cellStyle name="常规 2 4 44 3 2" xfId="25708"/>
    <cellStyle name="常规 2 4 44 4" xfId="25712"/>
    <cellStyle name="常规 2 4 45" xfId="23421"/>
    <cellStyle name="常规 2 4 45 2" xfId="25713"/>
    <cellStyle name="常规 2 4 45 2 2" xfId="25716"/>
    <cellStyle name="常规 2 4 45 3" xfId="25719"/>
    <cellStyle name="常规 2 4 45 3 2" xfId="25723"/>
    <cellStyle name="常规 2 4 45 4" xfId="25728"/>
    <cellStyle name="常规 2 4 46" xfId="23425"/>
    <cellStyle name="常规 2 4 46 2" xfId="12013"/>
    <cellStyle name="常规 2 4 46 2 2" xfId="12063"/>
    <cellStyle name="常规 2 4 46 3" xfId="25730"/>
    <cellStyle name="常规 2 4 46 3 2" xfId="25734"/>
    <cellStyle name="常规 2 4 46 4" xfId="25738"/>
    <cellStyle name="常规 2 4 47" xfId="23428"/>
    <cellStyle name="常规 2 4 47 2" xfId="25740"/>
    <cellStyle name="常规 2 4 47 2 2" xfId="25742"/>
    <cellStyle name="常规 2 4 47 3" xfId="25745"/>
    <cellStyle name="常规 2 4 47 3 2" xfId="25748"/>
    <cellStyle name="常规 2 4 47 4" xfId="25752"/>
    <cellStyle name="常规 2 4 48" xfId="23431"/>
    <cellStyle name="常规 2 4 48 2" xfId="25754"/>
    <cellStyle name="常规 2 4 48 2 2" xfId="25756"/>
    <cellStyle name="常规 2 4 48 3" xfId="25758"/>
    <cellStyle name="常规 2 4 48 3 2" xfId="25760"/>
    <cellStyle name="常规 2 4 48 4" xfId="25764"/>
    <cellStyle name="常规 2 4 49" xfId="8526"/>
    <cellStyle name="常规 2 4 49 2" xfId="25766"/>
    <cellStyle name="常规 2 4 49 2 2" xfId="20274"/>
    <cellStyle name="常规 2 4 49 3" xfId="25768"/>
    <cellStyle name="常规 2 4 49 3 2" xfId="25770"/>
    <cellStyle name="常规 2 4 49 4" xfId="25776"/>
    <cellStyle name="常规 2 4 5" xfId="23316"/>
    <cellStyle name="常规 2 4 5 10" xfId="25778"/>
    <cellStyle name="常规 2 4 5 11" xfId="3531"/>
    <cellStyle name="常规 2 4 5 12" xfId="25781"/>
    <cellStyle name="常规 2 4 5 13" xfId="25784"/>
    <cellStyle name="常规 2 4 5 14" xfId="25788"/>
    <cellStyle name="常规 2 4 5 15" xfId="25790"/>
    <cellStyle name="常规 2 4 5 16" xfId="25791"/>
    <cellStyle name="常规 2 4 5 2" xfId="25793"/>
    <cellStyle name="常规 2 4 5 3" xfId="14921"/>
    <cellStyle name="常规 2 4 5 4" xfId="25796"/>
    <cellStyle name="常规 2 4 5 5" xfId="25799"/>
    <cellStyle name="常规 2 4 5 6" xfId="7144"/>
    <cellStyle name="常规 2 4 5 7" xfId="25801"/>
    <cellStyle name="常规 2 4 5 8" xfId="25804"/>
    <cellStyle name="常规 2 4 5 9" xfId="25806"/>
    <cellStyle name="常规 2 4 50" xfId="23422"/>
    <cellStyle name="常规 2 4 50 2" xfId="25714"/>
    <cellStyle name="常规 2 4 50 2 2" xfId="25717"/>
    <cellStyle name="常规 2 4 50 3" xfId="25720"/>
    <cellStyle name="常规 2 4 50 3 2" xfId="25724"/>
    <cellStyle name="常规 2 4 50 4" xfId="25729"/>
    <cellStyle name="常规 2 4 51" xfId="23426"/>
    <cellStyle name="常规 2 4 51 2" xfId="12014"/>
    <cellStyle name="常规 2 4 51 2 2" xfId="12064"/>
    <cellStyle name="常规 2 4 51 3" xfId="25731"/>
    <cellStyle name="常规 2 4 51 3 2" xfId="25735"/>
    <cellStyle name="常规 2 4 51 4" xfId="25739"/>
    <cellStyle name="常规 2 4 52" xfId="23429"/>
    <cellStyle name="常规 2 4 52 2" xfId="25741"/>
    <cellStyle name="常规 2 4 52 2 2" xfId="25743"/>
    <cellStyle name="常规 2 4 52 3" xfId="25746"/>
    <cellStyle name="常规 2 4 52 3 2" xfId="25749"/>
    <cellStyle name="常规 2 4 52 4" xfId="25753"/>
    <cellStyle name="常规 2 4 53" xfId="23432"/>
    <cellStyle name="常规 2 4 53 2" xfId="25755"/>
    <cellStyle name="常规 2 4 53 2 2" xfId="25757"/>
    <cellStyle name="常规 2 4 53 3" xfId="25759"/>
    <cellStyle name="常规 2 4 53 3 2" xfId="25761"/>
    <cellStyle name="常规 2 4 53 4" xfId="25765"/>
    <cellStyle name="常规 2 4 54" xfId="8527"/>
    <cellStyle name="常规 2 4 54 2" xfId="25767"/>
    <cellStyle name="常规 2 4 54 2 2" xfId="20275"/>
    <cellStyle name="常规 2 4 54 3" xfId="25769"/>
    <cellStyle name="常规 2 4 54 3 2" xfId="25771"/>
    <cellStyle name="常规 2 4 54 4" xfId="25777"/>
    <cellStyle name="常规 2 4 55" xfId="8529"/>
    <cellStyle name="常规 2 4 55 2" xfId="25807"/>
    <cellStyle name="常规 2 4 55 2 2" xfId="25808"/>
    <cellStyle name="常规 2 4 55 3" xfId="25809"/>
    <cellStyle name="常规 2 4 55 3 2" xfId="22295"/>
    <cellStyle name="常规 2 4 55 4" xfId="25814"/>
    <cellStyle name="常规 2 4 56" xfId="25815"/>
    <cellStyle name="常规 2 4 56 2" xfId="25816"/>
    <cellStyle name="常规 2 4 56 2 2" xfId="25817"/>
    <cellStyle name="常规 2 4 56 3" xfId="25818"/>
    <cellStyle name="常规 2 4 56 3 2" xfId="25819"/>
    <cellStyle name="常规 2 4 56 4" xfId="25823"/>
    <cellStyle name="常规 2 4 57" xfId="25824"/>
    <cellStyle name="常规 2 4 57 2" xfId="25825"/>
    <cellStyle name="常规 2 4 57 2 2" xfId="25826"/>
    <cellStyle name="常规 2 4 57 3" xfId="25827"/>
    <cellStyle name="常规 2 4 57 3 2" xfId="25828"/>
    <cellStyle name="常规 2 4 57 4" xfId="25832"/>
    <cellStyle name="常规 2 4 58" xfId="25833"/>
    <cellStyle name="常规 2 4 58 2" xfId="25834"/>
    <cellStyle name="常规 2 4 58 2 2" xfId="25835"/>
    <cellStyle name="常规 2 4 58 3" xfId="25836"/>
    <cellStyle name="常规 2 4 58 3 2" xfId="25837"/>
    <cellStyle name="常规 2 4 58 4" xfId="25840"/>
    <cellStyle name="常规 2 4 59" xfId="25841"/>
    <cellStyle name="常规 2 4 59 2" xfId="25843"/>
    <cellStyle name="常规 2 4 59 2 2" xfId="25845"/>
    <cellStyle name="常规 2 4 59 3" xfId="25847"/>
    <cellStyle name="常规 2 4 59 3 2" xfId="25849"/>
    <cellStyle name="常规 2 4 59 4" xfId="25853"/>
    <cellStyle name="常规 2 4 6" xfId="5489"/>
    <cellStyle name="常规 2 4 6 10" xfId="309"/>
    <cellStyle name="常规 2 4 6 11" xfId="363"/>
    <cellStyle name="常规 2 4 6 12" xfId="383"/>
    <cellStyle name="常规 2 4 6 13" xfId="412"/>
    <cellStyle name="常规 2 4 6 14" xfId="453"/>
    <cellStyle name="常规 2 4 6 15" xfId="483"/>
    <cellStyle name="常规 2 4 6 16" xfId="517"/>
    <cellStyle name="常规 2 4 6 2" xfId="21885"/>
    <cellStyle name="常规 2 4 6 3" xfId="24322"/>
    <cellStyle name="常规 2 4 6 4" xfId="24326"/>
    <cellStyle name="常规 2 4 6 5" xfId="24330"/>
    <cellStyle name="常规 2 4 6 6" xfId="25855"/>
    <cellStyle name="常规 2 4 6 7" xfId="7546"/>
    <cellStyle name="常规 2 4 6 8" xfId="7554"/>
    <cellStyle name="常规 2 4 6 9" xfId="7560"/>
    <cellStyle name="常规 2 4 60" xfId="8530"/>
    <cellStyle name="常规 2 4 7" xfId="23319"/>
    <cellStyle name="常规 2 4 7 10" xfId="25856"/>
    <cellStyle name="常规 2 4 7 11" xfId="25857"/>
    <cellStyle name="常规 2 4 7 12" xfId="25858"/>
    <cellStyle name="常规 2 4 7 13" xfId="25859"/>
    <cellStyle name="常规 2 4 7 14" xfId="25860"/>
    <cellStyle name="常规 2 4 7 15" xfId="25862"/>
    <cellStyle name="常规 2 4 7 16" xfId="25864"/>
    <cellStyle name="常规 2 4 7 2" xfId="22801"/>
    <cellStyle name="常规 2 4 7 3" xfId="25866"/>
    <cellStyle name="常规 2 4 7 4" xfId="25868"/>
    <cellStyle name="常规 2 4 7 5" xfId="25870"/>
    <cellStyle name="常规 2 4 7 6" xfId="22299"/>
    <cellStyle name="常规 2 4 7 7" xfId="7568"/>
    <cellStyle name="常规 2 4 7 8" xfId="7575"/>
    <cellStyle name="常规 2 4 7 9" xfId="7580"/>
    <cellStyle name="常规 2 4 8" xfId="23321"/>
    <cellStyle name="常规 2 4 8 10" xfId="25871"/>
    <cellStyle name="常规 2 4 8 11" xfId="25872"/>
    <cellStyle name="常规 2 4 8 12" xfId="263"/>
    <cellStyle name="常规 2 4 8 13" xfId="25873"/>
    <cellStyle name="常规 2 4 8 14" xfId="9811"/>
    <cellStyle name="常规 2 4 8 15" xfId="25874"/>
    <cellStyle name="常规 2 4 8 16" xfId="25876"/>
    <cellStyle name="常规 2 4 8 2" xfId="25878"/>
    <cellStyle name="常规 2 4 8 3" xfId="25880"/>
    <cellStyle name="常规 2 4 8 4" xfId="25882"/>
    <cellStyle name="常规 2 4 8 5" xfId="19830"/>
    <cellStyle name="常规 2 4 8 6" xfId="25884"/>
    <cellStyle name="常规 2 4 8 7" xfId="7583"/>
    <cellStyle name="常规 2 4 8 8" xfId="25887"/>
    <cellStyle name="常规 2 4 8 9" xfId="25890"/>
    <cellStyle name="常规 2 4 9" xfId="23324"/>
    <cellStyle name="常规 2 4 9 10" xfId="10724"/>
    <cellStyle name="常规 2 4 9 11" xfId="10823"/>
    <cellStyle name="常规 2 4 9 12" xfId="10837"/>
    <cellStyle name="常规 2 4 9 13" xfId="10851"/>
    <cellStyle name="常规 2 4 9 14" xfId="10856"/>
    <cellStyle name="常规 2 4 9 15" xfId="5191"/>
    <cellStyle name="常规 2 4 9 16" xfId="22754"/>
    <cellStyle name="常规 2 4 9 2" xfId="25891"/>
    <cellStyle name="常规 2 4 9 3" xfId="25893"/>
    <cellStyle name="常规 2 4 9 4" xfId="25895"/>
    <cellStyle name="常规 2 4 9 5" xfId="22448"/>
    <cellStyle name="常规 2 4 9 6" xfId="25898"/>
    <cellStyle name="常规 2 4 9 7" xfId="19096"/>
    <cellStyle name="常规 2 4 9 8" xfId="25901"/>
    <cellStyle name="常规 2 4 9 9" xfId="25904"/>
    <cellStyle name="常规 2 4_11-20集团审核公共部分）洛阳恒大绿洲首期住宅装修工程项目清单（高鹏改）(1)" xfId="25905"/>
    <cellStyle name="常规 2 40" xfId="25479"/>
    <cellStyle name="常规 2 40 2" xfId="25481"/>
    <cellStyle name="常规 2 40 3" xfId="22016"/>
    <cellStyle name="常规 2 40 4" xfId="22021"/>
    <cellStyle name="常规 2 40 5" xfId="22027"/>
    <cellStyle name="常规 2 41" xfId="25483"/>
    <cellStyle name="常规 2 41 2" xfId="25485"/>
    <cellStyle name="常规 2 41 3" xfId="25488"/>
    <cellStyle name="常规 2 41 4" xfId="18577"/>
    <cellStyle name="常规 2 41 5" xfId="15666"/>
    <cellStyle name="常规 2 42" xfId="25490"/>
    <cellStyle name="常规 2 42 2" xfId="25492"/>
    <cellStyle name="常规 2 42 3" xfId="25495"/>
    <cellStyle name="常规 2 42 4" xfId="18589"/>
    <cellStyle name="常规 2 42 5" xfId="15671"/>
    <cellStyle name="常规 2 43" xfId="7780"/>
    <cellStyle name="常规 2 43 2" xfId="22901"/>
    <cellStyle name="常规 2 43 2 2" xfId="20403"/>
    <cellStyle name="常规 2 43 2 3" xfId="25906"/>
    <cellStyle name="常规 2 43 3" xfId="25497"/>
    <cellStyle name="常规 2 43 3 2" xfId="25908"/>
    <cellStyle name="常规 2 43 3 3" xfId="6450"/>
    <cellStyle name="常规 2 43 4" xfId="25502"/>
    <cellStyle name="常规 2 43 5" xfId="25506"/>
    <cellStyle name="常规 2 44" xfId="25510"/>
    <cellStyle name="常规 2 44 2" xfId="25512"/>
    <cellStyle name="常规 2 44 2 2" xfId="25454"/>
    <cellStyle name="常规 2 44 2 3" xfId="25911"/>
    <cellStyle name="常规 2 44 3" xfId="25514"/>
    <cellStyle name="常规 2 44 3 2" xfId="23322"/>
    <cellStyle name="常规 2 44 3 3" xfId="1787"/>
    <cellStyle name="常规 2 44 4" xfId="25516"/>
    <cellStyle name="常规 2 44 5" xfId="25518"/>
    <cellStyle name="常规 2 45" xfId="25912"/>
    <cellStyle name="常规 2 45 2" xfId="25914"/>
    <cellStyle name="常规 2 45 2 2" xfId="25917"/>
    <cellStyle name="常规 2 45 3" xfId="25918"/>
    <cellStyle name="常规 2 45 3 2" xfId="25921"/>
    <cellStyle name="常规 2 45 4" xfId="25922"/>
    <cellStyle name="常规 2 45 5" xfId="25923"/>
    <cellStyle name="常规 2 46" xfId="25924"/>
    <cellStyle name="常规 2 46 2" xfId="25927"/>
    <cellStyle name="常规 2 46 3" xfId="8674"/>
    <cellStyle name="常规 2 47" xfId="25929"/>
    <cellStyle name="常规 2 47 2" xfId="25931"/>
    <cellStyle name="常规 2 47 3" xfId="25933"/>
    <cellStyle name="常规 2 48" xfId="25935"/>
    <cellStyle name="常规 2 48 2" xfId="25937"/>
    <cellStyle name="常规 2 48 3" xfId="25939"/>
    <cellStyle name="常规 2 49" xfId="23987"/>
    <cellStyle name="常规 2 49 2" xfId="25941"/>
    <cellStyle name="常规 2 49 3" xfId="25945"/>
    <cellStyle name="常规 2 5" xfId="25947"/>
    <cellStyle name="常规 2 5 10" xfId="25948"/>
    <cellStyle name="常规 2 5 10 10" xfId="25950"/>
    <cellStyle name="常规 2 5 10 11" xfId="25952"/>
    <cellStyle name="常规 2 5 10 12" xfId="25954"/>
    <cellStyle name="常规 2 5 10 13" xfId="21863"/>
    <cellStyle name="常规 2 5 10 14" xfId="25956"/>
    <cellStyle name="常规 2 5 10 15" xfId="25958"/>
    <cellStyle name="常规 2 5 10 16" xfId="25960"/>
    <cellStyle name="常规 2 5 10 17" xfId="25961"/>
    <cellStyle name="常规 2 5 10 2" xfId="23642"/>
    <cellStyle name="常规 2 5 10 3" xfId="679"/>
    <cellStyle name="常规 2 5 10 4" xfId="23646"/>
    <cellStyle name="常规 2 5 10 5" xfId="23647"/>
    <cellStyle name="常规 2 5 10 6" xfId="23649"/>
    <cellStyle name="常规 2 5 10 7" xfId="22455"/>
    <cellStyle name="常规 2 5 10 8" xfId="25962"/>
    <cellStyle name="常规 2 5 10 9" xfId="10345"/>
    <cellStyle name="常规 2 5 11" xfId="25963"/>
    <cellStyle name="常规 2 5 11 10" xfId="9532"/>
    <cellStyle name="常规 2 5 11 11" xfId="9545"/>
    <cellStyle name="常规 2 5 11 12" xfId="9556"/>
    <cellStyle name="常规 2 5 11 13" xfId="9565"/>
    <cellStyle name="常规 2 5 11 14" xfId="21335"/>
    <cellStyle name="常规 2 5 11 15" xfId="25966"/>
    <cellStyle name="常规 2 5 11 16" xfId="6275"/>
    <cellStyle name="常规 2 5 11 17" xfId="25967"/>
    <cellStyle name="常规 2 5 11 2" xfId="25968"/>
    <cellStyle name="常规 2 5 11 3" xfId="1421"/>
    <cellStyle name="常规 2 5 11 4" xfId="25970"/>
    <cellStyle name="常规 2 5 11 5" xfId="9301"/>
    <cellStyle name="常规 2 5 11 6" xfId="25971"/>
    <cellStyle name="常规 2 5 11 7" xfId="22460"/>
    <cellStyle name="常规 2 5 11 8" xfId="25972"/>
    <cellStyle name="常规 2 5 11 9" xfId="10374"/>
    <cellStyle name="常规 2 5 12" xfId="19168"/>
    <cellStyle name="常规 2 5 12 2" xfId="25973"/>
    <cellStyle name="常规 2 5 12 3" xfId="25974"/>
    <cellStyle name="常规 2 5 13" xfId="25975"/>
    <cellStyle name="常规 2 5 13 2" xfId="25977"/>
    <cellStyle name="常规 2 5 13 3" xfId="25978"/>
    <cellStyle name="常规 2 5 14" xfId="25979"/>
    <cellStyle name="常规 2 5 14 2" xfId="10534"/>
    <cellStyle name="常规 2 5 14 3" xfId="10539"/>
    <cellStyle name="常规 2 5 15" xfId="25980"/>
    <cellStyle name="常规 2 5 15 2" xfId="10552"/>
    <cellStyle name="常规 2 5 15 3" xfId="10556"/>
    <cellStyle name="常规 2 5 16" xfId="25984"/>
    <cellStyle name="常规 2 5 16 2" xfId="25987"/>
    <cellStyle name="常规 2 5 16 3" xfId="25989"/>
    <cellStyle name="常规 2 5 17" xfId="25992"/>
    <cellStyle name="常规 2 5 17 2" xfId="18971"/>
    <cellStyle name="常规 2 5 17 3" xfId="18974"/>
    <cellStyle name="常规 2 5 18" xfId="25997"/>
    <cellStyle name="常规 2 5 18 2" xfId="26002"/>
    <cellStyle name="常规 2 5 18 3" xfId="20911"/>
    <cellStyle name="常规 2 5 19" xfId="26008"/>
    <cellStyle name="常规 2 5 19 2" xfId="22818"/>
    <cellStyle name="常规 2 5 19 3" xfId="22823"/>
    <cellStyle name="常规 2 5 2" xfId="23437"/>
    <cellStyle name="常规 2 5 2 10" xfId="26011"/>
    <cellStyle name="常规 2 5 2 11" xfId="26014"/>
    <cellStyle name="常规 2 5 2 12" xfId="20900"/>
    <cellStyle name="常规 2 5 2 13" xfId="26016"/>
    <cellStyle name="常规 2 5 2 14" xfId="26017"/>
    <cellStyle name="常规 2 5 2 15" xfId="26018"/>
    <cellStyle name="常规 2 5 2 16" xfId="26019"/>
    <cellStyle name="常规 2 5 2 17" xfId="26020"/>
    <cellStyle name="常规 2 5 2 18" xfId="26021"/>
    <cellStyle name="常规 2 5 2 2" xfId="26023"/>
    <cellStyle name="常规 2 5 2 2 2" xfId="26025"/>
    <cellStyle name="常规 2 5 2 2 3" xfId="26027"/>
    <cellStyle name="常规 2 5 2 3" xfId="26029"/>
    <cellStyle name="常规 2 5 2 3 2" xfId="2724"/>
    <cellStyle name="常规 2 5 2 3 3" xfId="26031"/>
    <cellStyle name="常规 2 5 2 4" xfId="26033"/>
    <cellStyle name="常规 2 5 2 4 2" xfId="26035"/>
    <cellStyle name="常规 2 5 2 4 3" xfId="26036"/>
    <cellStyle name="常规 2 5 2 5" xfId="26038"/>
    <cellStyle name="常规 2 5 2 5 2" xfId="26039"/>
    <cellStyle name="常规 2 5 2 5 3" xfId="26040"/>
    <cellStyle name="常规 2 5 2 6" xfId="13552"/>
    <cellStyle name="常规 2 5 2 6 2" xfId="13555"/>
    <cellStyle name="常规 2 5 2 6 3" xfId="26041"/>
    <cellStyle name="常规 2 5 2 7" xfId="13558"/>
    <cellStyle name="常规 2 5 2 7 2" xfId="13560"/>
    <cellStyle name="常规 2 5 2 7 3" xfId="26043"/>
    <cellStyle name="常规 2 5 2 8" xfId="13563"/>
    <cellStyle name="常规 2 5 2 9" xfId="26045"/>
    <cellStyle name="常规 2 5 20" xfId="25981"/>
    <cellStyle name="常规 2 5 20 2" xfId="10553"/>
    <cellStyle name="常规 2 5 20 3" xfId="10557"/>
    <cellStyle name="常规 2 5 21" xfId="25985"/>
    <cellStyle name="常规 2 5 21 2" xfId="25988"/>
    <cellStyle name="常规 2 5 21 3" xfId="25990"/>
    <cellStyle name="常规 2 5 22" xfId="25993"/>
    <cellStyle name="常规 2 5 22 2" xfId="18972"/>
    <cellStyle name="常规 2 5 22 3" xfId="18975"/>
    <cellStyle name="常规 2 5 23" xfId="25998"/>
    <cellStyle name="常规 2 5 23 2" xfId="26003"/>
    <cellStyle name="常规 2 5 23 3" xfId="20912"/>
    <cellStyle name="常规 2 5 24" xfId="26009"/>
    <cellStyle name="常规 2 5 24 2" xfId="22819"/>
    <cellStyle name="常规 2 5 24 3" xfId="22824"/>
    <cellStyle name="常规 2 5 25" xfId="26049"/>
    <cellStyle name="常规 2 5 25 2" xfId="16646"/>
    <cellStyle name="常规 2 5 25 3" xfId="4235"/>
    <cellStyle name="常规 2 5 26" xfId="26053"/>
    <cellStyle name="常规 2 5 26 2" xfId="26058"/>
    <cellStyle name="常规 2 5 27" xfId="26062"/>
    <cellStyle name="常规 2 5 27 2" xfId="26064"/>
    <cellStyle name="常规 2 5 28" xfId="9398"/>
    <cellStyle name="常规 2 5 28 2" xfId="9401"/>
    <cellStyle name="常规 2 5 29" xfId="9404"/>
    <cellStyle name="常规 2 5 29 2" xfId="9409"/>
    <cellStyle name="常规 2 5 3" xfId="23440"/>
    <cellStyle name="常规 2 5 3 10" xfId="10149"/>
    <cellStyle name="常规 2 5 3 11" xfId="10178"/>
    <cellStyle name="常规 2 5 3 12" xfId="10200"/>
    <cellStyle name="常规 2 5 3 13" xfId="10206"/>
    <cellStyle name="常规 2 5 3 14" xfId="10213"/>
    <cellStyle name="常规 2 5 3 15" xfId="10217"/>
    <cellStyle name="常规 2 5 3 16" xfId="10219"/>
    <cellStyle name="常规 2 5 3 2" xfId="2847"/>
    <cellStyle name="常规 2 5 3 3" xfId="2863"/>
    <cellStyle name="常规 2 5 3 4" xfId="426"/>
    <cellStyle name="常规 2 5 3 5" xfId="433"/>
    <cellStyle name="常规 2 5 3 6" xfId="7150"/>
    <cellStyle name="常规 2 5 3 7" xfId="26066"/>
    <cellStyle name="常规 2 5 3 8" xfId="26068"/>
    <cellStyle name="常规 2 5 3 9" xfId="26070"/>
    <cellStyle name="常规 2 5 30" xfId="26050"/>
    <cellStyle name="常规 2 5 30 2" xfId="16647"/>
    <cellStyle name="常规 2 5 31" xfId="26054"/>
    <cellStyle name="常规 2 5 31 2" xfId="26059"/>
    <cellStyle name="常规 2 5 32" xfId="26063"/>
    <cellStyle name="常规 2 5 32 2" xfId="26065"/>
    <cellStyle name="常规 2 5 33" xfId="9399"/>
    <cellStyle name="常规 2 5 33 2" xfId="9402"/>
    <cellStyle name="常规 2 5 33 2 2" xfId="26072"/>
    <cellStyle name="常规 2 5 33 3" xfId="26073"/>
    <cellStyle name="常规 2 5 33 3 2" xfId="26074"/>
    <cellStyle name="常规 2 5 33 4" xfId="24628"/>
    <cellStyle name="常规 2 5 34" xfId="9405"/>
    <cellStyle name="常规 2 5 34 2" xfId="9410"/>
    <cellStyle name="常规 2 5 34 2 2" xfId="26076"/>
    <cellStyle name="常规 2 5 34 3" xfId="26078"/>
    <cellStyle name="常规 2 5 34 3 2" xfId="17001"/>
    <cellStyle name="常规 2 5 34 4" xfId="24633"/>
    <cellStyle name="常规 2 5 35" xfId="9412"/>
    <cellStyle name="常规 2 5 35 2" xfId="26080"/>
    <cellStyle name="常规 2 5 36" xfId="26083"/>
    <cellStyle name="常规 2 5 36 2" xfId="26085"/>
    <cellStyle name="常规 2 5 37" xfId="23564"/>
    <cellStyle name="常规 2 5 37 2" xfId="26088"/>
    <cellStyle name="常规 2 5 38" xfId="23568"/>
    <cellStyle name="常规 2 5 38 2" xfId="8123"/>
    <cellStyle name="常规 2 5 39" xfId="23572"/>
    <cellStyle name="常规 2 5 39 2" xfId="8178"/>
    <cellStyle name="常规 2 5 4" xfId="23444"/>
    <cellStyle name="常规 2 5 4 10" xfId="11893"/>
    <cellStyle name="常规 2 5 4 11" xfId="11897"/>
    <cellStyle name="常规 2 5 4 12" xfId="11900"/>
    <cellStyle name="常规 2 5 4 13" xfId="26090"/>
    <cellStyle name="常规 2 5 4 14" xfId="26091"/>
    <cellStyle name="常规 2 5 4 15" xfId="26092"/>
    <cellStyle name="常规 2 5 4 16" xfId="26093"/>
    <cellStyle name="常规 2 5 4 2" xfId="2880"/>
    <cellStyle name="常规 2 5 4 3" xfId="931"/>
    <cellStyle name="常规 2 5 4 4" xfId="26096"/>
    <cellStyle name="常规 2 5 4 5" xfId="478"/>
    <cellStyle name="常规 2 5 4 6" xfId="7161"/>
    <cellStyle name="常规 2 5 4 7" xfId="15910"/>
    <cellStyle name="常规 2 5 4 8" xfId="26098"/>
    <cellStyle name="常规 2 5 4 9" xfId="26100"/>
    <cellStyle name="常规 2 5 40" xfId="9413"/>
    <cellStyle name="常规 2 5 40 2" xfId="26081"/>
    <cellStyle name="常规 2 5 40 2 2" xfId="26102"/>
    <cellStyle name="常规 2 5 40 3" xfId="26105"/>
    <cellStyle name="常规 2 5 40 3 2" xfId="26108"/>
    <cellStyle name="常规 2 5 40 4" xfId="24642"/>
    <cellStyle name="常规 2 5 41" xfId="26084"/>
    <cellStyle name="常规 2 5 41 2" xfId="26086"/>
    <cellStyle name="常规 2 5 41 2 2" xfId="26109"/>
    <cellStyle name="常规 2 5 41 3" xfId="26111"/>
    <cellStyle name="常规 2 5 41 3 2" xfId="17301"/>
    <cellStyle name="常规 2 5 41 4" xfId="3014"/>
    <cellStyle name="常规 2 5 42" xfId="23565"/>
    <cellStyle name="常规 2 5 42 2" xfId="26089"/>
    <cellStyle name="常规 2 5 42 2 2" xfId="26112"/>
    <cellStyle name="常规 2 5 42 3" xfId="26114"/>
    <cellStyle name="常规 2 5 42 3 2" xfId="17326"/>
    <cellStyle name="常规 2 5 42 4" xfId="3058"/>
    <cellStyle name="常规 2 5 43" xfId="23569"/>
    <cellStyle name="常规 2 5 43 2" xfId="8124"/>
    <cellStyle name="常规 2 5 43 2 2" xfId="26115"/>
    <cellStyle name="常规 2 5 43 3" xfId="8127"/>
    <cellStyle name="常规 2 5 43 3 2" xfId="17353"/>
    <cellStyle name="常规 2 5 43 4" xfId="3090"/>
    <cellStyle name="常规 2 5 44" xfId="23573"/>
    <cellStyle name="常规 2 5 44 2" xfId="8179"/>
    <cellStyle name="常规 2 5 44 2 2" xfId="9583"/>
    <cellStyle name="常规 2 5 44 3" xfId="8183"/>
    <cellStyle name="常规 2 5 44 3 2" xfId="26117"/>
    <cellStyle name="常规 2 5 44 4" xfId="8191"/>
    <cellStyle name="常规 2 5 45" xfId="19910"/>
    <cellStyle name="常规 2 5 45 2" xfId="8229"/>
    <cellStyle name="常规 2 5 45 2 2" xfId="9589"/>
    <cellStyle name="常规 2 5 45 3" xfId="8235"/>
    <cellStyle name="常规 2 5 45 3 2" xfId="17384"/>
    <cellStyle name="常规 2 5 45 4" xfId="8242"/>
    <cellStyle name="常规 2 5 46" xfId="21023"/>
    <cellStyle name="常规 2 5 46 2" xfId="8285"/>
    <cellStyle name="常规 2 5 46 2 2" xfId="26118"/>
    <cellStyle name="常规 2 5 46 3" xfId="8291"/>
    <cellStyle name="常规 2 5 46 3 2" xfId="359"/>
    <cellStyle name="常规 2 5 46 4" xfId="8297"/>
    <cellStyle name="常规 2 5 47" xfId="21028"/>
    <cellStyle name="常规 2 5 47 2" xfId="8341"/>
    <cellStyle name="常规 2 5 47 2 2" xfId="26120"/>
    <cellStyle name="常规 2 5 47 3" xfId="8346"/>
    <cellStyle name="常规 2 5 47 3 2" xfId="17418"/>
    <cellStyle name="常规 2 5 47 4" xfId="8352"/>
    <cellStyle name="常规 2 5 48" xfId="21033"/>
    <cellStyle name="常规 2 5 48 2" xfId="8398"/>
    <cellStyle name="常规 2 5 48 2 2" xfId="26122"/>
    <cellStyle name="常规 2 5 48 3" xfId="8401"/>
    <cellStyle name="常规 2 5 48 3 2" xfId="17443"/>
    <cellStyle name="常规 2 5 48 4" xfId="8406"/>
    <cellStyle name="常规 2 5 49" xfId="23576"/>
    <cellStyle name="常规 2 5 49 2" xfId="23219"/>
    <cellStyle name="常规 2 5 49 2 2" xfId="17901"/>
    <cellStyle name="常规 2 5 49 3" xfId="23223"/>
    <cellStyle name="常规 2 5 49 3 2" xfId="17483"/>
    <cellStyle name="常规 2 5 49 4" xfId="23229"/>
    <cellStyle name="常规 2 5 5" xfId="26125"/>
    <cellStyle name="常规 2 5 5 10" xfId="26126"/>
    <cellStyle name="常规 2 5 5 11" xfId="26128"/>
    <cellStyle name="常规 2 5 5 12" xfId="26130"/>
    <cellStyle name="常规 2 5 5 13" xfId="26131"/>
    <cellStyle name="常规 2 5 5 14" xfId="26133"/>
    <cellStyle name="常规 2 5 5 15" xfId="26134"/>
    <cellStyle name="常规 2 5 5 16" xfId="26135"/>
    <cellStyle name="常规 2 5 5 2" xfId="2893"/>
    <cellStyle name="常规 2 5 5 3" xfId="26138"/>
    <cellStyle name="常规 2 5 5 4" xfId="26141"/>
    <cellStyle name="常规 2 5 5 5" xfId="14"/>
    <cellStyle name="常规 2 5 5 6" xfId="20318"/>
    <cellStyle name="常规 2 5 5 7" xfId="26142"/>
    <cellStyle name="常规 2 5 5 8" xfId="26144"/>
    <cellStyle name="常规 2 5 5 9" xfId="26146"/>
    <cellStyle name="常规 2 5 50" xfId="19911"/>
    <cellStyle name="常规 2 5 50 2" xfId="8230"/>
    <cellStyle name="常规 2 5 50 2 2" xfId="9590"/>
    <cellStyle name="常规 2 5 50 3" xfId="8236"/>
    <cellStyle name="常规 2 5 50 3 2" xfId="17385"/>
    <cellStyle name="常规 2 5 50 4" xfId="8243"/>
    <cellStyle name="常规 2 5 51" xfId="21024"/>
    <cellStyle name="常规 2 5 51 2" xfId="8286"/>
    <cellStyle name="常规 2 5 51 2 2" xfId="26119"/>
    <cellStyle name="常规 2 5 51 3" xfId="8292"/>
    <cellStyle name="常规 2 5 51 3 2" xfId="360"/>
    <cellStyle name="常规 2 5 51 4" xfId="8298"/>
    <cellStyle name="常规 2 5 52" xfId="21029"/>
    <cellStyle name="常规 2 5 52 2" xfId="8342"/>
    <cellStyle name="常规 2 5 52 2 2" xfId="26121"/>
    <cellStyle name="常规 2 5 52 3" xfId="8347"/>
    <cellStyle name="常规 2 5 52 3 2" xfId="17419"/>
    <cellStyle name="常规 2 5 52 4" xfId="8353"/>
    <cellStyle name="常规 2 5 53" xfId="21034"/>
    <cellStyle name="常规 2 5 53 2" xfId="8399"/>
    <cellStyle name="常规 2 5 53 2 2" xfId="26123"/>
    <cellStyle name="常规 2 5 53 3" xfId="8402"/>
    <cellStyle name="常规 2 5 53 3 2" xfId="17444"/>
    <cellStyle name="常规 2 5 53 4" xfId="8407"/>
    <cellStyle name="常规 2 5 54" xfId="23577"/>
    <cellStyle name="常规 2 5 54 2" xfId="23220"/>
    <cellStyle name="常规 2 5 54 2 2" xfId="17902"/>
    <cellStyle name="常规 2 5 54 3" xfId="23224"/>
    <cellStyle name="常规 2 5 54 3 2" xfId="17484"/>
    <cellStyle name="常规 2 5 54 4" xfId="23230"/>
    <cellStyle name="常规 2 5 55" xfId="26147"/>
    <cellStyle name="常规 2 5 55 2" xfId="26149"/>
    <cellStyle name="常规 2 5 55 2 2" xfId="26152"/>
    <cellStyle name="常规 2 5 55 3" xfId="26156"/>
    <cellStyle name="常规 2 5 55 3 2" xfId="17530"/>
    <cellStyle name="常规 2 5 55 4" xfId="26159"/>
    <cellStyle name="常规 2 5 56" xfId="26164"/>
    <cellStyle name="常规 2 5 56 2" xfId="26165"/>
    <cellStyle name="常规 2 5 56 2 2" xfId="26166"/>
    <cellStyle name="常规 2 5 56 3" xfId="26168"/>
    <cellStyle name="常规 2 5 56 3 2" xfId="17670"/>
    <cellStyle name="常规 2 5 56 4" xfId="26171"/>
    <cellStyle name="常规 2 5 57" xfId="19171"/>
    <cellStyle name="常规 2 5 57 2" xfId="26172"/>
    <cellStyle name="常规 2 5 57 2 2" xfId="26173"/>
    <cellStyle name="常规 2 5 57 3" xfId="26175"/>
    <cellStyle name="常规 2 5 57 3 2" xfId="17704"/>
    <cellStyle name="常规 2 5 57 4" xfId="26179"/>
    <cellStyle name="常规 2 5 58" xfId="26180"/>
    <cellStyle name="常规 2 5 58 2" xfId="26182"/>
    <cellStyle name="常规 2 5 58 2 2" xfId="26183"/>
    <cellStyle name="常规 2 5 58 3" xfId="26184"/>
    <cellStyle name="常规 2 5 58 3 2" xfId="17725"/>
    <cellStyle name="常规 2 5 58 4" xfId="26187"/>
    <cellStyle name="常规 2 5 59" xfId="26188"/>
    <cellStyle name="常规 2 5 59 2" xfId="19866"/>
    <cellStyle name="常规 2 5 59 2 2" xfId="19868"/>
    <cellStyle name="常规 2 5 59 3" xfId="19870"/>
    <cellStyle name="常规 2 5 59 3 2" xfId="17745"/>
    <cellStyle name="常规 2 5 59 4" xfId="19874"/>
    <cellStyle name="常规 2 5 6" xfId="2897"/>
    <cellStyle name="常规 2 5 6 10" xfId="17666"/>
    <cellStyle name="常规 2 5 6 11" xfId="17669"/>
    <cellStyle name="常规 2 5 6 12" xfId="17674"/>
    <cellStyle name="常规 2 5 6 13" xfId="17677"/>
    <cellStyle name="常规 2 5 6 14" xfId="13761"/>
    <cellStyle name="常规 2 5 6 15" xfId="13765"/>
    <cellStyle name="常规 2 5 6 16" xfId="13770"/>
    <cellStyle name="常规 2 5 6 2" xfId="26189"/>
    <cellStyle name="常规 2 5 6 3" xfId="26191"/>
    <cellStyle name="常规 2 5 6 4" xfId="26193"/>
    <cellStyle name="常规 2 5 6 5" xfId="26195"/>
    <cellStyle name="常规 2 5 6 6" xfId="20323"/>
    <cellStyle name="常规 2 5 6 7" xfId="7591"/>
    <cellStyle name="常规 2 5 6 8" xfId="7596"/>
    <cellStyle name="常规 2 5 6 9" xfId="7599"/>
    <cellStyle name="常规 2 5 60" xfId="26148"/>
    <cellStyle name="常规 2 5 7" xfId="26196"/>
    <cellStyle name="常规 2 5 7 10" xfId="15234"/>
    <cellStyle name="常规 2 5 7 11" xfId="2390"/>
    <cellStyle name="常规 2 5 7 12" xfId="26197"/>
    <cellStyle name="常规 2 5 7 13" xfId="26198"/>
    <cellStyle name="常规 2 5 7 14" xfId="20443"/>
    <cellStyle name="常规 2 5 7 15" xfId="26199"/>
    <cellStyle name="常规 2 5 7 16" xfId="26200"/>
    <cellStyle name="常规 2 5 7 2" xfId="26201"/>
    <cellStyle name="常规 2 5 7 3" xfId="26203"/>
    <cellStyle name="常规 2 5 7 4" xfId="26205"/>
    <cellStyle name="常规 2 5 7 5" xfId="19344"/>
    <cellStyle name="常规 2 5 7 6" xfId="26207"/>
    <cellStyle name="常规 2 5 7 7" xfId="7607"/>
    <cellStyle name="常规 2 5 7 8" xfId="7610"/>
    <cellStyle name="常规 2 5 7 9" xfId="7614"/>
    <cellStyle name="常规 2 5 8" xfId="26209"/>
    <cellStyle name="常规 2 5 8 10" xfId="26211"/>
    <cellStyle name="常规 2 5 8 11" xfId="26212"/>
    <cellStyle name="常规 2 5 8 12" xfId="26213"/>
    <cellStyle name="常规 2 5 8 13" xfId="26214"/>
    <cellStyle name="常规 2 5 8 14" xfId="26215"/>
    <cellStyle name="常规 2 5 8 15" xfId="26216"/>
    <cellStyle name="常规 2 5 8 16" xfId="26217"/>
    <cellStyle name="常规 2 5 8 2" xfId="21163"/>
    <cellStyle name="常规 2 5 8 3" xfId="26219"/>
    <cellStyle name="常规 2 5 8 4" xfId="26221"/>
    <cellStyle name="常规 2 5 8 5" xfId="19347"/>
    <cellStyle name="常规 2 5 8 6" xfId="26223"/>
    <cellStyle name="常规 2 5 8 7" xfId="7618"/>
    <cellStyle name="常规 2 5 8 8" xfId="26224"/>
    <cellStyle name="常规 2 5 8 9" xfId="12383"/>
    <cellStyle name="常规 2 5 9" xfId="26225"/>
    <cellStyle name="常规 2 5 9 10" xfId="11930"/>
    <cellStyle name="常规 2 5 9 10 2" xfId="11932"/>
    <cellStyle name="常规 2 5 9 11" xfId="11934"/>
    <cellStyle name="常规 2 5 9 12" xfId="11938"/>
    <cellStyle name="常规 2 5 9 13" xfId="26226"/>
    <cellStyle name="常规 2 5 9 14" xfId="26227"/>
    <cellStyle name="常规 2 5 9 15" xfId="26228"/>
    <cellStyle name="常规 2 5 9 16" xfId="26229"/>
    <cellStyle name="常规 2 5 9 2" xfId="26230"/>
    <cellStyle name="常规 2 5 9 3" xfId="26232"/>
    <cellStyle name="常规 2 5 9 4" xfId="26234"/>
    <cellStyle name="常规 2 5 9 5" xfId="19349"/>
    <cellStyle name="常规 2 5 9 6" xfId="26235"/>
    <cellStyle name="常规 2 5 9 7" xfId="26236"/>
    <cellStyle name="常规 2 5 9 8" xfId="26237"/>
    <cellStyle name="常规 2 5 9 9" xfId="12395"/>
    <cellStyle name="常规 2 5_综合楼7装修工程量清单(1)-7.5" xfId="26238"/>
    <cellStyle name="常规 2 50" xfId="25913"/>
    <cellStyle name="常规 2 50 2" xfId="25915"/>
    <cellStyle name="常规 2 50 3" xfId="25919"/>
    <cellStyle name="常规 2 51" xfId="25925"/>
    <cellStyle name="常规 2 51 2" xfId="25928"/>
    <cellStyle name="常规 2 51 2 2" xfId="26240"/>
    <cellStyle name="常规 2 51 3" xfId="8675"/>
    <cellStyle name="常规 2 51 3 2" xfId="26242"/>
    <cellStyle name="常规 2 51 4" xfId="26243"/>
    <cellStyle name="常规 2 51 5" xfId="26244"/>
    <cellStyle name="常规 2 52" xfId="25930"/>
    <cellStyle name="常规 2 52 2" xfId="25932"/>
    <cellStyle name="常规 2 52 2 2" xfId="26246"/>
    <cellStyle name="常规 2 52 3" xfId="25934"/>
    <cellStyle name="常规 2 52 3 2" xfId="26248"/>
    <cellStyle name="常规 2 52 4" xfId="26249"/>
    <cellStyle name="常规 2 52 5" xfId="26250"/>
    <cellStyle name="常规 2 53" xfId="25936"/>
    <cellStyle name="常规 2 53 2" xfId="25938"/>
    <cellStyle name="常规 2 53 2 2" xfId="26252"/>
    <cellStyle name="常规 2 53 3" xfId="25940"/>
    <cellStyle name="常规 2 53 3 2" xfId="26254"/>
    <cellStyle name="常规 2 53 4" xfId="26255"/>
    <cellStyle name="常规 2 53 5" xfId="21611"/>
    <cellStyle name="常规 2 54" xfId="23988"/>
    <cellStyle name="常规 2 54 2" xfId="25942"/>
    <cellStyle name="常规 2 54 2 2" xfId="20832"/>
    <cellStyle name="常规 2 54 3" xfId="25946"/>
    <cellStyle name="常规 2 54 3 2" xfId="26259"/>
    <cellStyle name="常规 2 54 4" xfId="26260"/>
    <cellStyle name="常规 2 54 5" xfId="21613"/>
    <cellStyle name="常规 2 55" xfId="23991"/>
    <cellStyle name="常规 2 55 2" xfId="20414"/>
    <cellStyle name="常规 2 55 2 2" xfId="20417"/>
    <cellStyle name="常规 2 55 3" xfId="20422"/>
    <cellStyle name="常规 2 55 3 2" xfId="18057"/>
    <cellStyle name="常规 2 55 4" xfId="20425"/>
    <cellStyle name="常规 2 55 5" xfId="21617"/>
    <cellStyle name="常规 2 56" xfId="21639"/>
    <cellStyle name="常规 2 56 2" xfId="21644"/>
    <cellStyle name="常规 2 56 2 2" xfId="8415"/>
    <cellStyle name="常规 2 56 3" xfId="26261"/>
    <cellStyle name="常规 2 56 3 2" xfId="26263"/>
    <cellStyle name="常规 2 56 4" xfId="26265"/>
    <cellStyle name="常规 2 56 5" xfId="21621"/>
    <cellStyle name="常规 2 57" xfId="13389"/>
    <cellStyle name="常规 2 57 2" xfId="21648"/>
    <cellStyle name="常规 2 57 2 2" xfId="18339"/>
    <cellStyle name="常规 2 57 3" xfId="26267"/>
    <cellStyle name="常规 2 57 3 2" xfId="26269"/>
    <cellStyle name="常规 2 57 4" xfId="26271"/>
    <cellStyle name="常规 2 57 5" xfId="26273"/>
    <cellStyle name="常规 2 58" xfId="14935"/>
    <cellStyle name="常规 2 58 2" xfId="21651"/>
    <cellStyle name="常规 2 58 2 2" xfId="18422"/>
    <cellStyle name="常规 2 58 3" xfId="26275"/>
    <cellStyle name="常规 2 58 3 2" xfId="26278"/>
    <cellStyle name="常规 2 58 4" xfId="26281"/>
    <cellStyle name="常规 2 58 5" xfId="26284"/>
    <cellStyle name="常规 2 59" xfId="21656"/>
    <cellStyle name="常规 2 59 2" xfId="21661"/>
    <cellStyle name="常规 2 59 2 2" xfId="18437"/>
    <cellStyle name="常规 2 59 3" xfId="26287"/>
    <cellStyle name="常规 2 59 3 2" xfId="26290"/>
    <cellStyle name="常规 2 59 4" xfId="26293"/>
    <cellStyle name="常规 2 59 5" xfId="26296"/>
    <cellStyle name="常规 2 6" xfId="11237"/>
    <cellStyle name="常规 2 6 10" xfId="26298"/>
    <cellStyle name="常规 2 6 10 10" xfId="26300"/>
    <cellStyle name="常规 2 6 10 11" xfId="10659"/>
    <cellStyle name="常规 2 6 10 12" xfId="26302"/>
    <cellStyle name="常规 2 6 10 13" xfId="26304"/>
    <cellStyle name="常规 2 6 10 14" xfId="26305"/>
    <cellStyle name="常规 2 6 10 15" xfId="26306"/>
    <cellStyle name="常规 2 6 10 16" xfId="26307"/>
    <cellStyle name="常规 2 6 10 17" xfId="19090"/>
    <cellStyle name="常规 2 6 10 2" xfId="26308"/>
    <cellStyle name="常规 2 6 10 3" xfId="26309"/>
    <cellStyle name="常规 2 6 10 4" xfId="26310"/>
    <cellStyle name="常规 2 6 10 5" xfId="26311"/>
    <cellStyle name="常规 2 6 10 6" xfId="26312"/>
    <cellStyle name="常规 2 6 10 7" xfId="26314"/>
    <cellStyle name="常规 2 6 10 8" xfId="26315"/>
    <cellStyle name="常规 2 6 10 9" xfId="26318"/>
    <cellStyle name="常规 2 6 11" xfId="26319"/>
    <cellStyle name="常规 2 6 11 10" xfId="26321"/>
    <cellStyle name="常规 2 6 11 11" xfId="26323"/>
    <cellStyle name="常规 2 6 11 12" xfId="26325"/>
    <cellStyle name="常规 2 6 11 13" xfId="26326"/>
    <cellStyle name="常规 2 6 11 14" xfId="26327"/>
    <cellStyle name="常规 2 6 11 15" xfId="26328"/>
    <cellStyle name="常规 2 6 11 16" xfId="26330"/>
    <cellStyle name="常规 2 6 11 17" xfId="26331"/>
    <cellStyle name="常规 2 6 11 2" xfId="25618"/>
    <cellStyle name="常规 2 6 11 3" xfId="25620"/>
    <cellStyle name="常规 2 6 11 4" xfId="23357"/>
    <cellStyle name="常规 2 6 11 5" xfId="23360"/>
    <cellStyle name="常规 2 6 11 6" xfId="23363"/>
    <cellStyle name="常规 2 6 11 7" xfId="20292"/>
    <cellStyle name="常规 2 6 11 8" xfId="23365"/>
    <cellStyle name="常规 2 6 11 9" xfId="23367"/>
    <cellStyle name="常规 2 6 12" xfId="26332"/>
    <cellStyle name="常规 2 6 12 2" xfId="25641"/>
    <cellStyle name="常规 2 6 12 3" xfId="25643"/>
    <cellStyle name="常规 2 6 13" xfId="26333"/>
    <cellStyle name="常规 2 6 13 2" xfId="25678"/>
    <cellStyle name="常规 2 6 13 3" xfId="25681"/>
    <cellStyle name="常规 2 6 14" xfId="26335"/>
    <cellStyle name="常规 2 6 14 2" xfId="25802"/>
    <cellStyle name="常规 2 6 14 3" xfId="25805"/>
    <cellStyle name="常规 2 6 15" xfId="26337"/>
    <cellStyle name="常规 2 6 15 2" xfId="7550"/>
    <cellStyle name="常规 2 6 15 3" xfId="7557"/>
    <cellStyle name="常规 2 6 16" xfId="26341"/>
    <cellStyle name="常规 2 6 16 2" xfId="7571"/>
    <cellStyle name="常规 2 6 16 3" xfId="7577"/>
    <cellStyle name="常规 2 6 17" xfId="26344"/>
    <cellStyle name="常规 2 6 17 2" xfId="25885"/>
    <cellStyle name="常规 2 6 17 3" xfId="25888"/>
    <cellStyle name="常规 2 6 18" xfId="26347"/>
    <cellStyle name="常规 2 6 18 2" xfId="25899"/>
    <cellStyle name="常规 2 6 18 3" xfId="25902"/>
    <cellStyle name="常规 2 6 19" xfId="26349"/>
    <cellStyle name="常规 2 6 19 2" xfId="26351"/>
    <cellStyle name="常规 2 6 19 3" xfId="26353"/>
    <cellStyle name="常规 2 6 2" xfId="26355"/>
    <cellStyle name="常规 2 6 2 10" xfId="26356"/>
    <cellStyle name="常规 2 6 2 11" xfId="26357"/>
    <cellStyle name="常规 2 6 2 12" xfId="26358"/>
    <cellStyle name="常规 2 6 2 13" xfId="26359"/>
    <cellStyle name="常规 2 6 2 14" xfId="26360"/>
    <cellStyle name="常规 2 6 2 15" xfId="26361"/>
    <cellStyle name="常规 2 6 2 16" xfId="7249"/>
    <cellStyle name="常规 2 6 2 17" xfId="26362"/>
    <cellStyle name="常规 2 6 2 18" xfId="26363"/>
    <cellStyle name="常规 2 6 2 2" xfId="26364"/>
    <cellStyle name="常规 2 6 2 2 2" xfId="16935"/>
    <cellStyle name="常规 2 6 2 2 3" xfId="16937"/>
    <cellStyle name="常规 2 6 2 3" xfId="26365"/>
    <cellStyle name="常规 2 6 2 3 2" xfId="438"/>
    <cellStyle name="常规 2 6 2 3 3" xfId="26366"/>
    <cellStyle name="常规 2 6 2 4" xfId="10970"/>
    <cellStyle name="常规 2 6 2 4 2" xfId="26367"/>
    <cellStyle name="常规 2 6 2 4 3" xfId="26368"/>
    <cellStyle name="常规 2 6 2 5" xfId="26369"/>
    <cellStyle name="常规 2 6 2 5 2" xfId="26370"/>
    <cellStyle name="常规 2 6 2 5 3" xfId="26371"/>
    <cellStyle name="常规 2 6 2 6" xfId="13572"/>
    <cellStyle name="常规 2 6 2 6 2" xfId="26372"/>
    <cellStyle name="常规 2 6 2 6 3" xfId="26373"/>
    <cellStyle name="常规 2 6 2 7" xfId="19363"/>
    <cellStyle name="常规 2 6 2 7 2" xfId="26374"/>
    <cellStyle name="常规 2 6 2 7 3" xfId="26375"/>
    <cellStyle name="常规 2 6 2 8" xfId="14190"/>
    <cellStyle name="常规 2 6 2 9" xfId="14193"/>
    <cellStyle name="常规 2 6 20" xfId="26338"/>
    <cellStyle name="常规 2 6 20 2" xfId="7551"/>
    <cellStyle name="常规 2 6 20 3" xfId="7558"/>
    <cellStyle name="常规 2 6 21" xfId="26342"/>
    <cellStyle name="常规 2 6 21 2" xfId="7572"/>
    <cellStyle name="常规 2 6 21 3" xfId="7578"/>
    <cellStyle name="常规 2 6 22" xfId="26345"/>
    <cellStyle name="常规 2 6 22 2" xfId="25886"/>
    <cellStyle name="常规 2 6 22 3" xfId="25889"/>
    <cellStyle name="常规 2 6 23" xfId="26348"/>
    <cellStyle name="常规 2 6 23 2" xfId="25900"/>
    <cellStyle name="常规 2 6 23 3" xfId="25903"/>
    <cellStyle name="常规 2 6 24" xfId="26350"/>
    <cellStyle name="常规 2 6 24 2" xfId="26352"/>
    <cellStyle name="常规 2 6 24 3" xfId="26354"/>
    <cellStyle name="常规 2 6 25" xfId="26376"/>
    <cellStyle name="常规 2 6 25 2" xfId="26378"/>
    <cellStyle name="常规 2 6 25 3" xfId="26380"/>
    <cellStyle name="常规 2 6 26" xfId="26381"/>
    <cellStyle name="常规 2 6 26 2" xfId="26383"/>
    <cellStyle name="常规 2 6 27" xfId="26386"/>
    <cellStyle name="常规 2 6 27 2" xfId="2219"/>
    <cellStyle name="常规 2 6 28" xfId="26388"/>
    <cellStyle name="常规 2 6 28 2" xfId="26390"/>
    <cellStyle name="常规 2 6 29" xfId="26392"/>
    <cellStyle name="常规 2 6 29 2" xfId="26394"/>
    <cellStyle name="常规 2 6 3" xfId="26396"/>
    <cellStyle name="常规 2 6 3 10" xfId="15727"/>
    <cellStyle name="常规 2 6 3 11" xfId="24105"/>
    <cellStyle name="常规 2 6 3 12" xfId="24108"/>
    <cellStyle name="常规 2 6 3 13" xfId="150"/>
    <cellStyle name="常规 2 6 3 14" xfId="163"/>
    <cellStyle name="常规 2 6 3 15" xfId="20153"/>
    <cellStyle name="常规 2 6 3 16" xfId="9058"/>
    <cellStyle name="常规 2 6 3 2" xfId="26397"/>
    <cellStyle name="常规 2 6 3 3" xfId="26398"/>
    <cellStyle name="常规 2 6 3 4" xfId="26399"/>
    <cellStyle name="常规 2 6 3 5" xfId="6222"/>
    <cellStyle name="常规 2 6 3 6" xfId="13574"/>
    <cellStyle name="常规 2 6 3 7" xfId="19367"/>
    <cellStyle name="常规 2 6 3 8" xfId="14199"/>
    <cellStyle name="常规 2 6 3 9" xfId="14203"/>
    <cellStyle name="常规 2 6 30" xfId="26377"/>
    <cellStyle name="常规 2 6 30 2" xfId="26379"/>
    <cellStyle name="常规 2 6 31" xfId="26382"/>
    <cellStyle name="常规 2 6 31 2" xfId="26384"/>
    <cellStyle name="常规 2 6 32" xfId="26387"/>
    <cellStyle name="常规 2 6 32 2" xfId="2220"/>
    <cellStyle name="常规 2 6 33" xfId="26389"/>
    <cellStyle name="常规 2 6 33 2" xfId="26391"/>
    <cellStyle name="常规 2 6 33 2 2" xfId="692"/>
    <cellStyle name="常规 2 6 33 3" xfId="26400"/>
    <cellStyle name="常规 2 6 33 3 2" xfId="11399"/>
    <cellStyle name="常规 2 6 33 4" xfId="26401"/>
    <cellStyle name="常规 2 6 34" xfId="26393"/>
    <cellStyle name="常规 2 6 34 2" xfId="26395"/>
    <cellStyle name="常规 2 6 34 2 2" xfId="26402"/>
    <cellStyle name="常规 2 6 34 3" xfId="26403"/>
    <cellStyle name="常规 2 6 34 3 2" xfId="11422"/>
    <cellStyle name="常规 2 6 34 4" xfId="22399"/>
    <cellStyle name="常规 2 6 35" xfId="26404"/>
    <cellStyle name="常规 2 6 35 2" xfId="26407"/>
    <cellStyle name="常规 2 6 36" xfId="5043"/>
    <cellStyle name="常规 2 6 36 2" xfId="26409"/>
    <cellStyle name="常规 2 6 37" xfId="25044"/>
    <cellStyle name="常规 2 6 37 2" xfId="26412"/>
    <cellStyle name="常规 2 6 38" xfId="9290"/>
    <cellStyle name="常规 2 6 38 2" xfId="26414"/>
    <cellStyle name="常规 2 6 39" xfId="2276"/>
    <cellStyle name="常规 2 6 39 2" xfId="2282"/>
    <cellStyle name="常规 2 6 4" xfId="26416"/>
    <cellStyle name="常规 2 6 4 10" xfId="24139"/>
    <cellStyle name="常规 2 6 4 11" xfId="24142"/>
    <cellStyle name="常规 2 6 4 12" xfId="26417"/>
    <cellStyle name="常规 2 6 4 13" xfId="26419"/>
    <cellStyle name="常规 2 6 4 14" xfId="26420"/>
    <cellStyle name="常规 2 6 4 15" xfId="26421"/>
    <cellStyle name="常规 2 6 4 16" xfId="26422"/>
    <cellStyle name="常规 2 6 4 2" xfId="2914"/>
    <cellStyle name="常规 2 6 4 3" xfId="16235"/>
    <cellStyle name="常规 2 6 4 4" xfId="26426"/>
    <cellStyle name="常规 2 6 4 5" xfId="6227"/>
    <cellStyle name="常规 2 6 4 6" xfId="26428"/>
    <cellStyle name="常规 2 6 4 7" xfId="19371"/>
    <cellStyle name="常规 2 6 4 8" xfId="14209"/>
    <cellStyle name="常规 2 6 4 9" xfId="26430"/>
    <cellStyle name="常规 2 6 40" xfId="26405"/>
    <cellStyle name="常规 2 6 40 2" xfId="26408"/>
    <cellStyle name="常规 2 6 40 2 2" xfId="26431"/>
    <cellStyle name="常规 2 6 40 3" xfId="26432"/>
    <cellStyle name="常规 2 6 40 3 2" xfId="11454"/>
    <cellStyle name="常规 2 6 40 4" xfId="22401"/>
    <cellStyle name="常规 2 6 41" xfId="5044"/>
    <cellStyle name="常规 2 6 41 2" xfId="26410"/>
    <cellStyle name="常规 2 6 41 2 2" xfId="26433"/>
    <cellStyle name="常规 2 6 41 3" xfId="26434"/>
    <cellStyle name="常规 2 6 41 3 2" xfId="26435"/>
    <cellStyle name="常规 2 6 41 4" xfId="22405"/>
    <cellStyle name="常规 2 6 42" xfId="25045"/>
    <cellStyle name="常规 2 6 42 2" xfId="26413"/>
    <cellStyle name="常规 2 6 42 2 2" xfId="26438"/>
    <cellStyle name="常规 2 6 42 3" xfId="26440"/>
    <cellStyle name="常规 2 6 42 3 2" xfId="24975"/>
    <cellStyle name="常规 2 6 42 4" xfId="22411"/>
    <cellStyle name="常规 2 6 43" xfId="9291"/>
    <cellStyle name="常规 2 6 43 2" xfId="26415"/>
    <cellStyle name="常规 2 6 43 2 2" xfId="26441"/>
    <cellStyle name="常规 2 6 43 3" xfId="26442"/>
    <cellStyle name="常规 2 6 43 3 2" xfId="26444"/>
    <cellStyle name="常规 2 6 43 4" xfId="26445"/>
    <cellStyle name="常规 2 6 44" xfId="2277"/>
    <cellStyle name="常规 2 6 44 2" xfId="2283"/>
    <cellStyle name="常规 2 6 44 2 2" xfId="26446"/>
    <cellStyle name="常规 2 6 44 3" xfId="26447"/>
    <cellStyle name="常规 2 6 44 3 2" xfId="26449"/>
    <cellStyle name="常规 2 6 44 4" xfId="26450"/>
    <cellStyle name="常规 2 6 45" xfId="1029"/>
    <cellStyle name="常规 2 6 45 2" xfId="790"/>
    <cellStyle name="常规 2 6 45 2 2" xfId="26451"/>
    <cellStyle name="常规 2 6 45 3" xfId="16840"/>
    <cellStyle name="常规 2 6 45 3 2" xfId="26454"/>
    <cellStyle name="常规 2 6 45 4" xfId="16843"/>
    <cellStyle name="常规 2 6 46" xfId="2285"/>
    <cellStyle name="常规 2 6 46 2" xfId="26456"/>
    <cellStyle name="常规 2 6 46 2 2" xfId="26458"/>
    <cellStyle name="常规 2 6 46 3" xfId="26460"/>
    <cellStyle name="常规 2 6 46 3 2" xfId="26463"/>
    <cellStyle name="常规 2 6 46 4" xfId="23507"/>
    <cellStyle name="常规 2 6 47" xfId="26465"/>
    <cellStyle name="常规 2 6 47 2" xfId="26467"/>
    <cellStyle name="常规 2 6 47 2 2" xfId="26469"/>
    <cellStyle name="常规 2 6 47 3" xfId="26471"/>
    <cellStyle name="常规 2 6 47 3 2" xfId="26473"/>
    <cellStyle name="常规 2 6 47 4" xfId="20825"/>
    <cellStyle name="常规 2 6 48" xfId="26476"/>
    <cellStyle name="常规 2 6 48 2" xfId="26478"/>
    <cellStyle name="常规 2 6 48 2 2" xfId="26480"/>
    <cellStyle name="常规 2 6 48 3" xfId="26482"/>
    <cellStyle name="常规 2 6 48 3 2" xfId="26484"/>
    <cellStyle name="常规 2 6 48 4" xfId="26486"/>
    <cellStyle name="常规 2 6 49" xfId="26488"/>
    <cellStyle name="常规 2 6 49 2" xfId="26490"/>
    <cellStyle name="常规 2 6 49 2 2" xfId="26492"/>
    <cellStyle name="常规 2 6 49 3" xfId="26494"/>
    <cellStyle name="常规 2 6 49 3 2" xfId="18317"/>
    <cellStyle name="常规 2 6 49 4" xfId="26496"/>
    <cellStyle name="常规 2 6 5" xfId="26498"/>
    <cellStyle name="常规 2 6 5 10" xfId="24207"/>
    <cellStyle name="常规 2 6 5 11" xfId="24211"/>
    <cellStyle name="常规 2 6 5 12" xfId="26500"/>
    <cellStyle name="常规 2 6 5 13" xfId="26502"/>
    <cellStyle name="常规 2 6 5 14" xfId="26503"/>
    <cellStyle name="常规 2 6 5 15" xfId="26504"/>
    <cellStyle name="常规 2 6 5 16" xfId="8544"/>
    <cellStyle name="常规 2 6 5 2" xfId="2925"/>
    <cellStyle name="常规 2 6 5 3" xfId="26506"/>
    <cellStyle name="常规 2 6 5 4" xfId="26508"/>
    <cellStyle name="常规 2 6 5 5" xfId="26510"/>
    <cellStyle name="常规 2 6 5 6" xfId="26512"/>
    <cellStyle name="常规 2 6 5 7" xfId="26513"/>
    <cellStyle name="常规 2 6 5 8" xfId="26514"/>
    <cellStyle name="常规 2 6 5 9" xfId="26516"/>
    <cellStyle name="常规 2 6 50" xfId="1030"/>
    <cellStyle name="常规 2 6 50 2" xfId="791"/>
    <cellStyle name="常规 2 6 50 2 2" xfId="26452"/>
    <cellStyle name="常规 2 6 50 3" xfId="16841"/>
    <cellStyle name="常规 2 6 50 3 2" xfId="26455"/>
    <cellStyle name="常规 2 6 50 4" xfId="16844"/>
    <cellStyle name="常规 2 6 51" xfId="2286"/>
    <cellStyle name="常规 2 6 51 2" xfId="26457"/>
    <cellStyle name="常规 2 6 51 2 2" xfId="26459"/>
    <cellStyle name="常规 2 6 51 3" xfId="26461"/>
    <cellStyle name="常规 2 6 51 3 2" xfId="26464"/>
    <cellStyle name="常规 2 6 51 4" xfId="23508"/>
    <cellStyle name="常规 2 6 52" xfId="26466"/>
    <cellStyle name="常规 2 6 52 2" xfId="26468"/>
    <cellStyle name="常规 2 6 52 2 2" xfId="26470"/>
    <cellStyle name="常规 2 6 52 3" xfId="26472"/>
    <cellStyle name="常规 2 6 52 3 2" xfId="26474"/>
    <cellStyle name="常规 2 6 52 4" xfId="20826"/>
    <cellStyle name="常规 2 6 53" xfId="26477"/>
    <cellStyle name="常规 2 6 53 2" xfId="26479"/>
    <cellStyle name="常规 2 6 53 2 2" xfId="26481"/>
    <cellStyle name="常规 2 6 53 3" xfId="26483"/>
    <cellStyle name="常规 2 6 53 3 2" xfId="26485"/>
    <cellStyle name="常规 2 6 53 4" xfId="26487"/>
    <cellStyle name="常规 2 6 54" xfId="26489"/>
    <cellStyle name="常规 2 6 54 2" xfId="26491"/>
    <cellStyle name="常规 2 6 54 2 2" xfId="26493"/>
    <cellStyle name="常规 2 6 54 3" xfId="26495"/>
    <cellStyle name="常规 2 6 54 3 2" xfId="18318"/>
    <cellStyle name="常规 2 6 54 4" xfId="26497"/>
    <cellStyle name="常规 2 6 55" xfId="26517"/>
    <cellStyle name="常规 2 6 55 2" xfId="13543"/>
    <cellStyle name="常规 2 6 55 2 2" xfId="13545"/>
    <cellStyle name="常规 2 6 55 3" xfId="13548"/>
    <cellStyle name="常规 2 6 55 3 2" xfId="18330"/>
    <cellStyle name="常规 2 6 55 4" xfId="26519"/>
    <cellStyle name="常规 2 6 56" xfId="26520"/>
    <cellStyle name="常规 2 6 56 2" xfId="13562"/>
    <cellStyle name="常规 2 6 56 2 2" xfId="26521"/>
    <cellStyle name="常规 2 6 56 3" xfId="26044"/>
    <cellStyle name="常规 2 6 56 3 2" xfId="18414"/>
    <cellStyle name="常规 2 6 56 4" xfId="23537"/>
    <cellStyle name="常规 2 6 57" xfId="26523"/>
    <cellStyle name="常规 2 6 57 2" xfId="26067"/>
    <cellStyle name="常规 2 6 57 2 2" xfId="26524"/>
    <cellStyle name="常规 2 6 57 3" xfId="26069"/>
    <cellStyle name="常规 2 6 57 3 2" xfId="18429"/>
    <cellStyle name="常规 2 6 57 4" xfId="26525"/>
    <cellStyle name="常规 2 6 58" xfId="26526"/>
    <cellStyle name="常规 2 6 58 2" xfId="26097"/>
    <cellStyle name="常规 2 6 58 2 2" xfId="26527"/>
    <cellStyle name="常规 2 6 58 3" xfId="26099"/>
    <cellStyle name="常规 2 6 58 3 2" xfId="18445"/>
    <cellStyle name="常规 2 6 58 4" xfId="26528"/>
    <cellStyle name="常规 2 6 59" xfId="26529"/>
    <cellStyle name="常规 2 6 59 2" xfId="26143"/>
    <cellStyle name="常规 2 6 59 2 2" xfId="26530"/>
    <cellStyle name="常规 2 6 59 3" xfId="26145"/>
    <cellStyle name="常规 2 6 59 3 2" xfId="18459"/>
    <cellStyle name="常规 2 6 59 4" xfId="26531"/>
    <cellStyle name="常规 2 6 6" xfId="2934"/>
    <cellStyle name="常规 2 6 6 10" xfId="22633"/>
    <cellStyle name="常规 2 6 6 11" xfId="13713"/>
    <cellStyle name="常规 2 6 6 12" xfId="13567"/>
    <cellStyle name="常规 2 6 6 13" xfId="13570"/>
    <cellStyle name="常规 2 6 6 14" xfId="7163"/>
    <cellStyle name="常规 2 6 6 15" xfId="13576"/>
    <cellStyle name="常规 2 6 6 16" xfId="26534"/>
    <cellStyle name="常规 2 6 6 2" xfId="26535"/>
    <cellStyle name="常规 2 6 6 3" xfId="26537"/>
    <cellStyle name="常规 2 6 6 4" xfId="26539"/>
    <cellStyle name="常规 2 6 6 5" xfId="26541"/>
    <cellStyle name="常规 2 6 6 6" xfId="26542"/>
    <cellStyle name="常规 2 6 6 7" xfId="7625"/>
    <cellStyle name="常规 2 6 6 8" xfId="26543"/>
    <cellStyle name="常规 2 6 6 9" xfId="26545"/>
    <cellStyle name="常规 2 6 60" xfId="26518"/>
    <cellStyle name="常规 2 6 7" xfId="26546"/>
    <cellStyle name="常规 2 6 7 10" xfId="24287"/>
    <cellStyle name="常规 2 6 7 11" xfId="24293"/>
    <cellStyle name="常规 2 6 7 12" xfId="24298"/>
    <cellStyle name="常规 2 6 7 13" xfId="26547"/>
    <cellStyle name="常规 2 6 7 14" xfId="26548"/>
    <cellStyle name="常规 2 6 7 15" xfId="26549"/>
    <cellStyle name="常规 2 6 7 16" xfId="7262"/>
    <cellStyle name="常规 2 6 7 2" xfId="26550"/>
    <cellStyle name="常规 2 6 7 3" xfId="26552"/>
    <cellStyle name="常规 2 6 7 4" xfId="26553"/>
    <cellStyle name="常规 2 6 7 5" xfId="26554"/>
    <cellStyle name="常规 2 6 7 6" xfId="26555"/>
    <cellStyle name="常规 2 6 7 7" xfId="7629"/>
    <cellStyle name="常规 2 6 7 8" xfId="26556"/>
    <cellStyle name="常规 2 6 7 9" xfId="12403"/>
    <cellStyle name="常规 2 6 8" xfId="26557"/>
    <cellStyle name="常规 2 6 8 10" xfId="22515"/>
    <cellStyle name="常规 2 6 8 11" xfId="22741"/>
    <cellStyle name="常规 2 6 8 12" xfId="24339"/>
    <cellStyle name="常规 2 6 8 13" xfId="5684"/>
    <cellStyle name="常规 2 6 8 14" xfId="26559"/>
    <cellStyle name="常规 2 6 8 15" xfId="26561"/>
    <cellStyle name="常规 2 6 8 16" xfId="9114"/>
    <cellStyle name="常规 2 6 8 2" xfId="26562"/>
    <cellStyle name="常规 2 6 8 3" xfId="26563"/>
    <cellStyle name="常规 2 6 8 4" xfId="20734"/>
    <cellStyle name="常规 2 6 8 5" xfId="26564"/>
    <cellStyle name="常规 2 6 8 6" xfId="26565"/>
    <cellStyle name="常规 2 6 8 7" xfId="7632"/>
    <cellStyle name="常规 2 6 8 8" xfId="19637"/>
    <cellStyle name="常规 2 6 8 9" xfId="12407"/>
    <cellStyle name="常规 2 6 9" xfId="26566"/>
    <cellStyle name="常规 2 6 9 10" xfId="26568"/>
    <cellStyle name="常规 2 6 9 11" xfId="26569"/>
    <cellStyle name="常规 2 6 9 12" xfId="26570"/>
    <cellStyle name="常规 2 6 9 13" xfId="26571"/>
    <cellStyle name="常规 2 6 9 14" xfId="26572"/>
    <cellStyle name="常规 2 6 9 15" xfId="26573"/>
    <cellStyle name="常规 2 6 9 16" xfId="26574"/>
    <cellStyle name="常规 2 6 9 17" xfId="1392"/>
    <cellStyle name="常规 2 6 9 2" xfId="26576"/>
    <cellStyle name="常规 2 6 9 3" xfId="22452"/>
    <cellStyle name="常规 2 6 9 4" xfId="20737"/>
    <cellStyle name="常规 2 6 9 5" xfId="22458"/>
    <cellStyle name="常规 2 6 9 6" xfId="22462"/>
    <cellStyle name="常规 2 6 9 7" xfId="20872"/>
    <cellStyle name="常规 2 6 9 8" xfId="26577"/>
    <cellStyle name="常规 2 6 9 9" xfId="12409"/>
    <cellStyle name="常规 2 6_综合楼7装修工程量清单(1)-7.5" xfId="26578"/>
    <cellStyle name="常规 2 60" xfId="23992"/>
    <cellStyle name="常规 2 60 2" xfId="20415"/>
    <cellStyle name="常规 2 60 2 2" xfId="20418"/>
    <cellStyle name="常规 2 60 3" xfId="20423"/>
    <cellStyle name="常规 2 60 3 2" xfId="18058"/>
    <cellStyle name="常规 2 60 4" xfId="20426"/>
    <cellStyle name="常规 2 60 5" xfId="21618"/>
    <cellStyle name="常规 2 61" xfId="21640"/>
    <cellStyle name="常规 2 61 2" xfId="21645"/>
    <cellStyle name="常规 2 61 2 2" xfId="8416"/>
    <cellStyle name="常规 2 61 3" xfId="26262"/>
    <cellStyle name="常规 2 61 3 2" xfId="26264"/>
    <cellStyle name="常规 2 61 4" xfId="26266"/>
    <cellStyle name="常规 2 61 5" xfId="21622"/>
    <cellStyle name="常规 2 62" xfId="13390"/>
    <cellStyle name="常规 2 62 2" xfId="21649"/>
    <cellStyle name="常规 2 62 2 2" xfId="18340"/>
    <cellStyle name="常规 2 62 3" xfId="26268"/>
    <cellStyle name="常规 2 62 3 2" xfId="26270"/>
    <cellStyle name="常规 2 62 4" xfId="26272"/>
    <cellStyle name="常规 2 62 5" xfId="26274"/>
    <cellStyle name="常规 2 63" xfId="14936"/>
    <cellStyle name="常规 2 63 2" xfId="21652"/>
    <cellStyle name="常规 2 63 2 2" xfId="18423"/>
    <cellStyle name="常规 2 63 3" xfId="26276"/>
    <cellStyle name="常规 2 63 3 2" xfId="26279"/>
    <cellStyle name="常规 2 63 4" xfId="26282"/>
    <cellStyle name="常规 2 63 5" xfId="26285"/>
    <cellStyle name="常规 2 64" xfId="21657"/>
    <cellStyle name="常规 2 64 2" xfId="21662"/>
    <cellStyle name="常规 2 64 2 2" xfId="18438"/>
    <cellStyle name="常规 2 64 3" xfId="26288"/>
    <cellStyle name="常规 2 64 3 2" xfId="26291"/>
    <cellStyle name="常规 2 64 4" xfId="26294"/>
    <cellStyle name="常规 2 64 5" xfId="26297"/>
    <cellStyle name="常规 2 65" xfId="21666"/>
    <cellStyle name="常规 2 65 2" xfId="26579"/>
    <cellStyle name="常规 2 65 2 2" xfId="18455"/>
    <cellStyle name="常规 2 65 3" xfId="26585"/>
    <cellStyle name="常规 2 65 3 2" xfId="26588"/>
    <cellStyle name="常规 2 65 4" xfId="26591"/>
    <cellStyle name="常规 2 65 5" xfId="26593"/>
    <cellStyle name="常规 2 66" xfId="23994"/>
    <cellStyle name="常规 2 66 2" xfId="26596"/>
    <cellStyle name="常规 2 66 2 2" xfId="18469"/>
    <cellStyle name="常规 2 66 3" xfId="26598"/>
    <cellStyle name="常规 2 66 3 2" xfId="26599"/>
    <cellStyle name="常规 2 66 4" xfId="26600"/>
    <cellStyle name="常规 2 66 5" xfId="26601"/>
    <cellStyle name="常规 2 67" xfId="26602"/>
    <cellStyle name="常规 2 67 2" xfId="26606"/>
    <cellStyle name="常规 2 67 2 2" xfId="18480"/>
    <cellStyle name="常规 2 67 3" xfId="26608"/>
    <cellStyle name="常规 2 67 3 2" xfId="26610"/>
    <cellStyle name="常规 2 67 4" xfId="26611"/>
    <cellStyle name="常规 2 67 5" xfId="26612"/>
    <cellStyle name="常规 2 68" xfId="10398"/>
    <cellStyle name="常规 2 68 2" xfId="26614"/>
    <cellStyle name="常规 2 68 2 2" xfId="18500"/>
    <cellStyle name="常规 2 68 3" xfId="26615"/>
    <cellStyle name="常规 2 68 3 2" xfId="26616"/>
    <cellStyle name="常规 2 68 4" xfId="23277"/>
    <cellStyle name="常规 2 68 5" xfId="26617"/>
    <cellStyle name="常规 2 69" xfId="2191"/>
    <cellStyle name="常规 2 69 2" xfId="4757"/>
    <cellStyle name="常规 2 69 2 2" xfId="18527"/>
    <cellStyle name="常规 2 69 3" xfId="26618"/>
    <cellStyle name="常规 2 69 3 2" xfId="26619"/>
    <cellStyle name="常规 2 69 4" xfId="26620"/>
    <cellStyle name="常规 2 69 5" xfId="26621"/>
    <cellStyle name="常规 2 7" xfId="26622"/>
    <cellStyle name="常规 2 7 10" xfId="14281"/>
    <cellStyle name="常规 2 7 10 2" xfId="14284"/>
    <cellStyle name="常规 2 7 10 3" xfId="13690"/>
    <cellStyle name="常规 2 7 10 4" xfId="21230"/>
    <cellStyle name="常规 2 7 10 5" xfId="26623"/>
    <cellStyle name="常规 2 7 11" xfId="14286"/>
    <cellStyle name="常规 2 7 11 2" xfId="14289"/>
    <cellStyle name="常规 2 7 11 3" xfId="20985"/>
    <cellStyle name="常规 2 7 11 4" xfId="26624"/>
    <cellStyle name="常规 2 7 11 5" xfId="26625"/>
    <cellStyle name="常规 2 7 12" xfId="14291"/>
    <cellStyle name="常规 2 7 12 2" xfId="14293"/>
    <cellStyle name="常规 2 7 12 3" xfId="20988"/>
    <cellStyle name="常规 2 7 13" xfId="14295"/>
    <cellStyle name="常规 2 7 13 2" xfId="26626"/>
    <cellStyle name="常规 2 7 13 3" xfId="20991"/>
    <cellStyle name="常规 2 7 14" xfId="26627"/>
    <cellStyle name="常规 2 7 14 2" xfId="26628"/>
    <cellStyle name="常规 2 7 14 3" xfId="26629"/>
    <cellStyle name="常规 2 7 15" xfId="26630"/>
    <cellStyle name="常规 2 7 15 2" xfId="26632"/>
    <cellStyle name="常规 2 7 15 3" xfId="26634"/>
    <cellStyle name="常规 2 7 16" xfId="26636"/>
    <cellStyle name="常规 2 7 16 2" xfId="26639"/>
    <cellStyle name="常规 2 7 16 3" xfId="26641"/>
    <cellStyle name="常规 2 7 17" xfId="26643"/>
    <cellStyle name="常规 2 7 17 2" xfId="26645"/>
    <cellStyle name="常规 2 7 17 3" xfId="26647"/>
    <cellStyle name="常规 2 7 18" xfId="26650"/>
    <cellStyle name="常规 2 7 18 2" xfId="26653"/>
    <cellStyle name="常规 2 7 18 3" xfId="26656"/>
    <cellStyle name="常规 2 7 19" xfId="26659"/>
    <cellStyle name="常规 2 7 19 2" xfId="26662"/>
    <cellStyle name="常规 2 7 19 3" xfId="26665"/>
    <cellStyle name="常规 2 7 2" xfId="26667"/>
    <cellStyle name="常规 2 7 2 2" xfId="26668"/>
    <cellStyle name="常规 2 7 2 2 2" xfId="18083"/>
    <cellStyle name="常规 2 7 2 2 2 2" xfId="26669"/>
    <cellStyle name="常规 2 7 2 2 3" xfId="18085"/>
    <cellStyle name="常规 2 7 2 2 3 2" xfId="26670"/>
    <cellStyle name="常规 2 7 2 2 4" xfId="18087"/>
    <cellStyle name="常规 2 7 2 2 5" xfId="26671"/>
    <cellStyle name="常规 2 7 2 3" xfId="26672"/>
    <cellStyle name="常规 2 7 2 3 2" xfId="26673"/>
    <cellStyle name="常规 2 7 2 3 3" xfId="26674"/>
    <cellStyle name="常规 2 7 2 4" xfId="26675"/>
    <cellStyle name="常规 2 7 2 4 2" xfId="20693"/>
    <cellStyle name="常规 2 7 2 5" xfId="3615"/>
    <cellStyle name="常规 2 7 2 6" xfId="13585"/>
    <cellStyle name="常规 2 7 20" xfId="26631"/>
    <cellStyle name="常规 2 7 20 2" xfId="26633"/>
    <cellStyle name="常规 2 7 20 3" xfId="26635"/>
    <cellStyle name="常规 2 7 21" xfId="26637"/>
    <cellStyle name="常规 2 7 21 2" xfId="26640"/>
    <cellStyle name="常规 2 7 21 3" xfId="26642"/>
    <cellStyle name="常规 2 7 22" xfId="26644"/>
    <cellStyle name="常规 2 7 22 2" xfId="26646"/>
    <cellStyle name="常规 2 7 22 3" xfId="26648"/>
    <cellStyle name="常规 2 7 23" xfId="26651"/>
    <cellStyle name="常规 2 7 23 2" xfId="26654"/>
    <cellStyle name="常规 2 7 23 3" xfId="26657"/>
    <cellStyle name="常规 2 7 24" xfId="26660"/>
    <cellStyle name="常规 2 7 24 2" xfId="26663"/>
    <cellStyle name="常规 2 7 24 3" xfId="26666"/>
    <cellStyle name="常规 2 7 25" xfId="26677"/>
    <cellStyle name="常规 2 7 25 2" xfId="11216"/>
    <cellStyle name="常规 2 7 25 3" xfId="11220"/>
    <cellStyle name="常规 2 7 26" xfId="7288"/>
    <cellStyle name="常规 2 7 26 2" xfId="7292"/>
    <cellStyle name="常规 2 7 26 3" xfId="11232"/>
    <cellStyle name="常规 2 7 27" xfId="7297"/>
    <cellStyle name="常规 2 7 27 2" xfId="7301"/>
    <cellStyle name="常规 2 7 28" xfId="7307"/>
    <cellStyle name="常规 2 7 28 2" xfId="7314"/>
    <cellStyle name="常规 2 7 29" xfId="7318"/>
    <cellStyle name="常规 2 7 29 2" xfId="26679"/>
    <cellStyle name="常规 2 7 3" xfId="21499"/>
    <cellStyle name="常规 2 7 3 2" xfId="21501"/>
    <cellStyle name="常规 2 7 3 3" xfId="21504"/>
    <cellStyle name="常规 2 7 3 4" xfId="21251"/>
    <cellStyle name="常规 2 7 30" xfId="26678"/>
    <cellStyle name="常规 2 7 30 2" xfId="11217"/>
    <cellStyle name="常规 2 7 31" xfId="7289"/>
    <cellStyle name="常规 2 7 31 2" xfId="7293"/>
    <cellStyle name="常规 2 7 32" xfId="7298"/>
    <cellStyle name="常规 2 7 32 2" xfId="7302"/>
    <cellStyle name="常规 2 7 33" xfId="7308"/>
    <cellStyle name="常规 2 7 33 2" xfId="7315"/>
    <cellStyle name="常规 2 7 34" xfId="7319"/>
    <cellStyle name="常规 2 7 34 2" xfId="26680"/>
    <cellStyle name="常规 2 7 35" xfId="26682"/>
    <cellStyle name="常规 2 7 35 2" xfId="26684"/>
    <cellStyle name="常规 2 7 36" xfId="26686"/>
    <cellStyle name="常规 2 7 36 2" xfId="26688"/>
    <cellStyle name="常规 2 7 37" xfId="22902"/>
    <cellStyle name="常规 2 7 37 2" xfId="20404"/>
    <cellStyle name="常规 2 7 37 2 2" xfId="26690"/>
    <cellStyle name="常规 2 7 37 3" xfId="25907"/>
    <cellStyle name="常规 2 7 37 3 2" xfId="26691"/>
    <cellStyle name="常规 2 7 37 4" xfId="22538"/>
    <cellStyle name="常规 2 7 38" xfId="25498"/>
    <cellStyle name="常规 2 7 38 2" xfId="25909"/>
    <cellStyle name="常规 2 7 38 2 2" xfId="26692"/>
    <cellStyle name="常规 2 7 38 3" xfId="6451"/>
    <cellStyle name="常规 2 7 38 3 2" xfId="26693"/>
    <cellStyle name="常规 2 7 38 4" xfId="22541"/>
    <cellStyle name="常规 2 7 39" xfId="25503"/>
    <cellStyle name="常规 2 7 39 2" xfId="26694"/>
    <cellStyle name="常规 2 7 39 2 2" xfId="26696"/>
    <cellStyle name="常规 2 7 39 3" xfId="6644"/>
    <cellStyle name="常规 2 7 39 3 2" xfId="26697"/>
    <cellStyle name="常规 2 7 39 4" xfId="22544"/>
    <cellStyle name="常规 2 7 4" xfId="26698"/>
    <cellStyle name="常规 2 7 4 2" xfId="800"/>
    <cellStyle name="常规 2 7 4 3" xfId="26699"/>
    <cellStyle name="常规 2 7 4 4" xfId="21256"/>
    <cellStyle name="常规 2 7 40" xfId="26683"/>
    <cellStyle name="常规 2 7 40 2" xfId="26685"/>
    <cellStyle name="常规 2 7 41" xfId="26687"/>
    <cellStyle name="常规 2 7 41 2" xfId="26689"/>
    <cellStyle name="常规 2 7 42" xfId="22903"/>
    <cellStyle name="常规 2 7 42 2" xfId="20405"/>
    <cellStyle name="常规 2 7 43" xfId="25499"/>
    <cellStyle name="常规 2 7 43 2" xfId="25910"/>
    <cellStyle name="常规 2 7 44" xfId="25504"/>
    <cellStyle name="常规 2 7 44 2" xfId="26695"/>
    <cellStyle name="常规 2 7 45" xfId="25507"/>
    <cellStyle name="常规 2 7 45 2" xfId="26700"/>
    <cellStyle name="常规 2 7 45 2 2" xfId="26703"/>
    <cellStyle name="常规 2 7 45 3" xfId="6649"/>
    <cellStyle name="常规 2 7 45 3 2" xfId="26706"/>
    <cellStyle name="常规 2 7 45 4" xfId="26709"/>
    <cellStyle name="常规 2 7 46" xfId="21694"/>
    <cellStyle name="常规 2 7 46 2" xfId="21697"/>
    <cellStyle name="常规 2 7 46 2 2" xfId="26712"/>
    <cellStyle name="常规 2 7 46 3" xfId="26714"/>
    <cellStyle name="常规 2 7 46 3 2" xfId="26716"/>
    <cellStyle name="常规 2 7 46 4" xfId="26718"/>
    <cellStyle name="常规 2 7 47" xfId="21700"/>
    <cellStyle name="常规 2 7 47 2" xfId="21703"/>
    <cellStyle name="常规 2 7 47 2 2" xfId="26720"/>
    <cellStyle name="常规 2 7 47 3" xfId="26722"/>
    <cellStyle name="常规 2 7 47 3 2" xfId="26724"/>
    <cellStyle name="常规 2 7 47 4" xfId="26726"/>
    <cellStyle name="常规 2 7 48" xfId="21708"/>
    <cellStyle name="常规 2 7 48 2" xfId="21712"/>
    <cellStyle name="常规 2 7 48 2 2" xfId="13834"/>
    <cellStyle name="常规 2 7 48 3" xfId="13696"/>
    <cellStyle name="常规 2 7 48 3 2" xfId="14062"/>
    <cellStyle name="常规 2 7 48 4" xfId="26728"/>
    <cellStyle name="常规 2 7 49" xfId="21716"/>
    <cellStyle name="常规 2 7 49 2" xfId="26730"/>
    <cellStyle name="常规 2 7 49 2 2" xfId="14571"/>
    <cellStyle name="常规 2 7 49 3" xfId="13700"/>
    <cellStyle name="常规 2 7 49 3 2" xfId="14636"/>
    <cellStyle name="常规 2 7 49 4" xfId="26732"/>
    <cellStyle name="常规 2 7 5" xfId="26734"/>
    <cellStyle name="常规 2 7 5 2" xfId="4581"/>
    <cellStyle name="常规 2 7 5 3" xfId="26735"/>
    <cellStyle name="常规 2 7 5 4" xfId="21259"/>
    <cellStyle name="常规 2 7 50" xfId="25508"/>
    <cellStyle name="常规 2 7 50 2" xfId="26701"/>
    <cellStyle name="常规 2 7 50 2 2" xfId="26704"/>
    <cellStyle name="常规 2 7 50 3" xfId="6650"/>
    <cellStyle name="常规 2 7 50 3 2" xfId="26707"/>
    <cellStyle name="常规 2 7 50 4" xfId="26710"/>
    <cellStyle name="常规 2 7 51" xfId="21695"/>
    <cellStyle name="常规 2 7 51 2" xfId="21698"/>
    <cellStyle name="常规 2 7 51 2 2" xfId="26713"/>
    <cellStyle name="常规 2 7 51 3" xfId="26715"/>
    <cellStyle name="常规 2 7 51 3 2" xfId="26717"/>
    <cellStyle name="常规 2 7 51 4" xfId="26719"/>
    <cellStyle name="常规 2 7 52" xfId="21701"/>
    <cellStyle name="常规 2 7 52 2" xfId="21704"/>
    <cellStyle name="常规 2 7 52 2 2" xfId="26721"/>
    <cellStyle name="常规 2 7 52 3" xfId="26723"/>
    <cellStyle name="常规 2 7 52 3 2" xfId="26725"/>
    <cellStyle name="常规 2 7 52 4" xfId="26727"/>
    <cellStyle name="常规 2 7 53" xfId="21709"/>
    <cellStyle name="常规 2 7 53 2" xfId="21713"/>
    <cellStyle name="常规 2 7 53 2 2" xfId="13835"/>
    <cellStyle name="常规 2 7 53 3" xfId="13697"/>
    <cellStyle name="常规 2 7 53 3 2" xfId="14063"/>
    <cellStyle name="常规 2 7 53 4" xfId="26729"/>
    <cellStyle name="常规 2 7 54" xfId="21717"/>
    <cellStyle name="常规 2 7 54 2" xfId="26731"/>
    <cellStyle name="常规 2 7 54 2 2" xfId="14572"/>
    <cellStyle name="常规 2 7 54 3" xfId="13701"/>
    <cellStyle name="常规 2 7 54 3 2" xfId="14637"/>
    <cellStyle name="常规 2 7 54 4" xfId="26733"/>
    <cellStyle name="常规 2 7 55" xfId="14302"/>
    <cellStyle name="常规 2 7 55 2" xfId="14305"/>
    <cellStyle name="常规 2 7 55 2 2" xfId="14777"/>
    <cellStyle name="常规 2 7 55 3" xfId="13704"/>
    <cellStyle name="常规 2 7 55 3 2" xfId="14823"/>
    <cellStyle name="常规 2 7 55 4" xfId="26737"/>
    <cellStyle name="常规 2 7 56" xfId="14308"/>
    <cellStyle name="常规 2 7 56 2" xfId="14311"/>
    <cellStyle name="常规 2 7 56 2 2" xfId="14954"/>
    <cellStyle name="常规 2 7 56 3" xfId="26739"/>
    <cellStyle name="常规 2 7 56 3 2" xfId="14997"/>
    <cellStyle name="常规 2 7 56 4" xfId="26742"/>
    <cellStyle name="常规 2 7 57" xfId="14314"/>
    <cellStyle name="常规 2 7 57 2" xfId="26744"/>
    <cellStyle name="常规 2 7 57 2 2" xfId="15072"/>
    <cellStyle name="常规 2 7 57 3" xfId="26747"/>
    <cellStyle name="常规 2 7 57 3 2" xfId="15084"/>
    <cellStyle name="常规 2 7 57 4" xfId="26750"/>
    <cellStyle name="常规 2 7 58" xfId="26752"/>
    <cellStyle name="常规 2 7 58 2" xfId="26754"/>
    <cellStyle name="常规 2 7 58 2 2" xfId="15119"/>
    <cellStyle name="常规 2 7 58 3" xfId="26756"/>
    <cellStyle name="常规 2 7 58 3 2" xfId="15130"/>
    <cellStyle name="常规 2 7 58 4" xfId="26758"/>
    <cellStyle name="常规 2 7 59" xfId="26760"/>
    <cellStyle name="常规 2 7 59 2" xfId="26762"/>
    <cellStyle name="常规 2 7 59 2 2" xfId="15151"/>
    <cellStyle name="常规 2 7 59 3" xfId="26764"/>
    <cellStyle name="常规 2 7 59 3 2" xfId="15168"/>
    <cellStyle name="常规 2 7 59 4" xfId="26766"/>
    <cellStyle name="常规 2 7 6" xfId="1041"/>
    <cellStyle name="常规 2 7 6 2" xfId="1045"/>
    <cellStyle name="常规 2 7 6 3" xfId="654"/>
    <cellStyle name="常规 2 7 6 4" xfId="676"/>
    <cellStyle name="常规 2 7 60" xfId="14303"/>
    <cellStyle name="常规 2 7 60 2" xfId="14306"/>
    <cellStyle name="常规 2 7 60 2 2" xfId="14778"/>
    <cellStyle name="常规 2 7 60 3" xfId="13705"/>
    <cellStyle name="常规 2 7 60 3 2" xfId="14824"/>
    <cellStyle name="常规 2 7 60 4" xfId="26738"/>
    <cellStyle name="常规 2 7 61" xfId="14309"/>
    <cellStyle name="常规 2 7 61 2" xfId="14312"/>
    <cellStyle name="常规 2 7 61 2 2" xfId="14955"/>
    <cellStyle name="常规 2 7 61 3" xfId="26740"/>
    <cellStyle name="常规 2 7 61 3 2" xfId="14998"/>
    <cellStyle name="常规 2 7 61 4" xfId="26743"/>
    <cellStyle name="常规 2 7 62" xfId="14315"/>
    <cellStyle name="常规 2 7 62 2" xfId="26745"/>
    <cellStyle name="常规 2 7 62 2 2" xfId="15073"/>
    <cellStyle name="常规 2 7 62 3" xfId="26748"/>
    <cellStyle name="常规 2 7 62 3 2" xfId="15085"/>
    <cellStyle name="常规 2 7 62 4" xfId="26751"/>
    <cellStyle name="常规 2 7 63" xfId="26753"/>
    <cellStyle name="常规 2 7 63 2" xfId="26755"/>
    <cellStyle name="常规 2 7 63 2 2" xfId="15120"/>
    <cellStyle name="常规 2 7 63 3" xfId="26757"/>
    <cellStyle name="常规 2 7 63 3 2" xfId="15131"/>
    <cellStyle name="常规 2 7 63 4" xfId="26759"/>
    <cellStyle name="常规 2 7 64" xfId="26761"/>
    <cellStyle name="常规 2 7 64 2" xfId="26763"/>
    <cellStyle name="常规 2 7 64 2 2" xfId="15152"/>
    <cellStyle name="常规 2 7 64 3" xfId="26765"/>
    <cellStyle name="常规 2 7 64 3 2" xfId="15169"/>
    <cellStyle name="常规 2 7 64 4" xfId="26767"/>
    <cellStyle name="常规 2 7 65" xfId="26768"/>
    <cellStyle name="常规 2 7 7" xfId="26769"/>
    <cellStyle name="常规 2 7 7 2" xfId="26770"/>
    <cellStyle name="常规 2 7 7 3" xfId="26772"/>
    <cellStyle name="常规 2 7 7 4" xfId="26774"/>
    <cellStyle name="常规 2 7 8" xfId="26775"/>
    <cellStyle name="常规 2 7 8 2" xfId="21342"/>
    <cellStyle name="常规 2 7 8 3" xfId="26777"/>
    <cellStyle name="常规 2 7 8 4" xfId="26779"/>
    <cellStyle name="常规 2 7 8 5" xfId="26781"/>
    <cellStyle name="常规 2 7 9" xfId="26782"/>
    <cellStyle name="常规 2 7 9 2" xfId="26783"/>
    <cellStyle name="常规 2 7 9 3" xfId="26785"/>
    <cellStyle name="常规 2 7 9 4" xfId="26787"/>
    <cellStyle name="常规 2 7 9 5" xfId="26789"/>
    <cellStyle name="常规 2 70" xfId="21667"/>
    <cellStyle name="常规 2 70 2" xfId="26580"/>
    <cellStyle name="常规 2 70 2 2" xfId="18456"/>
    <cellStyle name="常规 2 70 3" xfId="26586"/>
    <cellStyle name="常规 2 70 3 2" xfId="26589"/>
    <cellStyle name="常规 2 70 4" xfId="26592"/>
    <cellStyle name="常规 2 70 5" xfId="26594"/>
    <cellStyle name="常规 2 71" xfId="23995"/>
    <cellStyle name="常规 2 71 2" xfId="26597"/>
    <cellStyle name="常规 2 72" xfId="26603"/>
    <cellStyle name="常规 2 72 2" xfId="26607"/>
    <cellStyle name="常规 2 72 3" xfId="26609"/>
    <cellStyle name="常规 2 73" xfId="10399"/>
    <cellStyle name="常规 2 74" xfId="2192"/>
    <cellStyle name="常规 2 75" xfId="4761"/>
    <cellStyle name="常规 2 76" xfId="5080"/>
    <cellStyle name="常规 2 77" xfId="5086"/>
    <cellStyle name="常规 2 78" xfId="26790"/>
    <cellStyle name="常规 2 79" xfId="26792"/>
    <cellStyle name="常规 2 8" xfId="26794"/>
    <cellStyle name="常规 2 8 10" xfId="10997"/>
    <cellStyle name="常规 2 8 11" xfId="22798"/>
    <cellStyle name="常规 2 8 12" xfId="13219"/>
    <cellStyle name="常规 2 8 13" xfId="26795"/>
    <cellStyle name="常规 2 8 14" xfId="26796"/>
    <cellStyle name="常规 2 8 15" xfId="26797"/>
    <cellStyle name="常规 2 8 16" xfId="14692"/>
    <cellStyle name="常规 2 8 17" xfId="26799"/>
    <cellStyle name="常规 2 8 18" xfId="26801"/>
    <cellStyle name="常规 2 8 19" xfId="26803"/>
    <cellStyle name="常规 2 8 2" xfId="19384"/>
    <cellStyle name="常规 2 8 2 2" xfId="21814"/>
    <cellStyle name="常规 2 8 2 2 2" xfId="25402"/>
    <cellStyle name="常规 2 8 2 2 3" xfId="25404"/>
    <cellStyle name="常规 2 8 2 3" xfId="26805"/>
    <cellStyle name="常规 2 8 2 3 2" xfId="26806"/>
    <cellStyle name="常规 2 8 2 3 3" xfId="26807"/>
    <cellStyle name="常规 2 8 2 4" xfId="26808"/>
    <cellStyle name="常规 2 8 2 5" xfId="26811"/>
    <cellStyle name="常规 2 8 20" xfId="26798"/>
    <cellStyle name="常规 2 8 21" xfId="14693"/>
    <cellStyle name="常规 2 8 22" xfId="26800"/>
    <cellStyle name="常规 2 8 23" xfId="26802"/>
    <cellStyle name="常规 2 8 24" xfId="26804"/>
    <cellStyle name="常规 2 8 3" xfId="26812"/>
    <cellStyle name="常规 2 8 3 2" xfId="26813"/>
    <cellStyle name="常规 2 8 3 2 2" xfId="26816"/>
    <cellStyle name="常规 2 8 3 2 3" xfId="26817"/>
    <cellStyle name="常规 2 8 3 3" xfId="26818"/>
    <cellStyle name="常规 2 8 3 3 2" xfId="26819"/>
    <cellStyle name="常规 2 8 3 3 3" xfId="26820"/>
    <cellStyle name="常规 2 8 3 4" xfId="26821"/>
    <cellStyle name="常规 2 8 3 5" xfId="26823"/>
    <cellStyle name="常规 2 8 4" xfId="26824"/>
    <cellStyle name="常规 2 8 4 2" xfId="4644"/>
    <cellStyle name="常规 2 8 4 3" xfId="26825"/>
    <cellStyle name="常规 2 8 5" xfId="26826"/>
    <cellStyle name="常规 2 8 5 2" xfId="4670"/>
    <cellStyle name="常规 2 8 5 3" xfId="26827"/>
    <cellStyle name="常规 2 8 6" xfId="26829"/>
    <cellStyle name="常规 2 8 6 2" xfId="8084"/>
    <cellStyle name="常规 2 8 6 3" xfId="8087"/>
    <cellStyle name="常规 2 8 7" xfId="26830"/>
    <cellStyle name="常规 2 8 8" xfId="26831"/>
    <cellStyle name="常规 2 8 9" xfId="21466"/>
    <cellStyle name="常规 2 8_银湖城销售中心电气报价清单2011-6-16" xfId="26832"/>
    <cellStyle name="常规 2 80" xfId="4762"/>
    <cellStyle name="常规 2 81" xfId="5081"/>
    <cellStyle name="常规 2 82" xfId="5087"/>
    <cellStyle name="常规 2 83" xfId="26791"/>
    <cellStyle name="常规 2 84" xfId="26793"/>
    <cellStyle name="常规 2 85" xfId="26833"/>
    <cellStyle name="常规 2 86" xfId="11503"/>
    <cellStyle name="常规 2 87" xfId="11529"/>
    <cellStyle name="常规 2 88" xfId="11541"/>
    <cellStyle name="常规 2 89" xfId="11553"/>
    <cellStyle name="常规 2 9" xfId="26835"/>
    <cellStyle name="常规 2 9 10" xfId="26836"/>
    <cellStyle name="常规 2 9 11" xfId="26837"/>
    <cellStyle name="常规 2 9 12" xfId="26838"/>
    <cellStyle name="常规 2 9 13" xfId="26839"/>
    <cellStyle name="常规 2 9 14" xfId="26840"/>
    <cellStyle name="常规 2 9 15" xfId="26841"/>
    <cellStyle name="常规 2 9 16" xfId="26843"/>
    <cellStyle name="常规 2 9 17" xfId="26845"/>
    <cellStyle name="常规 2 9 18" xfId="26847"/>
    <cellStyle name="常规 2 9 19" xfId="26849"/>
    <cellStyle name="常规 2 9 2" xfId="26850"/>
    <cellStyle name="常规 2 9 2 2" xfId="26852"/>
    <cellStyle name="常规 2 9 2 2 2" xfId="26853"/>
    <cellStyle name="常规 2 9 2 3" xfId="26854"/>
    <cellStyle name="常规 2 9 20" xfId="26842"/>
    <cellStyle name="常规 2 9 21" xfId="26844"/>
    <cellStyle name="常规 2 9 22" xfId="26846"/>
    <cellStyle name="常规 2 9 3" xfId="26855"/>
    <cellStyle name="常规 2 9 3 2" xfId="26857"/>
    <cellStyle name="常规 2 9 4" xfId="26858"/>
    <cellStyle name="常规 2 9 5" xfId="26859"/>
    <cellStyle name="常规 2 9 6" xfId="26860"/>
    <cellStyle name="常规 2 9 7" xfId="24290"/>
    <cellStyle name="常规 2 9 8" xfId="26861"/>
    <cellStyle name="常规 2 9 9" xfId="21473"/>
    <cellStyle name="常规 2 90" xfId="26834"/>
    <cellStyle name="常规 2 91" xfId="11504"/>
    <cellStyle name="常规 2 92" xfId="11530"/>
    <cellStyle name="常规 2 93" xfId="11542"/>
    <cellStyle name="常规 2 94" xfId="11554"/>
    <cellStyle name="常规 2 95" xfId="11560"/>
    <cellStyle name="常规 2 96" xfId="11563"/>
    <cellStyle name="常规 2 97" xfId="26862"/>
    <cellStyle name="常规 2 98" xfId="26863"/>
    <cellStyle name="常规 2 99" xfId="24003"/>
    <cellStyle name="常规 2_(38#)2000" xfId="12641"/>
    <cellStyle name="常规 2_115木地板 2" xfId="26864"/>
    <cellStyle name="常规 2_20090709西安恒大城一期项目样板房精装修工程（套房）工程量清单 2" xfId="26865"/>
    <cellStyle name="常规 2_造价测定清单" xfId="26866"/>
    <cellStyle name="常规 20" xfId="23221"/>
    <cellStyle name="常规 20 2" xfId="17903"/>
    <cellStyle name="常规 20 2 2" xfId="17910"/>
    <cellStyle name="常规 20 3" xfId="17943"/>
    <cellStyle name="常规 20 4" xfId="17991"/>
    <cellStyle name="常规 20 5" xfId="18021"/>
    <cellStyle name="常规 21" xfId="23225"/>
    <cellStyle name="常规 21 2" xfId="17485"/>
    <cellStyle name="常规 21 3" xfId="1675"/>
    <cellStyle name="常规 21 4" xfId="17490"/>
    <cellStyle name="常规 22" xfId="23231"/>
    <cellStyle name="常规 22 2" xfId="17503"/>
    <cellStyle name="常规 22 3" xfId="1200"/>
    <cellStyle name="常规 22 4" xfId="17509"/>
    <cellStyle name="常规 23" xfId="23243"/>
    <cellStyle name="常规 23 2" xfId="23245"/>
    <cellStyle name="常规 23 3" xfId="1273"/>
    <cellStyle name="常规 23 4" xfId="23262"/>
    <cellStyle name="常规 23 5" xfId="23268"/>
    <cellStyle name="常规 24" xfId="23280"/>
    <cellStyle name="常规 24 2" xfId="18902"/>
    <cellStyle name="常规 24 3" xfId="23283"/>
    <cellStyle name="常规 24 4" xfId="1316"/>
    <cellStyle name="常规 24 5" xfId="23287"/>
    <cellStyle name="常规 25" xfId="26867"/>
    <cellStyle name="常规 25 2" xfId="26869"/>
    <cellStyle name="常规 25 3" xfId="26872"/>
    <cellStyle name="常规 26" xfId="26874"/>
    <cellStyle name="常规 26 2" xfId="26876"/>
    <cellStyle name="常规 27" xfId="128"/>
    <cellStyle name="常规 27 2" xfId="26878"/>
    <cellStyle name="常规 27 3" xfId="26879"/>
    <cellStyle name="常规 27 4" xfId="9851"/>
    <cellStyle name="常规 28" xfId="26880"/>
    <cellStyle name="常规 28 2" xfId="26882"/>
    <cellStyle name="常规 29" xfId="26886"/>
    <cellStyle name="常规 29 2" xfId="26888"/>
    <cellStyle name="常规 29 3" xfId="16666"/>
    <cellStyle name="常规 29 4" xfId="9861"/>
    <cellStyle name="常规 3" xfId="26890"/>
    <cellStyle name="常规 3 10" xfId="18034"/>
    <cellStyle name="常规 3 10 10" xfId="26891"/>
    <cellStyle name="常规 3 10 11" xfId="14360"/>
    <cellStyle name="常规 3 10 12" xfId="14367"/>
    <cellStyle name="常规 3 10 13" xfId="1252"/>
    <cellStyle name="常规 3 10 14" xfId="26892"/>
    <cellStyle name="常规 3 10 15" xfId="14465"/>
    <cellStyle name="常规 3 10 16" xfId="8683"/>
    <cellStyle name="常规 3 10 2" xfId="26893"/>
    <cellStyle name="常规 3 10 3" xfId="12628"/>
    <cellStyle name="常规 3 10 4" xfId="8821"/>
    <cellStyle name="常规 3 10 5" xfId="12634"/>
    <cellStyle name="常规 3 10 6" xfId="12639"/>
    <cellStyle name="常规 3 10 7" xfId="14343"/>
    <cellStyle name="常规 3 10 8" xfId="26894"/>
    <cellStyle name="常规 3 10 9" xfId="26895"/>
    <cellStyle name="常规 3 11" xfId="18036"/>
    <cellStyle name="常规 3 11 10" xfId="16858"/>
    <cellStyle name="常规 3 11 11" xfId="11006"/>
    <cellStyle name="常规 3 11 12" xfId="16860"/>
    <cellStyle name="常规 3 11 13" xfId="4724"/>
    <cellStyle name="常规 3 11 14" xfId="26898"/>
    <cellStyle name="常规 3 11 15" xfId="26900"/>
    <cellStyle name="常规 3 11 16" xfId="26902"/>
    <cellStyle name="常规 3 11 17" xfId="26904"/>
    <cellStyle name="常规 3 11 2" xfId="26905"/>
    <cellStyle name="常规 3 11 2 2" xfId="26908"/>
    <cellStyle name="常规 3 11 2 3" xfId="26909"/>
    <cellStyle name="常规 3 11 3" xfId="12644"/>
    <cellStyle name="常规 3 11 3 2" xfId="12646"/>
    <cellStyle name="常规 3 11 3 3" xfId="26910"/>
    <cellStyle name="常规 3 11 4" xfId="12649"/>
    <cellStyle name="常规 3 11 4 2" xfId="12651"/>
    <cellStyle name="常规 3 11 4 3" xfId="26911"/>
    <cellStyle name="常规 3 11 5" xfId="12654"/>
    <cellStyle name="常规 3 11 6" xfId="15529"/>
    <cellStyle name="常规 3 11 7" xfId="14350"/>
    <cellStyle name="常规 3 11 8" xfId="26912"/>
    <cellStyle name="常规 3 11 9" xfId="26913"/>
    <cellStyle name="常规 3 12" xfId="22132"/>
    <cellStyle name="常规 3 12 2" xfId="26914"/>
    <cellStyle name="常规 3 12 2 2" xfId="17112"/>
    <cellStyle name="常规 3 12 3" xfId="12658"/>
    <cellStyle name="常规 3 12 3 2" xfId="15697"/>
    <cellStyle name="常规 3 12 4" xfId="26917"/>
    <cellStyle name="常规 3 12 4 2" xfId="26918"/>
    <cellStyle name="常规 3 12 5" xfId="26919"/>
    <cellStyle name="常规 3 12 6" xfId="15533"/>
    <cellStyle name="常规 3 13" xfId="26920"/>
    <cellStyle name="常规 3 13 2" xfId="11983"/>
    <cellStyle name="常规 3 13 3" xfId="26922"/>
    <cellStyle name="常规 3 14" xfId="26923"/>
    <cellStyle name="常规 3 14 2" xfId="26925"/>
    <cellStyle name="常规 3 14 2 2" xfId="26926"/>
    <cellStyle name="常规 3 14 3" xfId="26927"/>
    <cellStyle name="常规 3 14 4" xfId="26928"/>
    <cellStyle name="常规 3 15" xfId="26929"/>
    <cellStyle name="常规 3 15 2" xfId="26932"/>
    <cellStyle name="常规 3 15 3" xfId="26935"/>
    <cellStyle name="常规 3 16" xfId="26937"/>
    <cellStyle name="常规 3 16 2" xfId="1414"/>
    <cellStyle name="常规 3 16 3" xfId="26939"/>
    <cellStyle name="常规 3 17" xfId="26941"/>
    <cellStyle name="常规 3 17 2" xfId="26943"/>
    <cellStyle name="常规 3 17 3" xfId="26945"/>
    <cellStyle name="常规 3 18" xfId="26947"/>
    <cellStyle name="常规 3 18 2" xfId="26950"/>
    <cellStyle name="常规 3 18 3" xfId="26953"/>
    <cellStyle name="常规 3 19" xfId="26955"/>
    <cellStyle name="常规 3 19 2" xfId="26957"/>
    <cellStyle name="常规 3 19 3" xfId="26960"/>
    <cellStyle name="常规 3 2" xfId="26962"/>
    <cellStyle name="常规 3 2 10" xfId="26965"/>
    <cellStyle name="常规 3 2 10 2" xfId="26968"/>
    <cellStyle name="常规 3 2 10 3" xfId="26969"/>
    <cellStyle name="常规 3 2 11" xfId="26972"/>
    <cellStyle name="常规 3 2 11 2" xfId="26974"/>
    <cellStyle name="常规 3 2 11 3" xfId="26975"/>
    <cellStyle name="常规 3 2 12" xfId="8533"/>
    <cellStyle name="常规 3 2 12 2" xfId="8535"/>
    <cellStyle name="常规 3 2 12 3" xfId="26976"/>
    <cellStyle name="常规 3 2 13" xfId="8538"/>
    <cellStyle name="常规 3 2 13 2" xfId="8540"/>
    <cellStyle name="常规 3 2 13 3" xfId="26977"/>
    <cellStyle name="常规 3 2 14" xfId="8496"/>
    <cellStyle name="常规 3 2 14 2" xfId="8543"/>
    <cellStyle name="常规 3 2 14 3" xfId="26978"/>
    <cellStyle name="常规 3 2 15" xfId="8546"/>
    <cellStyle name="常规 3 2 15 2" xfId="8551"/>
    <cellStyle name="常规 3 2 15 3" xfId="26980"/>
    <cellStyle name="常规 3 2 16" xfId="8553"/>
    <cellStyle name="常规 3 2 16 2" xfId="8556"/>
    <cellStyle name="常规 3 2 16 3" xfId="26981"/>
    <cellStyle name="常规 3 2 17" xfId="8559"/>
    <cellStyle name="常规 3 2 17 2" xfId="6598"/>
    <cellStyle name="常规 3 2 17 3" xfId="2839"/>
    <cellStyle name="常规 3 2 18" xfId="8562"/>
    <cellStyle name="常规 3 2 18 2" xfId="6605"/>
    <cellStyle name="常规 3 2 19" xfId="8565"/>
    <cellStyle name="常规 3 2 19 2" xfId="26532"/>
    <cellStyle name="常规 3 2 2" xfId="430"/>
    <cellStyle name="常规 3 2 2 2" xfId="7220"/>
    <cellStyle name="常规 3 2 2 2 2" xfId="26982"/>
    <cellStyle name="常规 3 2 2 2 3" xfId="26983"/>
    <cellStyle name="常规 3 2 2 3" xfId="23342"/>
    <cellStyle name="常规 3 2 20" xfId="8547"/>
    <cellStyle name="常规 3 2 20 2" xfId="8552"/>
    <cellStyle name="常规 3 2 21" xfId="8554"/>
    <cellStyle name="常规 3 2 21 2" xfId="8557"/>
    <cellStyle name="常规 3 2 22" xfId="8560"/>
    <cellStyle name="常规 3 2 22 2" xfId="6599"/>
    <cellStyle name="常规 3 2 23" xfId="8563"/>
    <cellStyle name="常规 3 2 23 2" xfId="6606"/>
    <cellStyle name="常规 3 2 24" xfId="8566"/>
    <cellStyle name="常规 3 2 24 2" xfId="26533"/>
    <cellStyle name="常规 3 2 25" xfId="26984"/>
    <cellStyle name="常规 3 2 25 2" xfId="26986"/>
    <cellStyle name="常规 3 2 26" xfId="26988"/>
    <cellStyle name="常规 3 2 26 2" xfId="26990"/>
    <cellStyle name="常规 3 2 27" xfId="26992"/>
    <cellStyle name="常规 3 2 27 2" xfId="26994"/>
    <cellStyle name="常规 3 2 28" xfId="26996"/>
    <cellStyle name="常规 3 2 28 2" xfId="26999"/>
    <cellStyle name="常规 3 2 28 2 2" xfId="27002"/>
    <cellStyle name="常规 3 2 28 3" xfId="27004"/>
    <cellStyle name="常规 3 2 28 3 2" xfId="27006"/>
    <cellStyle name="常规 3 2 28 4" xfId="27008"/>
    <cellStyle name="常规 3 2 29" xfId="7257"/>
    <cellStyle name="常规 3 2 29 2" xfId="7260"/>
    <cellStyle name="常规 3 2 29 2 2" xfId="10866"/>
    <cellStyle name="常规 3 2 29 3" xfId="27009"/>
    <cellStyle name="常规 3 2 29 3 2" xfId="27010"/>
    <cellStyle name="常规 3 2 29 4" xfId="27012"/>
    <cellStyle name="常规 3 2 3" xfId="7146"/>
    <cellStyle name="常规 3 2 3 2" xfId="7012"/>
    <cellStyle name="常规 3 2 3 2 2" xfId="27014"/>
    <cellStyle name="常规 3 2 3 2 3" xfId="27015"/>
    <cellStyle name="常规 3 2 3 3" xfId="23379"/>
    <cellStyle name="常规 3 2 30" xfId="26985"/>
    <cellStyle name="常规 3 2 30 2" xfId="26987"/>
    <cellStyle name="常规 3 2 31" xfId="26989"/>
    <cellStyle name="常规 3 2 31 2" xfId="26991"/>
    <cellStyle name="常规 3 2 32" xfId="26993"/>
    <cellStyle name="常规 3 2 32 2" xfId="26995"/>
    <cellStyle name="常规 3 2 33" xfId="26997"/>
    <cellStyle name="常规 3 2 33 2" xfId="27000"/>
    <cellStyle name="常规 3 2 34" xfId="7258"/>
    <cellStyle name="常规 3 2 34 2" xfId="7261"/>
    <cellStyle name="常规 3 2 35" xfId="7265"/>
    <cellStyle name="常规 3 2 36" xfId="7269"/>
    <cellStyle name="常规 3 2 4" xfId="766"/>
    <cellStyle name="常规 3 2 4 2" xfId="25653"/>
    <cellStyle name="常规 3 2 4 2 2" xfId="25658"/>
    <cellStyle name="常规 3 2 4 2 3" xfId="25687"/>
    <cellStyle name="常规 3 2 4 3" xfId="23415"/>
    <cellStyle name="常规 3 2 5" xfId="27017"/>
    <cellStyle name="常规 3 2 5 2" xfId="27018"/>
    <cellStyle name="常规 3 2 5 3" xfId="23462"/>
    <cellStyle name="常规 3 2 6" xfId="27019"/>
    <cellStyle name="常规 3 2 6 2" xfId="9371"/>
    <cellStyle name="常规 3 2 6 3" xfId="23496"/>
    <cellStyle name="常规 3 2 7" xfId="26443"/>
    <cellStyle name="常规 3 2 7 2" xfId="9385"/>
    <cellStyle name="常规 3 2 7 3" xfId="23527"/>
    <cellStyle name="常规 3 2 8" xfId="27020"/>
    <cellStyle name="常规 3 2 8 2" xfId="9395"/>
    <cellStyle name="常规 3 2 8 3" xfId="23549"/>
    <cellStyle name="常规 3 2 9" xfId="27021"/>
    <cellStyle name="常规 3 2 9 2" xfId="26082"/>
    <cellStyle name="常规 3 2 9 3" xfId="23561"/>
    <cellStyle name="常规 3 20" xfId="26930"/>
    <cellStyle name="常规 3 20 2" xfId="26933"/>
    <cellStyle name="常规 3 20 3" xfId="26936"/>
    <cellStyle name="常规 3 21" xfId="26938"/>
    <cellStyle name="常规 3 21 2" xfId="1415"/>
    <cellStyle name="常规 3 21 2 2" xfId="146"/>
    <cellStyle name="常规 3 21 3" xfId="26940"/>
    <cellStyle name="常规 3 21 3 2" xfId="254"/>
    <cellStyle name="常规 3 21 4" xfId="27022"/>
    <cellStyle name="常规 3 21 4 2" xfId="274"/>
    <cellStyle name="常规 3 21 5" xfId="27023"/>
    <cellStyle name="常规 3 21 6" xfId="7722"/>
    <cellStyle name="常规 3 22" xfId="26942"/>
    <cellStyle name="常规 3 22 2" xfId="26944"/>
    <cellStyle name="常规 3 22 2 2" xfId="18189"/>
    <cellStyle name="常规 3 22 3" xfId="26946"/>
    <cellStyle name="常规 3 22 3 2" xfId="27024"/>
    <cellStyle name="常规 3 22 4" xfId="27025"/>
    <cellStyle name="常规 3 22 4 2" xfId="27026"/>
    <cellStyle name="常规 3 22 5" xfId="27027"/>
    <cellStyle name="常规 3 22 6" xfId="27029"/>
    <cellStyle name="常规 3 23" xfId="26948"/>
    <cellStyle name="常规 3 23 2" xfId="26951"/>
    <cellStyle name="常规 3 23 2 2" xfId="2554"/>
    <cellStyle name="常规 3 23 3" xfId="26954"/>
    <cellStyle name="常规 3 23 3 2" xfId="2597"/>
    <cellStyle name="常规 3 23 4" xfId="27031"/>
    <cellStyle name="常规 3 23 4 2" xfId="2627"/>
    <cellStyle name="常规 3 23 5" xfId="27034"/>
    <cellStyle name="常规 3 23 6" xfId="27038"/>
    <cellStyle name="常规 3 24" xfId="26956"/>
    <cellStyle name="常规 3 24 2" xfId="26958"/>
    <cellStyle name="常规 3 24 3" xfId="26961"/>
    <cellStyle name="常规 3 25" xfId="27039"/>
    <cellStyle name="常规 3 25 2" xfId="27042"/>
    <cellStyle name="常规 3 25 2 2" xfId="19026"/>
    <cellStyle name="常规 3 25 3" xfId="27046"/>
    <cellStyle name="常规 3 25 3 2" xfId="27049"/>
    <cellStyle name="常规 3 25 4" xfId="27052"/>
    <cellStyle name="常规 3 25 5" xfId="27055"/>
    <cellStyle name="常规 3 26" xfId="27056"/>
    <cellStyle name="常规 3 26 2" xfId="27058"/>
    <cellStyle name="常规 3 26 2 2" xfId="27060"/>
    <cellStyle name="常规 3 26 3" xfId="27063"/>
    <cellStyle name="常规 3 26 3 2" xfId="27065"/>
    <cellStyle name="常规 3 26 4" xfId="27067"/>
    <cellStyle name="常规 3 27" xfId="27069"/>
    <cellStyle name="常规 3 27 2" xfId="27071"/>
    <cellStyle name="常规 3 27 2 2" xfId="27073"/>
    <cellStyle name="常规 3 27 3" xfId="27076"/>
    <cellStyle name="常规 3 27 3 2" xfId="27078"/>
    <cellStyle name="常规 3 27 4" xfId="22878"/>
    <cellStyle name="常规 3 28" xfId="27080"/>
    <cellStyle name="常规 3 28 2" xfId="27082"/>
    <cellStyle name="常规 3 28 2 2" xfId="27084"/>
    <cellStyle name="常规 3 28 3" xfId="27087"/>
    <cellStyle name="常规 3 28 3 2" xfId="27089"/>
    <cellStyle name="常规 3 28 4" xfId="22881"/>
    <cellStyle name="常规 3 29" xfId="27091"/>
    <cellStyle name="常规 3 29 2" xfId="27094"/>
    <cellStyle name="常规 3 29 2 2" xfId="10241"/>
    <cellStyle name="常规 3 29 3" xfId="27097"/>
    <cellStyle name="常规 3 29 3 2" xfId="27099"/>
    <cellStyle name="常规 3 29 4" xfId="22885"/>
    <cellStyle name="常规 3 3" xfId="27102"/>
    <cellStyle name="常规 3 3 10" xfId="27103"/>
    <cellStyle name="常规 3 3 10 2" xfId="6205"/>
    <cellStyle name="常规 3 3 10 3" xfId="27104"/>
    <cellStyle name="常规 3 3 11" xfId="27105"/>
    <cellStyle name="常规 3 3 11 2" xfId="27106"/>
    <cellStyle name="常规 3 3 11 3" xfId="27107"/>
    <cellStyle name="常规 3 3 12" xfId="7077"/>
    <cellStyle name="常规 3 3 12 2" xfId="1011"/>
    <cellStyle name="常规 3 3 12 3" xfId="27108"/>
    <cellStyle name="常规 3 3 13" xfId="7079"/>
    <cellStyle name="常规 3 3 13 2" xfId="7081"/>
    <cellStyle name="常规 3 3 13 3" xfId="27109"/>
    <cellStyle name="常规 3 3 14" xfId="6552"/>
    <cellStyle name="常规 3 3 14 2" xfId="27110"/>
    <cellStyle name="常规 3 3 14 3" xfId="27111"/>
    <cellStyle name="常规 3 3 15" xfId="27112"/>
    <cellStyle name="常规 3 3 15 2" xfId="27114"/>
    <cellStyle name="常规 3 3 15 3" xfId="27116"/>
    <cellStyle name="常规 3 3 16" xfId="22591"/>
    <cellStyle name="常规 3 3 16 2" xfId="27117"/>
    <cellStyle name="常规 3 3 17" xfId="27119"/>
    <cellStyle name="常规 3 3 17 2" xfId="27121"/>
    <cellStyle name="常规 3 3 18" xfId="27123"/>
    <cellStyle name="常规 3 3 18 2" xfId="27125"/>
    <cellStyle name="常规 3 3 19" xfId="27127"/>
    <cellStyle name="常规 3 3 19 2" xfId="27130"/>
    <cellStyle name="常规 3 3 2" xfId="474"/>
    <cellStyle name="常规 3 3 2 2" xfId="7224"/>
    <cellStyle name="常规 3 3 2 2 2" xfId="18321"/>
    <cellStyle name="常规 3 3 2 2 3" xfId="27132"/>
    <cellStyle name="常规 3 3 2 3" xfId="21643"/>
    <cellStyle name="常规 3 3 20" xfId="27113"/>
    <cellStyle name="常规 3 3 20 2" xfId="27115"/>
    <cellStyle name="常规 3 3 21" xfId="22592"/>
    <cellStyle name="常规 3 3 21 2" xfId="27118"/>
    <cellStyle name="常规 3 3 22" xfId="27120"/>
    <cellStyle name="常规 3 3 22 2" xfId="27122"/>
    <cellStyle name="常规 3 3 23" xfId="27124"/>
    <cellStyle name="常规 3 3 23 2" xfId="27126"/>
    <cellStyle name="常规 3 3 24" xfId="27128"/>
    <cellStyle name="常规 3 3 24 2" xfId="27131"/>
    <cellStyle name="常规 3 3 25" xfId="27133"/>
    <cellStyle name="常规 3 3 25 2" xfId="27136"/>
    <cellStyle name="常规 3 3 26" xfId="21245"/>
    <cellStyle name="常规 3 3 26 2" xfId="27138"/>
    <cellStyle name="常规 3 3 27" xfId="1996"/>
    <cellStyle name="常规 3 3 27 2" xfId="1999"/>
    <cellStyle name="常规 3 3 27 2 2" xfId="27140"/>
    <cellStyle name="常规 3 3 27 3" xfId="27141"/>
    <cellStyle name="常规 3 3 27 3 2" xfId="27142"/>
    <cellStyle name="常规 3 3 27 4" xfId="27143"/>
    <cellStyle name="常规 3 3 28" xfId="2002"/>
    <cellStyle name="常规 3 3 28 2" xfId="2006"/>
    <cellStyle name="常规 3 3 28 2 2" xfId="19036"/>
    <cellStyle name="常规 3 3 28 3" xfId="19041"/>
    <cellStyle name="常规 3 3 28 3 2" xfId="19042"/>
    <cellStyle name="常规 3 3 28 4" xfId="19044"/>
    <cellStyle name="常规 3 3 29" xfId="2010"/>
    <cellStyle name="常规 3 3 29 2" xfId="2014"/>
    <cellStyle name="常规 3 3 3" xfId="7157"/>
    <cellStyle name="常规 3 3 3 2" xfId="27144"/>
    <cellStyle name="常规 3 3 3 2 2" xfId="18333"/>
    <cellStyle name="常规 3 3 3 2 3" xfId="27146"/>
    <cellStyle name="常规 3 3 3 3" xfId="21647"/>
    <cellStyle name="常规 3 3 30" xfId="27134"/>
    <cellStyle name="常规 3 3 30 2" xfId="27137"/>
    <cellStyle name="常规 3 3 31" xfId="21246"/>
    <cellStyle name="常规 3 3 31 2" xfId="27139"/>
    <cellStyle name="常规 3 3 32" xfId="1997"/>
    <cellStyle name="常规 3 3 32 2" xfId="2000"/>
    <cellStyle name="常规 3 3 33" xfId="2003"/>
    <cellStyle name="常规 3 3 33 2" xfId="2007"/>
    <cellStyle name="常规 3 3 34" xfId="2011"/>
    <cellStyle name="常规 3 3 35" xfId="2016"/>
    <cellStyle name="常规 3 3 4" xfId="27147"/>
    <cellStyle name="常规 3 3 4 2" xfId="27148"/>
    <cellStyle name="常规 3 3 4 2 2" xfId="18417"/>
    <cellStyle name="常规 3 3 4 2 3" xfId="18274"/>
    <cellStyle name="常规 3 3 4 3" xfId="21654"/>
    <cellStyle name="常规 3 3 5" xfId="27149"/>
    <cellStyle name="常规 3 3 5 2" xfId="27150"/>
    <cellStyle name="常规 3 3 5 3" xfId="21664"/>
    <cellStyle name="常规 3 3 6" xfId="27151"/>
    <cellStyle name="常规 3 3 6 2" xfId="9452"/>
    <cellStyle name="常规 3 3 6 3" xfId="26583"/>
    <cellStyle name="常规 3 3 7" xfId="27153"/>
    <cellStyle name="常规 3 3 7 2" xfId="9461"/>
    <cellStyle name="常规 3 3 7 3" xfId="26595"/>
    <cellStyle name="常规 3 3 8" xfId="27154"/>
    <cellStyle name="常规 3 3 8 2" xfId="27155"/>
    <cellStyle name="常规 3 3 8 3" xfId="26605"/>
    <cellStyle name="常规 3 3 9" xfId="25916"/>
    <cellStyle name="常规 3 3 9 2" xfId="27156"/>
    <cellStyle name="常规 3 3 9 3" xfId="26613"/>
    <cellStyle name="常规 3 3_银湖城销售中心电气报价清单2011-6-16" xfId="27157"/>
    <cellStyle name="常规 3 30" xfId="27040"/>
    <cellStyle name="常规 3 30 2" xfId="27043"/>
    <cellStyle name="常规 3 30 2 2" xfId="19027"/>
    <cellStyle name="常规 3 30 3" xfId="27047"/>
    <cellStyle name="常规 3 30 3 2" xfId="27050"/>
    <cellStyle name="常规 3 30 4" xfId="27053"/>
    <cellStyle name="常规 3 31" xfId="27057"/>
    <cellStyle name="常规 3 31 2" xfId="27059"/>
    <cellStyle name="常规 3 31 2 2" xfId="27061"/>
    <cellStyle name="常规 3 31 3" xfId="27064"/>
    <cellStyle name="常规 3 31 3 2" xfId="27066"/>
    <cellStyle name="常规 3 31 4" xfId="27068"/>
    <cellStyle name="常规 3 32" xfId="27070"/>
    <cellStyle name="常规 3 32 2" xfId="27072"/>
    <cellStyle name="常规 3 32 2 2" xfId="27074"/>
    <cellStyle name="常规 3 32 3" xfId="27077"/>
    <cellStyle name="常规 3 32 3 2" xfId="27079"/>
    <cellStyle name="常规 3 32 4" xfId="22879"/>
    <cellStyle name="常规 3 33" xfId="27081"/>
    <cellStyle name="常规 3 33 2" xfId="27083"/>
    <cellStyle name="常规 3 33 2 2" xfId="27085"/>
    <cellStyle name="常规 3 33 3" xfId="27088"/>
    <cellStyle name="常规 3 33 3 2" xfId="27090"/>
    <cellStyle name="常规 3 33 4" xfId="22882"/>
    <cellStyle name="常规 3 34" xfId="27092"/>
    <cellStyle name="常规 3 34 2" xfId="27095"/>
    <cellStyle name="常规 3 34 2 2" xfId="10242"/>
    <cellStyle name="常规 3 34 3" xfId="27098"/>
    <cellStyle name="常规 3 34 3 2" xfId="27100"/>
    <cellStyle name="常规 3 34 4" xfId="22886"/>
    <cellStyle name="常规 3 35" xfId="27158"/>
    <cellStyle name="常规 3 35 2" xfId="27160"/>
    <cellStyle name="常规 3 35 2 2" xfId="27163"/>
    <cellStyle name="常规 3 35 3" xfId="27166"/>
    <cellStyle name="常规 3 35 3 2" xfId="27169"/>
    <cellStyle name="常规 3 35 4" xfId="22889"/>
    <cellStyle name="常规 3 36" xfId="11660"/>
    <cellStyle name="常规 3 36 2" xfId="7332"/>
    <cellStyle name="常规 3 36 2 2" xfId="27172"/>
    <cellStyle name="常规 3 36 3" xfId="27176"/>
    <cellStyle name="常规 3 36 3 2" xfId="27179"/>
    <cellStyle name="常规 3 36 4" xfId="18685"/>
    <cellStyle name="常规 3 37" xfId="11664"/>
    <cellStyle name="常规 3 37 2" xfId="7346"/>
    <cellStyle name="常规 3 37 2 2" xfId="12313"/>
    <cellStyle name="常规 3 37 3" xfId="12316"/>
    <cellStyle name="常规 3 37 3 2" xfId="12319"/>
    <cellStyle name="常规 3 37 4" xfId="9167"/>
    <cellStyle name="常规 3 38" xfId="11667"/>
    <cellStyle name="常规 3 38 2" xfId="11671"/>
    <cellStyle name="常规 3 38 2 2" xfId="12326"/>
    <cellStyle name="常规 3 38 3" xfId="12329"/>
    <cellStyle name="常规 3 38 3 2" xfId="27182"/>
    <cellStyle name="常规 3 38 4" xfId="9204"/>
    <cellStyle name="常规 3 39" xfId="11675"/>
    <cellStyle name="常规 3 39 2" xfId="15599"/>
    <cellStyle name="常规 3 39 2 2" xfId="15602"/>
    <cellStyle name="常规 3 39 3" xfId="15605"/>
    <cellStyle name="常规 3 39 3 2" xfId="15608"/>
    <cellStyle name="常规 3 39 4" xfId="9217"/>
    <cellStyle name="常规 3 4" xfId="19155"/>
    <cellStyle name="常规 3 4 10" xfId="6764"/>
    <cellStyle name="常规 3 4 11" xfId="27185"/>
    <cellStyle name="常规 3 4 12" xfId="27187"/>
    <cellStyle name="常规 3 4 13" xfId="19917"/>
    <cellStyle name="常规 3 4 14" xfId="27189"/>
    <cellStyle name="常规 3 4 15" xfId="27190"/>
    <cellStyle name="常规 3 4 16" xfId="27191"/>
    <cellStyle name="常规 3 4 2" xfId="27192"/>
    <cellStyle name="常规 3 4 2 2" xfId="27193"/>
    <cellStyle name="常规 3 4 2 2 2" xfId="27194"/>
    <cellStyle name="常规 3 4 2 3" xfId="27195"/>
    <cellStyle name="常规 3 4 2 4" xfId="27196"/>
    <cellStyle name="常规 3 4 3" xfId="27197"/>
    <cellStyle name="常规 3 4 3 2" xfId="27198"/>
    <cellStyle name="常规 3 4 3 2 2" xfId="14184"/>
    <cellStyle name="常规 3 4 3 3" xfId="20507"/>
    <cellStyle name="常规 3 4 3 4" xfId="27199"/>
    <cellStyle name="常规 3 4 4" xfId="27200"/>
    <cellStyle name="常规 3 4 4 2" xfId="27201"/>
    <cellStyle name="常规 3 4 4 3" xfId="27203"/>
    <cellStyle name="常规 3 4 5" xfId="27204"/>
    <cellStyle name="常规 3 4 5 2" xfId="27205"/>
    <cellStyle name="常规 3 4 5 3" xfId="20202"/>
    <cellStyle name="常规 3 4 6" xfId="5501"/>
    <cellStyle name="常规 3 4 7" xfId="27206"/>
    <cellStyle name="常规 3 4 8" xfId="27207"/>
    <cellStyle name="常规 3 4 9" xfId="25920"/>
    <cellStyle name="常规 3 40" xfId="27159"/>
    <cellStyle name="常规 3 40 2" xfId="27161"/>
    <cellStyle name="常规 3 40 2 2" xfId="27164"/>
    <cellStyle name="常规 3 40 3" xfId="27167"/>
    <cellStyle name="常规 3 40 3 2" xfId="27170"/>
    <cellStyle name="常规 3 40 4" xfId="22890"/>
    <cellStyle name="常规 3 41" xfId="11661"/>
    <cellStyle name="常规 3 41 2" xfId="7333"/>
    <cellStyle name="常规 3 41 2 2" xfId="27173"/>
    <cellStyle name="常规 3 41 3" xfId="27177"/>
    <cellStyle name="常规 3 41 3 2" xfId="27180"/>
    <cellStyle name="常规 3 41 4" xfId="18686"/>
    <cellStyle name="常规 3 42" xfId="11665"/>
    <cellStyle name="常规 3 42 2" xfId="7347"/>
    <cellStyle name="常规 3 42 2 2" xfId="12314"/>
    <cellStyle name="常规 3 42 3" xfId="12317"/>
    <cellStyle name="常规 3 42 3 2" xfId="12320"/>
    <cellStyle name="常规 3 42 4" xfId="9168"/>
    <cellStyle name="常规 3 43" xfId="11668"/>
    <cellStyle name="常规 3 43 2" xfId="11672"/>
    <cellStyle name="常规 3 43 2 2" xfId="12327"/>
    <cellStyle name="常规 3 43 3" xfId="12330"/>
    <cellStyle name="常规 3 43 3 2" xfId="27183"/>
    <cellStyle name="常规 3 43 4" xfId="9205"/>
    <cellStyle name="常规 3 44" xfId="11676"/>
    <cellStyle name="常规 3 44 2" xfId="15600"/>
    <cellStyle name="常规 3 44 2 2" xfId="15603"/>
    <cellStyle name="常规 3 44 3" xfId="15606"/>
    <cellStyle name="常规 3 44 3 2" xfId="15609"/>
    <cellStyle name="常规 3 44 4" xfId="9218"/>
    <cellStyle name="常规 3 45" xfId="20439"/>
    <cellStyle name="常规 3 5" xfId="22252"/>
    <cellStyle name="常规 3 5 10" xfId="27208"/>
    <cellStyle name="常规 3 5 11" xfId="5651"/>
    <cellStyle name="常规 3 5 12" xfId="27209"/>
    <cellStyle name="常规 3 5 13" xfId="27211"/>
    <cellStyle name="常规 3 5 14" xfId="27212"/>
    <cellStyle name="常规 3 5 15" xfId="27213"/>
    <cellStyle name="常规 3 5 16" xfId="27215"/>
    <cellStyle name="常规 3 5 2" xfId="22254"/>
    <cellStyle name="常规 3 5 2 2" xfId="22256"/>
    <cellStyle name="常规 3 5 2 3" xfId="22573"/>
    <cellStyle name="常规 3 5 3" xfId="22258"/>
    <cellStyle name="常规 3 5 3 2" xfId="22260"/>
    <cellStyle name="常规 3 5 3 3" xfId="22575"/>
    <cellStyle name="常规 3 5 4" xfId="22262"/>
    <cellStyle name="常规 3 5 4 2" xfId="22264"/>
    <cellStyle name="常规 3 5 4 3" xfId="27217"/>
    <cellStyle name="常规 3 5 5" xfId="21773"/>
    <cellStyle name="常规 3 5 5 2" xfId="21776"/>
    <cellStyle name="常规 3 5 5 3" xfId="27219"/>
    <cellStyle name="常规 3 5 6" xfId="2969"/>
    <cellStyle name="常规 3 5 7" xfId="21779"/>
    <cellStyle name="常规 3 5 8" xfId="21782"/>
    <cellStyle name="常规 3 5 9" xfId="21785"/>
    <cellStyle name="常规 3 6" xfId="11240"/>
    <cellStyle name="常规 3 6 10" xfId="21006"/>
    <cellStyle name="常规 3 6 11" xfId="27220"/>
    <cellStyle name="常规 3 6 12" xfId="27221"/>
    <cellStyle name="常规 3 6 13" xfId="4301"/>
    <cellStyle name="常规 3 6 14" xfId="27222"/>
    <cellStyle name="常规 3 6 15" xfId="27223"/>
    <cellStyle name="常规 3 6 16" xfId="27224"/>
    <cellStyle name="常规 3 6 2" xfId="27225"/>
    <cellStyle name="常规 3 6 2 2" xfId="20844"/>
    <cellStyle name="常规 3 6 2 3" xfId="27227"/>
    <cellStyle name="常规 3 6 3" xfId="27228"/>
    <cellStyle name="常规 3 6 3 2" xfId="27229"/>
    <cellStyle name="常规 3 6 3 3" xfId="27231"/>
    <cellStyle name="常规 3 6 4" xfId="27232"/>
    <cellStyle name="常规 3 6 4 2" xfId="16269"/>
    <cellStyle name="常规 3 6 4 3" xfId="16274"/>
    <cellStyle name="常规 3 6 5" xfId="27233"/>
    <cellStyle name="常规 3 6 5 2" xfId="16283"/>
    <cellStyle name="常规 3 6 5 3" xfId="27235"/>
    <cellStyle name="常规 3 6 6" xfId="27237"/>
    <cellStyle name="常规 3 6 7" xfId="27238"/>
    <cellStyle name="常规 3 6 8" xfId="27239"/>
    <cellStyle name="常规 3 6 9" xfId="27240"/>
    <cellStyle name="常规 3 7" xfId="27241"/>
    <cellStyle name="常规 3 7 10" xfId="11513"/>
    <cellStyle name="常规 3 7 11" xfId="27242"/>
    <cellStyle name="常规 3 7 12" xfId="8579"/>
    <cellStyle name="常规 3 7 13" xfId="8582"/>
    <cellStyle name="常规 3 7 14" xfId="8514"/>
    <cellStyle name="常规 3 7 15" xfId="8586"/>
    <cellStyle name="常规 3 7 16" xfId="8589"/>
    <cellStyle name="常规 3 7 2" xfId="27243"/>
    <cellStyle name="常规 3 7 2 2" xfId="27244"/>
    <cellStyle name="常规 3 7 2 3" xfId="26907"/>
    <cellStyle name="常规 3 7 3" xfId="27245"/>
    <cellStyle name="常规 3 7 3 2" xfId="27246"/>
    <cellStyle name="常规 3 7 3 3" xfId="26916"/>
    <cellStyle name="常规 3 7 4" xfId="27247"/>
    <cellStyle name="常规 3 7 4 2" xfId="11942"/>
    <cellStyle name="常规 3 7 4 3" xfId="11981"/>
    <cellStyle name="常规 3 7 5" xfId="27248"/>
    <cellStyle name="常规 3 7 5 2" xfId="27249"/>
    <cellStyle name="常规 3 7 5 3" xfId="26924"/>
    <cellStyle name="常规 3 7 6" xfId="27253"/>
    <cellStyle name="常规 3 7 7" xfId="27254"/>
    <cellStyle name="常规 3 7 8" xfId="27255"/>
    <cellStyle name="常规 3 7 9" xfId="27256"/>
    <cellStyle name="常规 3 8" xfId="27257"/>
    <cellStyle name="常规 3 8 10" xfId="24788"/>
    <cellStyle name="常规 3 8 11" xfId="27258"/>
    <cellStyle name="常规 3 8 12" xfId="2442"/>
    <cellStyle name="常规 3 8 13" xfId="2459"/>
    <cellStyle name="常规 3 8 14" xfId="2467"/>
    <cellStyle name="常规 3 8 15" xfId="27259"/>
    <cellStyle name="常规 3 8 16" xfId="27260"/>
    <cellStyle name="常规 3 8 2" xfId="27261"/>
    <cellStyle name="常规 3 8 2 2" xfId="22763"/>
    <cellStyle name="常规 3 8 2 3" xfId="22765"/>
    <cellStyle name="常规 3 8 3" xfId="27263"/>
    <cellStyle name="常规 3 8 3 2" xfId="27264"/>
    <cellStyle name="常规 3 8 3 3" xfId="27265"/>
    <cellStyle name="常规 3 8 4" xfId="27266"/>
    <cellStyle name="常规 3 8 4 2" xfId="27267"/>
    <cellStyle name="常规 3 8 4 3" xfId="27268"/>
    <cellStyle name="常规 3 8 5" xfId="27269"/>
    <cellStyle name="常规 3 8 6" xfId="27271"/>
    <cellStyle name="常规 3 8 7" xfId="27272"/>
    <cellStyle name="常规 3 8 8" xfId="27273"/>
    <cellStyle name="常规 3 8 9" xfId="27274"/>
    <cellStyle name="常规 3 9" xfId="27276"/>
    <cellStyle name="常规 3 9 10" xfId="27277"/>
    <cellStyle name="常规 3 9 11" xfId="27278"/>
    <cellStyle name="常规 3 9 12" xfId="21068"/>
    <cellStyle name="常规 3 9 13" xfId="21889"/>
    <cellStyle name="常规 3 9 14" xfId="21892"/>
    <cellStyle name="常规 3 9 15" xfId="21895"/>
    <cellStyle name="常规 3 9 16" xfId="21898"/>
    <cellStyle name="常规 3 9 16 2" xfId="21900"/>
    <cellStyle name="常规 3 9 2" xfId="27279"/>
    <cellStyle name="常规 3 9 3" xfId="27280"/>
    <cellStyle name="常规 3 9 4" xfId="27281"/>
    <cellStyle name="常规 3 9 5" xfId="27282"/>
    <cellStyle name="常规 3 9 6" xfId="27284"/>
    <cellStyle name="常规 3 9 7" xfId="24305"/>
    <cellStyle name="常规 3 9 8" xfId="27285"/>
    <cellStyle name="常规 3 9 9" xfId="27287"/>
    <cellStyle name="常规 3_(集团）钦州恒大绿洲综合楼装饰工程清单（合同单价）" xfId="27288"/>
    <cellStyle name="常规 30" xfId="26868"/>
    <cellStyle name="常规 30 2" xfId="26870"/>
    <cellStyle name="常规 30 3" xfId="26873"/>
    <cellStyle name="常规 30 4" xfId="1808"/>
    <cellStyle name="常规 31" xfId="26875"/>
    <cellStyle name="常规 31 2" xfId="26877"/>
    <cellStyle name="常规 31 3" xfId="27289"/>
    <cellStyle name="常规 31 4" xfId="2570"/>
    <cellStyle name="常规 32" xfId="129"/>
    <cellStyle name="常规 33" xfId="26881"/>
    <cellStyle name="常规 33 2" xfId="26883"/>
    <cellStyle name="常规 33 3" xfId="27290"/>
    <cellStyle name="常规 33 4" xfId="9854"/>
    <cellStyle name="常规 34" xfId="26887"/>
    <cellStyle name="常规 34 2" xfId="26889"/>
    <cellStyle name="常规 35" xfId="27293"/>
    <cellStyle name="常规 35 2" xfId="27295"/>
    <cellStyle name="常规 35 3" xfId="16669"/>
    <cellStyle name="常规 35 4" xfId="27297"/>
    <cellStyle name="常规 36" xfId="27300"/>
    <cellStyle name="常规 36 2" xfId="27302"/>
    <cellStyle name="常规 37" xfId="27305"/>
    <cellStyle name="常规 37 2" xfId="27307"/>
    <cellStyle name="常规 38" xfId="27310"/>
    <cellStyle name="常规 38 2" xfId="27312"/>
    <cellStyle name="常规 38 3" xfId="27316"/>
    <cellStyle name="常规 38 4" xfId="27320"/>
    <cellStyle name="常规 39" xfId="27326"/>
    <cellStyle name="常规 39 2" xfId="11774"/>
    <cellStyle name="常规 4" xfId="27328"/>
    <cellStyle name="常规 4 10" xfId="185"/>
    <cellStyle name="常规 4 10 10" xfId="22707"/>
    <cellStyle name="常规 4 10 11" xfId="14699"/>
    <cellStyle name="常规 4 10 12" xfId="14774"/>
    <cellStyle name="常规 4 10 13" xfId="27329"/>
    <cellStyle name="常规 4 10 14" xfId="27330"/>
    <cellStyle name="常规 4 10 15" xfId="14505"/>
    <cellStyle name="常规 4 10 16" xfId="27331"/>
    <cellStyle name="常规 4 10 2" xfId="27332"/>
    <cellStyle name="常规 4 10 3" xfId="6755"/>
    <cellStyle name="常规 4 10 4" xfId="6758"/>
    <cellStyle name="常规 4 10 5" xfId="6761"/>
    <cellStyle name="常规 4 10 6" xfId="6766"/>
    <cellStyle name="常规 4 10 7" xfId="27333"/>
    <cellStyle name="常规 4 10 8" xfId="16898"/>
    <cellStyle name="常规 4 10 9" xfId="16901"/>
    <cellStyle name="常规 4 11" xfId="83"/>
    <cellStyle name="常规 4 11 10" xfId="27334"/>
    <cellStyle name="常规 4 11 11" xfId="11069"/>
    <cellStyle name="常规 4 11 12" xfId="27335"/>
    <cellStyle name="常规 4 11 13" xfId="13282"/>
    <cellStyle name="常规 4 11 14" xfId="27338"/>
    <cellStyle name="常规 4 11 15" xfId="27339"/>
    <cellStyle name="常规 4 11 16" xfId="5816"/>
    <cellStyle name="常规 4 11 2" xfId="24791"/>
    <cellStyle name="常规 4 11 3" xfId="2600"/>
    <cellStyle name="常规 4 11 4" xfId="6770"/>
    <cellStyle name="常规 4 11 5" xfId="6774"/>
    <cellStyle name="常规 4 11 6" xfId="27340"/>
    <cellStyle name="常规 4 11 7" xfId="27341"/>
    <cellStyle name="常规 4 11 8" xfId="16909"/>
    <cellStyle name="常规 4 11 9" xfId="16911"/>
    <cellStyle name="常规 4 12" xfId="27342"/>
    <cellStyle name="常规 4 12 10" xfId="27343"/>
    <cellStyle name="常规 4 12 11" xfId="13036"/>
    <cellStyle name="常规 4 12 12" xfId="13069"/>
    <cellStyle name="常规 4 12 13" xfId="13095"/>
    <cellStyle name="常规 4 12 14" xfId="13100"/>
    <cellStyle name="常规 4 12 15" xfId="27345"/>
    <cellStyle name="常规 4 12 16" xfId="27346"/>
    <cellStyle name="常规 4 12 2" xfId="27348"/>
    <cellStyle name="常规 4 12 3" xfId="6780"/>
    <cellStyle name="常规 4 12 4" xfId="12089"/>
    <cellStyle name="常规 4 12 5" xfId="12094"/>
    <cellStyle name="常规 4 12 6" xfId="12099"/>
    <cellStyle name="常规 4 12 7" xfId="27349"/>
    <cellStyle name="常规 4 12 8" xfId="16916"/>
    <cellStyle name="常规 4 12 9" xfId="16919"/>
    <cellStyle name="常规 4 13" xfId="27351"/>
    <cellStyle name="常规 4 13 2" xfId="27353"/>
    <cellStyle name="常规 4 14" xfId="13987"/>
    <cellStyle name="常规 4 14 2" xfId="24715"/>
    <cellStyle name="常规 4 15" xfId="27355"/>
    <cellStyle name="常规 4 15 2" xfId="24724"/>
    <cellStyle name="常规 4 16" xfId="27358"/>
    <cellStyle name="常规 4 16 2" xfId="24891"/>
    <cellStyle name="常规 4 17" xfId="27360"/>
    <cellStyle name="常规 4 17 2" xfId="24807"/>
    <cellStyle name="常规 4 18" xfId="27362"/>
    <cellStyle name="常规 4 18 2" xfId="24819"/>
    <cellStyle name="常规 4 19" xfId="27364"/>
    <cellStyle name="常规 4 19 2" xfId="24836"/>
    <cellStyle name="常规 4 2" xfId="27366"/>
    <cellStyle name="常规 4 2 10" xfId="660"/>
    <cellStyle name="常规 4 2 10 10" xfId="17165"/>
    <cellStyle name="常规 4 2 10 11" xfId="2097"/>
    <cellStyle name="常规 4 2 10 12" xfId="17173"/>
    <cellStyle name="常规 4 2 10 13" xfId="17175"/>
    <cellStyle name="常规 4 2 10 14" xfId="17178"/>
    <cellStyle name="常规 4 2 10 15" xfId="27367"/>
    <cellStyle name="常规 4 2 10 16" xfId="27368"/>
    <cellStyle name="常规 4 2 10 17" xfId="27369"/>
    <cellStyle name="常规 4 2 10 2" xfId="1480"/>
    <cellStyle name="常规 4 2 10 2 2" xfId="22905"/>
    <cellStyle name="常规 4 2 10 2 3" xfId="27370"/>
    <cellStyle name="常规 4 2 10 3" xfId="27371"/>
    <cellStyle name="常规 4 2 10 3 2" xfId="14546"/>
    <cellStyle name="常规 4 2 10 3 3" xfId="14754"/>
    <cellStyle name="常规 4 2 10 4" xfId="27372"/>
    <cellStyle name="常规 4 2 10 4 2" xfId="27373"/>
    <cellStyle name="常规 4 2 10 4 3" xfId="27374"/>
    <cellStyle name="常规 4 2 10 5" xfId="27375"/>
    <cellStyle name="常规 4 2 10 6" xfId="27376"/>
    <cellStyle name="常规 4 2 10 7" xfId="27378"/>
    <cellStyle name="常规 4 2 10 8" xfId="27381"/>
    <cellStyle name="常规 4 2 10 9" xfId="27382"/>
    <cellStyle name="常规 4 2 11" xfId="1490"/>
    <cellStyle name="常规 4 2 11 10" xfId="15143"/>
    <cellStyle name="常规 4 2 11 11" xfId="15146"/>
    <cellStyle name="常规 4 2 11 12" xfId="15150"/>
    <cellStyle name="常规 4 2 11 13" xfId="15157"/>
    <cellStyle name="常规 4 2 11 14" xfId="17293"/>
    <cellStyle name="常规 4 2 11 15" xfId="27384"/>
    <cellStyle name="常规 4 2 11 16" xfId="27386"/>
    <cellStyle name="常规 4 2 11 17" xfId="27387"/>
    <cellStyle name="常规 4 2 11 2" xfId="3200"/>
    <cellStyle name="常规 4 2 11 2 2" xfId="27389"/>
    <cellStyle name="常规 4 2 11 2 3" xfId="12131"/>
    <cellStyle name="常规 4 2 11 3" xfId="27390"/>
    <cellStyle name="常规 4 2 11 3 2" xfId="27391"/>
    <cellStyle name="常规 4 2 11 3 3" xfId="12134"/>
    <cellStyle name="常规 4 2 11 4" xfId="27392"/>
    <cellStyle name="常规 4 2 11 4 2" xfId="27393"/>
    <cellStyle name="常规 4 2 11 4 3" xfId="12137"/>
    <cellStyle name="常规 4 2 11 5" xfId="27394"/>
    <cellStyle name="常规 4 2 11 6" xfId="27395"/>
    <cellStyle name="常规 4 2 11 7" xfId="20456"/>
    <cellStyle name="常规 4 2 11 8" xfId="20460"/>
    <cellStyle name="常规 4 2 11 9" xfId="20463"/>
    <cellStyle name="常规 4 2 12" xfId="5692"/>
    <cellStyle name="常规 4 2 12 2" xfId="5694"/>
    <cellStyle name="常规 4 2 12 3" xfId="27396"/>
    <cellStyle name="常规 4 2 13" xfId="5696"/>
    <cellStyle name="常规 4 2 13 2" xfId="27397"/>
    <cellStyle name="常规 4 2 13 2 2" xfId="27398"/>
    <cellStyle name="常规 4 2 13 3" xfId="23127"/>
    <cellStyle name="常规 4 2 13 4" xfId="27399"/>
    <cellStyle name="常规 4 2 14" xfId="27400"/>
    <cellStyle name="常规 4 2 14 2" xfId="27401"/>
    <cellStyle name="常规 4 2 14 3" xfId="27402"/>
    <cellStyle name="常规 4 2 15" xfId="27403"/>
    <cellStyle name="常规 4 2 15 2" xfId="27405"/>
    <cellStyle name="常规 4 2 15 3" xfId="27407"/>
    <cellStyle name="常规 4 2 16" xfId="27409"/>
    <cellStyle name="常规 4 2 16 2" xfId="27412"/>
    <cellStyle name="常规 4 2 16 3" xfId="27415"/>
    <cellStyle name="常规 4 2 17" xfId="27417"/>
    <cellStyle name="常规 4 2 17 2" xfId="23689"/>
    <cellStyle name="常规 4 2 17 3" xfId="23693"/>
    <cellStyle name="常规 4 2 18" xfId="15787"/>
    <cellStyle name="常规 4 2 18 2" xfId="15791"/>
    <cellStyle name="常规 4 2 18 3" xfId="15795"/>
    <cellStyle name="常规 4 2 19" xfId="15802"/>
    <cellStyle name="常规 4 2 19 2" xfId="15805"/>
    <cellStyle name="常规 4 2 19 3" xfId="15813"/>
    <cellStyle name="常规 4 2 2" xfId="27419"/>
    <cellStyle name="常规 4 2 2 10" xfId="27420"/>
    <cellStyle name="常规 4 2 2 10 2" xfId="25965"/>
    <cellStyle name="常规 4 2 2 10 3" xfId="6273"/>
    <cellStyle name="常规 4 2 2 11" xfId="27421"/>
    <cellStyle name="常规 4 2 2 11 2" xfId="27423"/>
    <cellStyle name="常规 4 2 2 11 3" xfId="6282"/>
    <cellStyle name="常规 4 2 2 12" xfId="27424"/>
    <cellStyle name="常规 4 2 2 12 2" xfId="27425"/>
    <cellStyle name="常规 4 2 2 12 3" xfId="27430"/>
    <cellStyle name="常规 4 2 2 13" xfId="27435"/>
    <cellStyle name="常规 4 2 2 13 2" xfId="27436"/>
    <cellStyle name="常规 4 2 2 13 3" xfId="27442"/>
    <cellStyle name="常规 4 2 2 14" xfId="27443"/>
    <cellStyle name="常规 4 2 2 14 2" xfId="27444"/>
    <cellStyle name="常规 4 2 2 14 3" xfId="27445"/>
    <cellStyle name="常规 4 2 2 15" xfId="27446"/>
    <cellStyle name="常规 4 2 2 15 2" xfId="27448"/>
    <cellStyle name="常规 4 2 2 15 3" xfId="27450"/>
    <cellStyle name="常规 4 2 2 16" xfId="27452"/>
    <cellStyle name="常规 4 2 2 16 2" xfId="27454"/>
    <cellStyle name="常规 4 2 2 16 3" xfId="27456"/>
    <cellStyle name="常规 4 2 2 17" xfId="27457"/>
    <cellStyle name="常规 4 2 2 17 2" xfId="27459"/>
    <cellStyle name="常规 4 2 2 17 3" xfId="27461"/>
    <cellStyle name="常规 4 2 2 18" xfId="15358"/>
    <cellStyle name="常规 4 2 2 18 2" xfId="27462"/>
    <cellStyle name="常规 4 2 2 19" xfId="23805"/>
    <cellStyle name="常规 4 2 2 19 2" xfId="27464"/>
    <cellStyle name="常规 4 2 2 2" xfId="26103"/>
    <cellStyle name="常规 4 2 2 2 2" xfId="26106"/>
    <cellStyle name="常规 4 2 2 2 3" xfId="24833"/>
    <cellStyle name="常规 4 2 2 20" xfId="27447"/>
    <cellStyle name="常规 4 2 2 20 2" xfId="27449"/>
    <cellStyle name="常规 4 2 2 21" xfId="27453"/>
    <cellStyle name="常规 4 2 2 21 2" xfId="27455"/>
    <cellStyle name="常规 4 2 2 22" xfId="27458"/>
    <cellStyle name="常规 4 2 2 22 2" xfId="27460"/>
    <cellStyle name="常规 4 2 2 23" xfId="15359"/>
    <cellStyle name="常规 4 2 2 23 2" xfId="27463"/>
    <cellStyle name="常规 4 2 2 24" xfId="23806"/>
    <cellStyle name="常规 4 2 2 24 2" xfId="27465"/>
    <cellStyle name="常规 4 2 2 25" xfId="16173"/>
    <cellStyle name="常规 4 2 2 25 2" xfId="27466"/>
    <cellStyle name="常规 4 2 2 26" xfId="27468"/>
    <cellStyle name="常规 4 2 2 26 2" xfId="27470"/>
    <cellStyle name="常规 4 2 2 27" xfId="27472"/>
    <cellStyle name="常规 4 2 2 27 2" xfId="27474"/>
    <cellStyle name="常规 4 2 2 28" xfId="27476"/>
    <cellStyle name="常规 4 2 2 28 2" xfId="27478"/>
    <cellStyle name="常规 4 2 2 28 2 2" xfId="27480"/>
    <cellStyle name="常规 4 2 2 28 3" xfId="27481"/>
    <cellStyle name="常规 4 2 2 28 3 2" xfId="8444"/>
    <cellStyle name="常规 4 2 2 28 4" xfId="27483"/>
    <cellStyle name="常规 4 2 2 29" xfId="27484"/>
    <cellStyle name="常规 4 2 2 29 2" xfId="27486"/>
    <cellStyle name="常规 4 2 2 29 2 2" xfId="27488"/>
    <cellStyle name="常规 4 2 2 29 3" xfId="27490"/>
    <cellStyle name="常规 4 2 2 29 3 2" xfId="27491"/>
    <cellStyle name="常规 4 2 2 29 4" xfId="25685"/>
    <cellStyle name="常规 4 2 2 3" xfId="24639"/>
    <cellStyle name="常规 4 2 2 3 2" xfId="27492"/>
    <cellStyle name="常规 4 2 2 3 3" xfId="27493"/>
    <cellStyle name="常规 4 2 2 30" xfId="16174"/>
    <cellStyle name="常规 4 2 2 30 2" xfId="27467"/>
    <cellStyle name="常规 4 2 2 31" xfId="27469"/>
    <cellStyle name="常规 4 2 2 31 2" xfId="27471"/>
    <cellStyle name="常规 4 2 2 32" xfId="27473"/>
    <cellStyle name="常规 4 2 2 32 2" xfId="27475"/>
    <cellStyle name="常规 4 2 2 33" xfId="27477"/>
    <cellStyle name="常规 4 2 2 33 2" xfId="27479"/>
    <cellStyle name="常规 4 2 2 34" xfId="27485"/>
    <cellStyle name="常规 4 2 2 34 2" xfId="27487"/>
    <cellStyle name="常规 4 2 2 35" xfId="27494"/>
    <cellStyle name="常规 4 2 2 36" xfId="27496"/>
    <cellStyle name="常规 4 2 2 4" xfId="24645"/>
    <cellStyle name="常规 4 2 2 4 2" xfId="27497"/>
    <cellStyle name="常规 4 2 2 4 3" xfId="20169"/>
    <cellStyle name="常规 4 2 2 5" xfId="27498"/>
    <cellStyle name="常规 4 2 2 5 2" xfId="27499"/>
    <cellStyle name="常规 4 2 2 5 3" xfId="20172"/>
    <cellStyle name="常规 4 2 2 6" xfId="27500"/>
    <cellStyle name="常规 4 2 2 6 2" xfId="27501"/>
    <cellStyle name="常规 4 2 2 6 3" xfId="20175"/>
    <cellStyle name="常规 4 2 2 7" xfId="27502"/>
    <cellStyle name="常规 4 2 2 7 2" xfId="25157"/>
    <cellStyle name="常规 4 2 2 7 3" xfId="20179"/>
    <cellStyle name="常规 4 2 2 8" xfId="27503"/>
    <cellStyle name="常规 4 2 2 8 2" xfId="27504"/>
    <cellStyle name="常规 4 2 2 8 3" xfId="27505"/>
    <cellStyle name="常规 4 2 2 9" xfId="27506"/>
    <cellStyle name="常规 4 2 2 9 2" xfId="27507"/>
    <cellStyle name="常规 4 2 2 9 3" xfId="27508"/>
    <cellStyle name="常规 4 2 20" xfId="27404"/>
    <cellStyle name="常规 4 2 20 2" xfId="27406"/>
    <cellStyle name="常规 4 2 20 2 2" xfId="27509"/>
    <cellStyle name="常规 4 2 20 3" xfId="27408"/>
    <cellStyle name="常规 4 2 20 3 2" xfId="22603"/>
    <cellStyle name="常规 4 2 20 4" xfId="27510"/>
    <cellStyle name="常规 4 2 20 4 2" xfId="27511"/>
    <cellStyle name="常规 4 2 20 5" xfId="27512"/>
    <cellStyle name="常规 4 2 20 6" xfId="27513"/>
    <cellStyle name="常规 4 2 21" xfId="27410"/>
    <cellStyle name="常规 4 2 21 2" xfId="27413"/>
    <cellStyle name="常规 4 2 21 2 2" xfId="12567"/>
    <cellStyle name="常规 4 2 21 3" xfId="27416"/>
    <cellStyle name="常规 4 2 21 3 2" xfId="12640"/>
    <cellStyle name="常规 4 2 21 4" xfId="27514"/>
    <cellStyle name="常规 4 2 21 4 2" xfId="6094"/>
    <cellStyle name="常规 4 2 21 5" xfId="27515"/>
    <cellStyle name="常规 4 2 21 6" xfId="27516"/>
    <cellStyle name="常规 4 2 22" xfId="27418"/>
    <cellStyle name="常规 4 2 22 2" xfId="23690"/>
    <cellStyle name="常规 4 2 22 2 2" xfId="12796"/>
    <cellStyle name="常规 4 2 22 3" xfId="23694"/>
    <cellStyle name="常规 4 2 22 3 2" xfId="12822"/>
    <cellStyle name="常规 4 2 22 4" xfId="23696"/>
    <cellStyle name="常规 4 2 22 4 2" xfId="12834"/>
    <cellStyle name="常规 4 2 22 5" xfId="23698"/>
    <cellStyle name="常规 4 2 22 6" xfId="23700"/>
    <cellStyle name="常规 4 2 23" xfId="15788"/>
    <cellStyle name="常规 4 2 23 2" xfId="15792"/>
    <cellStyle name="常规 4 2 23 3" xfId="15796"/>
    <cellStyle name="常规 4 2 24" xfId="15803"/>
    <cellStyle name="常规 4 2 24 2" xfId="15806"/>
    <cellStyle name="常规 4 2 24 2 2" xfId="12977"/>
    <cellStyle name="常规 4 2 24 3" xfId="15814"/>
    <cellStyle name="常规 4 2 24 3 2" xfId="13002"/>
    <cellStyle name="常规 4 2 24 4" xfId="15816"/>
    <cellStyle name="常规 4 2 24 5" xfId="15818"/>
    <cellStyle name="常规 4 2 25" xfId="15821"/>
    <cellStyle name="常规 4 2 25 2" xfId="15826"/>
    <cellStyle name="常规 4 2 25 2 2" xfId="13054"/>
    <cellStyle name="常规 4 2 25 3" xfId="15836"/>
    <cellStyle name="常规 4 2 25 3 2" xfId="13089"/>
    <cellStyle name="常规 4 2 25 4" xfId="15841"/>
    <cellStyle name="常规 4 2 25 5" xfId="15845"/>
    <cellStyle name="常规 4 2 26" xfId="15848"/>
    <cellStyle name="常规 4 2 26 2" xfId="15853"/>
    <cellStyle name="常规 4 2 26 2 2" xfId="13116"/>
    <cellStyle name="常规 4 2 26 3" xfId="15858"/>
    <cellStyle name="常规 4 2 26 3 2" xfId="13139"/>
    <cellStyle name="常规 4 2 26 4" xfId="15862"/>
    <cellStyle name="常规 4 2 27" xfId="15867"/>
    <cellStyle name="常规 4 2 27 2" xfId="15871"/>
    <cellStyle name="常规 4 2 27 2 2" xfId="15875"/>
    <cellStyle name="常规 4 2 27 3" xfId="15878"/>
    <cellStyle name="常规 4 2 27 3 2" xfId="15882"/>
    <cellStyle name="常规 4 2 27 4" xfId="15885"/>
    <cellStyle name="常规 4 2 28" xfId="15890"/>
    <cellStyle name="常规 4 2 28 2" xfId="15893"/>
    <cellStyle name="常规 4 2 28 2 2" xfId="365"/>
    <cellStyle name="常规 4 2 28 3" xfId="27517"/>
    <cellStyle name="常规 4 2 28 3 2" xfId="387"/>
    <cellStyle name="常规 4 2 28 4" xfId="27519"/>
    <cellStyle name="常规 4 2 29" xfId="7521"/>
    <cellStyle name="常规 4 2 29 2" xfId="27521"/>
    <cellStyle name="常规 4 2 29 2 2" xfId="27523"/>
    <cellStyle name="常规 4 2 29 3" xfId="27525"/>
    <cellStyle name="常规 4 2 29 3 2" xfId="27528"/>
    <cellStyle name="常规 4 2 29 4" xfId="27530"/>
    <cellStyle name="常规 4 2 3" xfId="27532"/>
    <cellStyle name="常规 4 2 3 10" xfId="14818"/>
    <cellStyle name="常规 4 2 3 11" xfId="14821"/>
    <cellStyle name="常规 4 2 3 12" xfId="27533"/>
    <cellStyle name="常规 4 2 3 13" xfId="27534"/>
    <cellStyle name="常规 4 2 3 14" xfId="27535"/>
    <cellStyle name="常规 4 2 3 15" xfId="5841"/>
    <cellStyle name="常规 4 2 3 16" xfId="27536"/>
    <cellStyle name="常规 4 2 3 2" xfId="26110"/>
    <cellStyle name="常规 4 2 3 2 2" xfId="17300"/>
    <cellStyle name="常规 4 2 3 2 3" xfId="17304"/>
    <cellStyle name="常规 4 2 3 3" xfId="3013"/>
    <cellStyle name="常规 4 2 3 3 2" xfId="3019"/>
    <cellStyle name="常规 4 2 3 3 3" xfId="17312"/>
    <cellStyle name="常规 4 2 3 4" xfId="3026"/>
    <cellStyle name="常规 4 2 3 4 2" xfId="3032"/>
    <cellStyle name="常规 4 2 3 4 3" xfId="17317"/>
    <cellStyle name="常规 4 2 3 5" xfId="3036"/>
    <cellStyle name="常规 4 2 3 6" xfId="3041"/>
    <cellStyle name="常规 4 2 3 7" xfId="15212"/>
    <cellStyle name="常规 4 2 3 8" xfId="15214"/>
    <cellStyle name="常规 4 2 3 9" xfId="15218"/>
    <cellStyle name="常规 4 2 30" xfId="15822"/>
    <cellStyle name="常规 4 2 30 2" xfId="15827"/>
    <cellStyle name="常规 4 2 30 2 2" xfId="13055"/>
    <cellStyle name="常规 4 2 30 3" xfId="15837"/>
    <cellStyle name="常规 4 2 30 3 2" xfId="13090"/>
    <cellStyle name="常规 4 2 30 4" xfId="15842"/>
    <cellStyle name="常规 4 2 31" xfId="15849"/>
    <cellStyle name="常规 4 2 31 2" xfId="15854"/>
    <cellStyle name="常规 4 2 31 2 2" xfId="13117"/>
    <cellStyle name="常规 4 2 31 3" xfId="15859"/>
    <cellStyle name="常规 4 2 31 3 2" xfId="13140"/>
    <cellStyle name="常规 4 2 31 4" xfId="15863"/>
    <cellStyle name="常规 4 2 32" xfId="15868"/>
    <cellStyle name="常规 4 2 32 2" xfId="15872"/>
    <cellStyle name="常规 4 2 32 2 2" xfId="15876"/>
    <cellStyle name="常规 4 2 32 3" xfId="15879"/>
    <cellStyle name="常规 4 2 32 3 2" xfId="15883"/>
    <cellStyle name="常规 4 2 32 4" xfId="15886"/>
    <cellStyle name="常规 4 2 33" xfId="15891"/>
    <cellStyle name="常规 4 2 33 2" xfId="15894"/>
    <cellStyle name="常规 4 2 33 2 2" xfId="366"/>
    <cellStyle name="常规 4 2 33 3" xfId="27518"/>
    <cellStyle name="常规 4 2 33 3 2" xfId="388"/>
    <cellStyle name="常规 4 2 33 4" xfId="27520"/>
    <cellStyle name="常规 4 2 34" xfId="7522"/>
    <cellStyle name="常规 4 2 34 2" xfId="27522"/>
    <cellStyle name="常规 4 2 34 2 2" xfId="27524"/>
    <cellStyle name="常规 4 2 34 3" xfId="27526"/>
    <cellStyle name="常规 4 2 34 3 2" xfId="27529"/>
    <cellStyle name="常规 4 2 34 4" xfId="27531"/>
    <cellStyle name="常规 4 2 35" xfId="15896"/>
    <cellStyle name="常规 4 2 35 2" xfId="27537"/>
    <cellStyle name="常规 4 2 35 2 2" xfId="27539"/>
    <cellStyle name="常规 4 2 35 3" xfId="27541"/>
    <cellStyle name="常规 4 2 35 3 2" xfId="21745"/>
    <cellStyle name="常规 4 2 35 4" xfId="20707"/>
    <cellStyle name="常规 4 2 36" xfId="23670"/>
    <cellStyle name="常规 4 2 36 2" xfId="27543"/>
    <cellStyle name="常规 4 2 36 2 2" xfId="27545"/>
    <cellStyle name="常规 4 2 36 3" xfId="27547"/>
    <cellStyle name="常规 4 2 36 3 2" xfId="27549"/>
    <cellStyle name="常规 4 2 36 4" xfId="27551"/>
    <cellStyle name="常规 4 2 37" xfId="27553"/>
    <cellStyle name="常规 4 2 37 2" xfId="27555"/>
    <cellStyle name="常规 4 2 37 2 2" xfId="27557"/>
    <cellStyle name="常规 4 2 37 3" xfId="27561"/>
    <cellStyle name="常规 4 2 37 3 2" xfId="27563"/>
    <cellStyle name="常规 4 2 37 4" xfId="27565"/>
    <cellStyle name="常规 4 2 38" xfId="27567"/>
    <cellStyle name="常规 4 2 38 2" xfId="4378"/>
    <cellStyle name="常规 4 2 38 2 2" xfId="4383"/>
    <cellStyle name="常规 4 2 38 3" xfId="4416"/>
    <cellStyle name="常规 4 2 38 3 2" xfId="4421"/>
    <cellStyle name="常规 4 2 38 4" xfId="27569"/>
    <cellStyle name="常规 4 2 39" xfId="3218"/>
    <cellStyle name="常规 4 2 39 2" xfId="27571"/>
    <cellStyle name="常规 4 2 39 2 2" xfId="27572"/>
    <cellStyle name="常规 4 2 39 3" xfId="2490"/>
    <cellStyle name="常规 4 2 39 3 2" xfId="27573"/>
    <cellStyle name="常规 4 2 39 4" xfId="27574"/>
    <cellStyle name="常规 4 2 4" xfId="27575"/>
    <cellStyle name="常规 4 2 4 10" xfId="27576"/>
    <cellStyle name="常规 4 2 4 11" xfId="13297"/>
    <cellStyle name="常规 4 2 4 12" xfId="13300"/>
    <cellStyle name="常规 4 2 4 13" xfId="13303"/>
    <cellStyle name="常规 4 2 4 14" xfId="13307"/>
    <cellStyle name="常规 4 2 4 15" xfId="27577"/>
    <cellStyle name="常规 4 2 4 16" xfId="27578"/>
    <cellStyle name="常规 4 2 4 2" xfId="26113"/>
    <cellStyle name="常规 4 2 4 2 2" xfId="17325"/>
    <cellStyle name="常规 4 2 4 2 3" xfId="17328"/>
    <cellStyle name="常规 4 2 4 3" xfId="3056"/>
    <cellStyle name="常规 4 2 4 3 2" xfId="3060"/>
    <cellStyle name="常规 4 2 4 3 3" xfId="17336"/>
    <cellStyle name="常规 4 2 4 4" xfId="3066"/>
    <cellStyle name="常规 4 2 4 4 2" xfId="3070"/>
    <cellStyle name="常规 4 2 4 4 3" xfId="17342"/>
    <cellStyle name="常规 4 2 4 5" xfId="3075"/>
    <cellStyle name="常规 4 2 4 6" xfId="10956"/>
    <cellStyle name="常规 4 2 4 7" xfId="15225"/>
    <cellStyle name="常规 4 2 4 8" xfId="15230"/>
    <cellStyle name="常规 4 2 4 9" xfId="15233"/>
    <cellStyle name="常规 4 2 40" xfId="15897"/>
    <cellStyle name="常规 4 2 40 2" xfId="27538"/>
    <cellStyle name="常规 4 2 40 2 2" xfId="27540"/>
    <cellStyle name="常规 4 2 40 3" xfId="27542"/>
    <cellStyle name="常规 4 2 40 3 2" xfId="21746"/>
    <cellStyle name="常规 4 2 40 4" xfId="20708"/>
    <cellStyle name="常规 4 2 41" xfId="23671"/>
    <cellStyle name="常规 4 2 41 2" xfId="27544"/>
    <cellStyle name="常规 4 2 41 2 2" xfId="27546"/>
    <cellStyle name="常规 4 2 41 3" xfId="27548"/>
    <cellStyle name="常规 4 2 41 3 2" xfId="27550"/>
    <cellStyle name="常规 4 2 41 4" xfId="27552"/>
    <cellStyle name="常规 4 2 42" xfId="27554"/>
    <cellStyle name="常规 4 2 42 2" xfId="27556"/>
    <cellStyle name="常规 4 2 42 2 2" xfId="27558"/>
    <cellStyle name="常规 4 2 42 3" xfId="27562"/>
    <cellStyle name="常规 4 2 42 3 2" xfId="27564"/>
    <cellStyle name="常规 4 2 42 4" xfId="27566"/>
    <cellStyle name="常规 4 2 43" xfId="27568"/>
    <cellStyle name="常规 4 2 43 2" xfId="4379"/>
    <cellStyle name="常规 4 2 43 2 2" xfId="4384"/>
    <cellStyle name="常规 4 2 43 3" xfId="4417"/>
    <cellStyle name="常规 4 2 43 3 2" xfId="4422"/>
    <cellStyle name="常规 4 2 43 4" xfId="27570"/>
    <cellStyle name="常规 4 2 44" xfId="3219"/>
    <cellStyle name="常规 4 2 45" xfId="27579"/>
    <cellStyle name="常规 4 2 5" xfId="27580"/>
    <cellStyle name="常规 4 2 5 10" xfId="27582"/>
    <cellStyle name="常规 4 2 5 11" xfId="27584"/>
    <cellStyle name="常规 4 2 5 12" xfId="21539"/>
    <cellStyle name="常规 4 2 5 13" xfId="27586"/>
    <cellStyle name="常规 4 2 5 14" xfId="27588"/>
    <cellStyle name="常规 4 2 5 15" xfId="27589"/>
    <cellStyle name="常规 4 2 5 16" xfId="27591"/>
    <cellStyle name="常规 4 2 5 2" xfId="8125"/>
    <cellStyle name="常规 4 2 5 2 2" xfId="17352"/>
    <cellStyle name="常规 4 2 5 2 3" xfId="17355"/>
    <cellStyle name="常规 4 2 5 3" xfId="3088"/>
    <cellStyle name="常规 4 2 5 3 2" xfId="17363"/>
    <cellStyle name="常规 4 2 5 3 3" xfId="17365"/>
    <cellStyle name="常规 4 2 5 4" xfId="8131"/>
    <cellStyle name="常规 4 2 5 4 2" xfId="17371"/>
    <cellStyle name="常规 4 2 5 4 3" xfId="17374"/>
    <cellStyle name="常规 4 2 5 5" xfId="8135"/>
    <cellStyle name="常规 4 2 5 6" xfId="10960"/>
    <cellStyle name="常规 4 2 5 7" xfId="27593"/>
    <cellStyle name="常规 4 2 5 8" xfId="27595"/>
    <cellStyle name="常规 4 2 5 9" xfId="27597"/>
    <cellStyle name="常规 4 2 6" xfId="27598"/>
    <cellStyle name="常规 4 2 6 10" xfId="27599"/>
    <cellStyle name="常规 4 2 6 11" xfId="27600"/>
    <cellStyle name="常规 4 2 6 12" xfId="25709"/>
    <cellStyle name="常规 4 2 6 13" xfId="27601"/>
    <cellStyle name="常规 4 2 6 14" xfId="27602"/>
    <cellStyle name="常规 4 2 6 15" xfId="25373"/>
    <cellStyle name="常规 4 2 6 16" xfId="25375"/>
    <cellStyle name="常规 4 2 6 2" xfId="8181"/>
    <cellStyle name="常规 4 2 6 2 2" xfId="26116"/>
    <cellStyle name="常规 4 2 6 2 3" xfId="24918"/>
    <cellStyle name="常规 4 2 6 3" xfId="8189"/>
    <cellStyle name="常规 4 2 6 3 2" xfId="27604"/>
    <cellStyle name="常规 4 2 6 3 3" xfId="27605"/>
    <cellStyle name="常规 4 2 6 4" xfId="8195"/>
    <cellStyle name="常规 4 2 6 4 2" xfId="27607"/>
    <cellStyle name="常规 4 2 6 4 3" xfId="27609"/>
    <cellStyle name="常规 4 2 6 5" xfId="8198"/>
    <cellStyle name="常规 4 2 6 6" xfId="10965"/>
    <cellStyle name="常规 4 2 6 7" xfId="27611"/>
    <cellStyle name="常规 4 2 6 8" xfId="27612"/>
    <cellStyle name="常规 4 2 6 9" xfId="27613"/>
    <cellStyle name="常规 4 2 7" xfId="26448"/>
    <cellStyle name="常规 4 2 7 10" xfId="27614"/>
    <cellStyle name="常规 4 2 7 11" xfId="27615"/>
    <cellStyle name="常规 4 2 7 12" xfId="27616"/>
    <cellStyle name="常规 4 2 7 13" xfId="27617"/>
    <cellStyle name="常规 4 2 7 14" xfId="27618"/>
    <cellStyle name="常规 4 2 7 15" xfId="27619"/>
    <cellStyle name="常规 4 2 7 16" xfId="27621"/>
    <cellStyle name="常规 4 2 7 2" xfId="8233"/>
    <cellStyle name="常规 4 2 7 2 2" xfId="17383"/>
    <cellStyle name="常规 4 2 7 2 3" xfId="17387"/>
    <cellStyle name="常规 4 2 7 3" xfId="8240"/>
    <cellStyle name="常规 4 2 7 3 2" xfId="17393"/>
    <cellStyle name="常规 4 2 7 3 3" xfId="17395"/>
    <cellStyle name="常规 4 2 7 4" xfId="8247"/>
    <cellStyle name="常规 4 2 7 4 2" xfId="5187"/>
    <cellStyle name="常规 4 2 7 4 3" xfId="5194"/>
    <cellStyle name="常规 4 2 7 5" xfId="8250"/>
    <cellStyle name="常规 4 2 7 6" xfId="27623"/>
    <cellStyle name="常规 4 2 7 7" xfId="27625"/>
    <cellStyle name="常规 4 2 7 8" xfId="27626"/>
    <cellStyle name="常规 4 2 7 9" xfId="27627"/>
    <cellStyle name="常规 4 2 8" xfId="27628"/>
    <cellStyle name="常规 4 2 8 10" xfId="14805"/>
    <cellStyle name="常规 4 2 8 11" xfId="14853"/>
    <cellStyle name="常规 4 2 8 12" xfId="27629"/>
    <cellStyle name="常规 4 2 8 13" xfId="27630"/>
    <cellStyle name="常规 4 2 8 14" xfId="27631"/>
    <cellStyle name="常规 4 2 8 15" xfId="27632"/>
    <cellStyle name="常规 4 2 8 16" xfId="8758"/>
    <cellStyle name="常规 4 2 8 17" xfId="27633"/>
    <cellStyle name="常规 4 2 8 2" xfId="8289"/>
    <cellStyle name="常规 4 2 8 3" xfId="8295"/>
    <cellStyle name="常规 4 2 8 4" xfId="8302"/>
    <cellStyle name="常规 4 2 8 5" xfId="8305"/>
    <cellStyle name="常规 4 2 8 6" xfId="27635"/>
    <cellStyle name="常规 4 2 8 7" xfId="27637"/>
    <cellStyle name="常规 4 2 8 8" xfId="27638"/>
    <cellStyle name="常规 4 2 8 9" xfId="27639"/>
    <cellStyle name="常规 4 2 9" xfId="27640"/>
    <cellStyle name="常规 4 2 9 10" xfId="27641"/>
    <cellStyle name="常规 4 2 9 11" xfId="13333"/>
    <cellStyle name="常规 4 2 9 12" xfId="27643"/>
    <cellStyle name="常规 4 2 9 13" xfId="27645"/>
    <cellStyle name="常规 4 2 9 14" xfId="27647"/>
    <cellStyle name="常规 4 2 9 15" xfId="27649"/>
    <cellStyle name="常规 4 2 9 16" xfId="27650"/>
    <cellStyle name="常规 4 2 9 17" xfId="11878"/>
    <cellStyle name="常规 4 2 9 2" xfId="8344"/>
    <cellStyle name="常规 4 2 9 3" xfId="8350"/>
    <cellStyle name="常规 4 2 9 4" xfId="8356"/>
    <cellStyle name="常规 4 2 9 5" xfId="8359"/>
    <cellStyle name="常规 4 2 9 6" xfId="27652"/>
    <cellStyle name="常规 4 2 9 7" xfId="27654"/>
    <cellStyle name="常规 4 2 9 8" xfId="27655"/>
    <cellStyle name="常规 4 2 9 9" xfId="26210"/>
    <cellStyle name="常规 4 2_（安装）重庆恒大名都综合楼装修工程报价清单-090422发标(1)" xfId="27656"/>
    <cellStyle name="常规 4 20" xfId="27356"/>
    <cellStyle name="常规 4 20 2" xfId="24725"/>
    <cellStyle name="常规 4 21" xfId="27359"/>
    <cellStyle name="常规 4 21 2" xfId="24892"/>
    <cellStyle name="常规 4 22" xfId="27361"/>
    <cellStyle name="常规 4 22 2" xfId="24808"/>
    <cellStyle name="常规 4 23" xfId="27363"/>
    <cellStyle name="常规 4 23 2" xfId="24820"/>
    <cellStyle name="常规 4 24" xfId="27365"/>
    <cellStyle name="常规 4 24 2" xfId="24837"/>
    <cellStyle name="常规 4 25" xfId="27657"/>
    <cellStyle name="常规 4 25 2" xfId="24850"/>
    <cellStyle name="常规 4 26" xfId="27660"/>
    <cellStyle name="常规 4 26 2" xfId="24900"/>
    <cellStyle name="常规 4 27" xfId="27662"/>
    <cellStyle name="常规 4 27 2" xfId="24908"/>
    <cellStyle name="常规 4 28" xfId="9763"/>
    <cellStyle name="常规 4 28 2" xfId="9766"/>
    <cellStyle name="常规 4 29" xfId="9771"/>
    <cellStyle name="常规 4 29 2" xfId="9774"/>
    <cellStyle name="常规 4 3" xfId="27664"/>
    <cellStyle name="常规 4 3 10" xfId="24722"/>
    <cellStyle name="常规 4 3 11" xfId="27665"/>
    <cellStyle name="常规 4 3 12" xfId="27666"/>
    <cellStyle name="常规 4 3 13" xfId="27667"/>
    <cellStyle name="常规 4 3 14" xfId="27668"/>
    <cellStyle name="常规 4 3 15" xfId="27669"/>
    <cellStyle name="常规 4 3 16" xfId="12898"/>
    <cellStyle name="常规 4 3 17" xfId="12903"/>
    <cellStyle name="常规 4 3 2" xfId="27670"/>
    <cellStyle name="常规 4 3 3" xfId="27671"/>
    <cellStyle name="常规 4 3 4" xfId="8371"/>
    <cellStyle name="常规 4 3 5" xfId="27672"/>
    <cellStyle name="常规 4 3 6" xfId="27673"/>
    <cellStyle name="常规 4 3 7" xfId="27674"/>
    <cellStyle name="常规 4 3 8" xfId="27675"/>
    <cellStyle name="常规 4 3 8 2" xfId="27676"/>
    <cellStyle name="常规 4 3 8 3" xfId="27677"/>
    <cellStyle name="常规 4 3 9" xfId="26239"/>
    <cellStyle name="常规 4 30" xfId="27658"/>
    <cellStyle name="常规 4 30 2" xfId="24851"/>
    <cellStyle name="常规 4 31" xfId="27661"/>
    <cellStyle name="常规 4 31 2" xfId="24901"/>
    <cellStyle name="常规 4 32" xfId="27663"/>
    <cellStyle name="常规 4 32 2" xfId="24909"/>
    <cellStyle name="常规 4 33" xfId="9764"/>
    <cellStyle name="常规 4 33 2" xfId="9767"/>
    <cellStyle name="常规 4 34" xfId="9772"/>
    <cellStyle name="常规 4 34 2" xfId="9775"/>
    <cellStyle name="常规 4 35" xfId="9779"/>
    <cellStyle name="常规 4 35 2" xfId="24939"/>
    <cellStyle name="常规 4 36" xfId="27679"/>
    <cellStyle name="常规 4 36 2" xfId="24970"/>
    <cellStyle name="常规 4 37" xfId="23196"/>
    <cellStyle name="常规 4 37 2" xfId="27681"/>
    <cellStyle name="常规 4 37 2 2" xfId="17462"/>
    <cellStyle name="常规 4 37 3" xfId="27683"/>
    <cellStyle name="常规 4 37 3 2" xfId="27685"/>
    <cellStyle name="常规 4 37 4" xfId="1163"/>
    <cellStyle name="常规 4 38" xfId="23200"/>
    <cellStyle name="常规 4 38 2" xfId="1216"/>
    <cellStyle name="常规 4 38 2 2" xfId="1196"/>
    <cellStyle name="常规 4 38 3" xfId="1261"/>
    <cellStyle name="常规 4 38 3 2" xfId="1270"/>
    <cellStyle name="常规 4 38 4" xfId="1309"/>
    <cellStyle name="常规 4 39" xfId="22984"/>
    <cellStyle name="常规 4 39 2" xfId="972"/>
    <cellStyle name="常规 4 39 2 2" xfId="983"/>
    <cellStyle name="常规 4 39 3" xfId="65"/>
    <cellStyle name="常规 4 39 3 2" xfId="27686"/>
    <cellStyle name="常规 4 39 4" xfId="9322"/>
    <cellStyle name="常规 4 4" xfId="27688"/>
    <cellStyle name="常规 4 4 10" xfId="19927"/>
    <cellStyle name="常规 4 4 11" xfId="19929"/>
    <cellStyle name="常规 4 4 12" xfId="19931"/>
    <cellStyle name="常规 4 4 13" xfId="19933"/>
    <cellStyle name="常规 4 4 14" xfId="303"/>
    <cellStyle name="常规 4 4 15" xfId="353"/>
    <cellStyle name="常规 4 4 16" xfId="1942"/>
    <cellStyle name="常规 4 4 2" xfId="27690"/>
    <cellStyle name="常规 4 4 2 2" xfId="27692"/>
    <cellStyle name="常规 4 4 2 3" xfId="27694"/>
    <cellStyle name="常规 4 4 3" xfId="6401"/>
    <cellStyle name="常规 4 4 4" xfId="6410"/>
    <cellStyle name="常规 4 4 5" xfId="4315"/>
    <cellStyle name="常规 4 4 6" xfId="6417"/>
    <cellStyle name="常规 4 4 7" xfId="27696"/>
    <cellStyle name="常规 4 4 8" xfId="27697"/>
    <cellStyle name="常规 4 4 9" xfId="26241"/>
    <cellStyle name="常规 4 40" xfId="9780"/>
    <cellStyle name="常规 4 40 2" xfId="24940"/>
    <cellStyle name="常规 4 41" xfId="27680"/>
    <cellStyle name="常规 4 41 2" xfId="24971"/>
    <cellStyle name="常规 4 41 3" xfId="27698"/>
    <cellStyle name="常规 4 42" xfId="23197"/>
    <cellStyle name="常规 4 42 2" xfId="27682"/>
    <cellStyle name="常规 4 42 3" xfId="27684"/>
    <cellStyle name="常规 4 42 4" xfId="1164"/>
    <cellStyle name="常规 4 42 5" xfId="19991"/>
    <cellStyle name="常规 4 43" xfId="23201"/>
    <cellStyle name="常规 4 43 2" xfId="1217"/>
    <cellStyle name="常规 4 44" xfId="22985"/>
    <cellStyle name="常规 4 44 2" xfId="973"/>
    <cellStyle name="常规 4 45" xfId="23203"/>
    <cellStyle name="常规 4 45 2" xfId="27699"/>
    <cellStyle name="常规 4 45 3" xfId="27701"/>
    <cellStyle name="常规 4 46" xfId="23206"/>
    <cellStyle name="常规 4 46 2" xfId="12306"/>
    <cellStyle name="常规 4 46 3" xfId="12365"/>
    <cellStyle name="常规 4 47" xfId="8895"/>
    <cellStyle name="常规 4 47 2" xfId="12853"/>
    <cellStyle name="常规 4 47 3" xfId="12947"/>
    <cellStyle name="常规 4 48" xfId="23209"/>
    <cellStyle name="常规 4 48 2" xfId="13290"/>
    <cellStyle name="常规 4 48 3" xfId="13379"/>
    <cellStyle name="常规 4 49" xfId="11998"/>
    <cellStyle name="常规 4 49 2" xfId="13506"/>
    <cellStyle name="常规 4 49 3" xfId="12779"/>
    <cellStyle name="常规 4 5" xfId="23152"/>
    <cellStyle name="常规 4 5 10" xfId="27704"/>
    <cellStyle name="常规 4 5 11" xfId="27705"/>
    <cellStyle name="常规 4 5 12" xfId="19387"/>
    <cellStyle name="常规 4 5 13" xfId="27706"/>
    <cellStyle name="常规 4 5 14" xfId="27708"/>
    <cellStyle name="常规 4 5 15" xfId="5842"/>
    <cellStyle name="常规 4 5 2" xfId="23154"/>
    <cellStyle name="常规 4 5 3" xfId="3010"/>
    <cellStyle name="常规 4 5 4" xfId="3022"/>
    <cellStyle name="常规 4 5 5" xfId="3034"/>
    <cellStyle name="常规 4 5 6" xfId="27709"/>
    <cellStyle name="常规 4 5 7" xfId="27710"/>
    <cellStyle name="常规 4 5 8" xfId="27711"/>
    <cellStyle name="常规 4 5 9" xfId="27712"/>
    <cellStyle name="常规 4 50" xfId="23204"/>
    <cellStyle name="常规 4 50 2" xfId="27700"/>
    <cellStyle name="常规 4 50 3" xfId="27702"/>
    <cellStyle name="常规 4 51" xfId="23207"/>
    <cellStyle name="常规 4 51 2" xfId="12307"/>
    <cellStyle name="常规 4 51 3" xfId="12366"/>
    <cellStyle name="常规 4 52" xfId="8896"/>
    <cellStyle name="常规 4 52 2" xfId="12854"/>
    <cellStyle name="常规 4 52 3" xfId="12948"/>
    <cellStyle name="常规 4 53" xfId="23210"/>
    <cellStyle name="常规 4 53 2" xfId="13291"/>
    <cellStyle name="常规 4 53 3" xfId="13380"/>
    <cellStyle name="常规 4 54" xfId="11999"/>
    <cellStyle name="常规 4 54 2" xfId="13507"/>
    <cellStyle name="常规 4 54 3" xfId="12780"/>
    <cellStyle name="常规 4 55" xfId="27714"/>
    <cellStyle name="常规 4 55 2" xfId="13578"/>
    <cellStyle name="常规 4 55 3" xfId="4467"/>
    <cellStyle name="常规 4 56" xfId="27716"/>
    <cellStyle name="常规 4 56 2" xfId="13625"/>
    <cellStyle name="常规 4 56 3" xfId="6789"/>
    <cellStyle name="常规 4 57" xfId="27718"/>
    <cellStyle name="常规 4 57 2" xfId="13641"/>
    <cellStyle name="常规 4 57 3" xfId="104"/>
    <cellStyle name="常规 4 58" xfId="27720"/>
    <cellStyle name="常规 4 58 2" xfId="13667"/>
    <cellStyle name="常规 4 58 3" xfId="7741"/>
    <cellStyle name="常规 4 59" xfId="15944"/>
    <cellStyle name="常规 4 59 2" xfId="15948"/>
    <cellStyle name="常规 4 59 3" xfId="7750"/>
    <cellStyle name="常规 4 6" xfId="23156"/>
    <cellStyle name="常规 4 6 10" xfId="5714"/>
    <cellStyle name="常规 4 6 11" xfId="3778"/>
    <cellStyle name="常规 4 6 12" xfId="5751"/>
    <cellStyle name="常规 4 6 13" xfId="5756"/>
    <cellStyle name="常规 4 6 14" xfId="27722"/>
    <cellStyle name="常规 4 6 15" xfId="27723"/>
    <cellStyle name="常规 4 6 2" xfId="23158"/>
    <cellStyle name="常规 4 6 3" xfId="3050"/>
    <cellStyle name="常规 4 6 4" xfId="8376"/>
    <cellStyle name="常规 4 6 5" xfId="20655"/>
    <cellStyle name="常规 4 6 6" xfId="27724"/>
    <cellStyle name="常规 4 6 7" xfId="27725"/>
    <cellStyle name="常规 4 6 8" xfId="27727"/>
    <cellStyle name="常规 4 6 9" xfId="27728"/>
    <cellStyle name="常规 4 60" xfId="27715"/>
    <cellStyle name="常规 4 60 2" xfId="13579"/>
    <cellStyle name="常规 4 60 3" xfId="4468"/>
    <cellStyle name="常规 4 61" xfId="27717"/>
    <cellStyle name="常规 4 61 2" xfId="13626"/>
    <cellStyle name="常规 4 61 3" xfId="6790"/>
    <cellStyle name="常规 4 62" xfId="27719"/>
    <cellStyle name="常规 4 62 2" xfId="13642"/>
    <cellStyle name="常规 4 62 3" xfId="105"/>
    <cellStyle name="常规 4 63" xfId="27721"/>
    <cellStyle name="常规 4 63 2" xfId="13668"/>
    <cellStyle name="常规 4 63 3" xfId="7742"/>
    <cellStyle name="常规 4 64" xfId="15945"/>
    <cellStyle name="常规 4 64 2" xfId="15949"/>
    <cellStyle name="常规 4 64 3" xfId="7751"/>
    <cellStyle name="常规 4 65" xfId="15981"/>
    <cellStyle name="常规 4 65 2" xfId="15983"/>
    <cellStyle name="常规 4 7" xfId="25715"/>
    <cellStyle name="常规 4 7 10" xfId="27729"/>
    <cellStyle name="常规 4 7 11" xfId="27730"/>
    <cellStyle name="常规 4 7 12" xfId="27731"/>
    <cellStyle name="常规 4 7 13" xfId="27732"/>
    <cellStyle name="常规 4 7 14" xfId="27733"/>
    <cellStyle name="常规 4 7 15" xfId="27734"/>
    <cellStyle name="常规 4 7 2" xfId="27736"/>
    <cellStyle name="常规 4 7 3" xfId="27737"/>
    <cellStyle name="常规 4 7 4" xfId="8379"/>
    <cellStyle name="常规 4 7 5" xfId="27738"/>
    <cellStyle name="常规 4 7 6" xfId="27739"/>
    <cellStyle name="常规 4 7 7" xfId="27740"/>
    <cellStyle name="常规 4 7 8" xfId="27741"/>
    <cellStyle name="常规 4 7 9" xfId="27742"/>
    <cellStyle name="常规 4 8" xfId="27744"/>
    <cellStyle name="常规 4 8 10" xfId="24889"/>
    <cellStyle name="常规 4 8 11" xfId="27745"/>
    <cellStyle name="常规 4 8 12" xfId="27746"/>
    <cellStyle name="常规 4 8 13" xfId="27747"/>
    <cellStyle name="常规 4 8 14" xfId="27748"/>
    <cellStyle name="常规 4 8 15" xfId="27749"/>
    <cellStyle name="常规 4 8 2" xfId="27751"/>
    <cellStyle name="常规 4 8 3" xfId="27753"/>
    <cellStyle name="常规 4 8 4" xfId="8384"/>
    <cellStyle name="常规 4 8 5" xfId="27755"/>
    <cellStyle name="常规 4 8 6" xfId="27757"/>
    <cellStyle name="常规 4 8 7" xfId="27758"/>
    <cellStyle name="常规 4 8 8" xfId="27759"/>
    <cellStyle name="常规 4 8 9" xfId="27760"/>
    <cellStyle name="常规 4 9" xfId="27762"/>
    <cellStyle name="常规 4 9 10" xfId="27763"/>
    <cellStyle name="常规 4 9 11" xfId="27764"/>
    <cellStyle name="常规 4 9 12" xfId="20598"/>
    <cellStyle name="常规 4 9 13" xfId="27765"/>
    <cellStyle name="常规 4 9 14" xfId="1958"/>
    <cellStyle name="常规 4 9 15" xfId="27766"/>
    <cellStyle name="常规 4 9 2" xfId="27767"/>
    <cellStyle name="常规 4 9 3" xfId="27768"/>
    <cellStyle name="常规 4 9 4" xfId="27769"/>
    <cellStyle name="常规 4 9 5" xfId="27770"/>
    <cellStyle name="常规 4 9 6" xfId="27771"/>
    <cellStyle name="常规 4 9 7" xfId="22485"/>
    <cellStyle name="常规 4 9 8" xfId="27773"/>
    <cellStyle name="常规 4 9 9" xfId="27776"/>
    <cellStyle name="常规 4_(有建筑面积)附件4-7" xfId="27777"/>
    <cellStyle name="常规 4_合同单价（样板房建艺09-7-27） 2" xfId="27778"/>
    <cellStyle name="常规 4_合同单价（样板房建艺09-7-27）_130625定版---成都恒大御景半岛三期64栋样板房装修（新标准）" xfId="27779"/>
    <cellStyle name="常规 40" xfId="27294"/>
    <cellStyle name="常规 40 2" xfId="27296"/>
    <cellStyle name="常规 40 3" xfId="16670"/>
    <cellStyle name="常规 40 4" xfId="27298"/>
    <cellStyle name="常规 41" xfId="27301"/>
    <cellStyle name="常规 41 2" xfId="27303"/>
    <cellStyle name="常规 42" xfId="27306"/>
    <cellStyle name="常规 42 2" xfId="27308"/>
    <cellStyle name="常规 42 3" xfId="27780"/>
    <cellStyle name="常规 42 4" xfId="27781"/>
    <cellStyle name="常规 43" xfId="27311"/>
    <cellStyle name="常规 43 2" xfId="27313"/>
    <cellStyle name="常规 43 3" xfId="27317"/>
    <cellStyle name="常规 43 4" xfId="27321"/>
    <cellStyle name="常规 44" xfId="27327"/>
    <cellStyle name="常规 44 2" xfId="11775"/>
    <cellStyle name="常规 45" xfId="27783"/>
    <cellStyle name="常规 45 2" xfId="11806"/>
    <cellStyle name="常规 46" xfId="27786"/>
    <cellStyle name="常规 47" xfId="27790"/>
    <cellStyle name="常规 47 2" xfId="11839"/>
    <cellStyle name="常规 48" xfId="27792"/>
    <cellStyle name="常规 48 2" xfId="11857"/>
    <cellStyle name="常规 49" xfId="27794"/>
    <cellStyle name="常规 49 2" xfId="27797"/>
    <cellStyle name="常规 5" xfId="27799"/>
    <cellStyle name="常规 5 10" xfId="24067"/>
    <cellStyle name="常规 5 10 10" xfId="27800"/>
    <cellStyle name="常规 5 10 11" xfId="14863"/>
    <cellStyle name="常规 5 10 12" xfId="27802"/>
    <cellStyle name="常规 5 10 13" xfId="27803"/>
    <cellStyle name="常规 5 10 14" xfId="27805"/>
    <cellStyle name="常规 5 10 15" xfId="27808"/>
    <cellStyle name="常规 5 10 16" xfId="20379"/>
    <cellStyle name="常规 5 10 2" xfId="25251"/>
    <cellStyle name="常规 5 10 2 2" xfId="27810"/>
    <cellStyle name="常规 5 10 2 3" xfId="26087"/>
    <cellStyle name="常规 5 10 3" xfId="19644"/>
    <cellStyle name="常规 5 10 4" xfId="27812"/>
    <cellStyle name="常规 5 10 5" xfId="27814"/>
    <cellStyle name="常规 5 10 6" xfId="27815"/>
    <cellStyle name="常规 5 10 7" xfId="27816"/>
    <cellStyle name="常规 5 10 8" xfId="17315"/>
    <cellStyle name="常规 5 10 9" xfId="3031"/>
    <cellStyle name="常规 5 11" xfId="27817"/>
    <cellStyle name="常规 5 11 10" xfId="27818"/>
    <cellStyle name="常规 5 11 11" xfId="11108"/>
    <cellStyle name="常规 5 11 12" xfId="27819"/>
    <cellStyle name="常规 5 11 13" xfId="13366"/>
    <cellStyle name="常规 5 11 14" xfId="27822"/>
    <cellStyle name="常规 5 11 15" xfId="27823"/>
    <cellStyle name="常规 5 11 2" xfId="25285"/>
    <cellStyle name="常规 5 11 3" xfId="19647"/>
    <cellStyle name="常规 5 11 4" xfId="27824"/>
    <cellStyle name="常规 5 11 5" xfId="27825"/>
    <cellStyle name="常规 5 11 6" xfId="27826"/>
    <cellStyle name="常规 5 11 7" xfId="27827"/>
    <cellStyle name="常规 5 11 8" xfId="17320"/>
    <cellStyle name="常规 5 11 9" xfId="3040"/>
    <cellStyle name="常规 5 12" xfId="27828"/>
    <cellStyle name="常规 5 12 2" xfId="25299"/>
    <cellStyle name="常规 5 12 3" xfId="27829"/>
    <cellStyle name="常规 5 13" xfId="27830"/>
    <cellStyle name="常规 5 13 2" xfId="25319"/>
    <cellStyle name="常规 5 13 3" xfId="27831"/>
    <cellStyle name="常规 5 14" xfId="16310"/>
    <cellStyle name="常规 5 15" xfId="16319"/>
    <cellStyle name="常规 5 16" xfId="16330"/>
    <cellStyle name="常规 5 17" xfId="16335"/>
    <cellStyle name="常规 5 18" xfId="9379"/>
    <cellStyle name="常规 5 19" xfId="27832"/>
    <cellStyle name="常规 5 2" xfId="27834"/>
    <cellStyle name="常规 5 2 10" xfId="27835"/>
    <cellStyle name="常规 5 2 11" xfId="27836"/>
    <cellStyle name="常规 5 2 12" xfId="27839"/>
    <cellStyle name="常规 5 2 13" xfId="27842"/>
    <cellStyle name="常规 5 2 14" xfId="27845"/>
    <cellStyle name="常规 5 2 15" xfId="27848"/>
    <cellStyle name="常规 5 2 16" xfId="27852"/>
    <cellStyle name="常规 5 2 17" xfId="22359"/>
    <cellStyle name="常规 5 2 18" xfId="9709"/>
    <cellStyle name="常规 5 2 19" xfId="27854"/>
    <cellStyle name="常规 5 2 2" xfId="27857"/>
    <cellStyle name="常规 5 2 20" xfId="27849"/>
    <cellStyle name="常规 5 2 21" xfId="27853"/>
    <cellStyle name="常规 5 2 22" xfId="22360"/>
    <cellStyle name="常规 5 2 23" xfId="9710"/>
    <cellStyle name="常规 5 2 24" xfId="27855"/>
    <cellStyle name="常规 5 2 25" xfId="27859"/>
    <cellStyle name="常规 5 2 26" xfId="27862"/>
    <cellStyle name="常规 5 2 27" xfId="27865"/>
    <cellStyle name="常规 5 2 28" xfId="27868"/>
    <cellStyle name="常规 5 2 28 2" xfId="27870"/>
    <cellStyle name="常规 5 2 28 3" xfId="27871"/>
    <cellStyle name="常规 5 2 29" xfId="27872"/>
    <cellStyle name="常规 5 2 29 2" xfId="27875"/>
    <cellStyle name="常规 5 2 29 3" xfId="27876"/>
    <cellStyle name="常规 5 2 3" xfId="27878"/>
    <cellStyle name="常规 5 2 30" xfId="27860"/>
    <cellStyle name="常规 5 2 31" xfId="27863"/>
    <cellStyle name="常规 5 2 32" xfId="27866"/>
    <cellStyle name="常规 5 2 33" xfId="27869"/>
    <cellStyle name="常规 5 2 34" xfId="27873"/>
    <cellStyle name="常规 5 2 35" xfId="25120"/>
    <cellStyle name="常规 5 2 4" xfId="27880"/>
    <cellStyle name="常规 5 2 5" xfId="27882"/>
    <cellStyle name="常规 5 2 6" xfId="27883"/>
    <cellStyle name="常规 5 2 7" xfId="26453"/>
    <cellStyle name="常规 5 2 8" xfId="27884"/>
    <cellStyle name="常规 5 2 9" xfId="27885"/>
    <cellStyle name="常规 5 20" xfId="16320"/>
    <cellStyle name="常规 5 21" xfId="16331"/>
    <cellStyle name="常规 5 22" xfId="16336"/>
    <cellStyle name="常规 5 23" xfId="9380"/>
    <cellStyle name="常规 5 24" xfId="27833"/>
    <cellStyle name="常规 5 25" xfId="24589"/>
    <cellStyle name="常规 5 26" xfId="24592"/>
    <cellStyle name="常规 5 27" xfId="27886"/>
    <cellStyle name="常规 5 28" xfId="18867"/>
    <cellStyle name="常规 5 29" xfId="18875"/>
    <cellStyle name="常规 5 3" xfId="27888"/>
    <cellStyle name="常规 5 3 10" xfId="24845"/>
    <cellStyle name="常规 5 3 11" xfId="27889"/>
    <cellStyle name="常规 5 3 12" xfId="27890"/>
    <cellStyle name="常规 5 3 13" xfId="27891"/>
    <cellStyle name="常规 5 3 14" xfId="27892"/>
    <cellStyle name="常规 5 3 15" xfId="19552"/>
    <cellStyle name="常规 5 3 2" xfId="27893"/>
    <cellStyle name="常规 5 3 2 2" xfId="27894"/>
    <cellStyle name="常规 5 3 2 3" xfId="5425"/>
    <cellStyle name="常规 5 3 3" xfId="27895"/>
    <cellStyle name="常规 5 3 4" xfId="27896"/>
    <cellStyle name="常规 5 3 5" xfId="27897"/>
    <cellStyle name="常规 5 3 6" xfId="27898"/>
    <cellStyle name="常规 5 3 7" xfId="27899"/>
    <cellStyle name="常规 5 3 8" xfId="27900"/>
    <cellStyle name="常规 5 3 9" xfId="26245"/>
    <cellStyle name="常规 5 3_银湖城销售中心电气报价清单2011-6-16" xfId="4060"/>
    <cellStyle name="常规 5 30" xfId="24590"/>
    <cellStyle name="常规 5 31" xfId="24593"/>
    <cellStyle name="常规 5 32" xfId="27887"/>
    <cellStyle name="常规 5 33" xfId="18868"/>
    <cellStyle name="常规 5 34" xfId="18876"/>
    <cellStyle name="常规 5 35" xfId="14618"/>
    <cellStyle name="常规 5 36" xfId="27902"/>
    <cellStyle name="常规 5 37" xfId="23246"/>
    <cellStyle name="常规 5 37 2" xfId="23144"/>
    <cellStyle name="常规 5 37 3" xfId="21994"/>
    <cellStyle name="常规 5 38" xfId="1274"/>
    <cellStyle name="常规 5 38 2" xfId="23256"/>
    <cellStyle name="常规 5 38 3" xfId="23258"/>
    <cellStyle name="常规 5 39" xfId="23263"/>
    <cellStyle name="常规 5 39 2" xfId="23266"/>
    <cellStyle name="常规 5 39 3" xfId="27904"/>
    <cellStyle name="常规 5 4" xfId="27905"/>
    <cellStyle name="常规 5 4 10" xfId="27907"/>
    <cellStyle name="常规 5 4 10 2" xfId="27908"/>
    <cellStyle name="常规 5 4 10 2 2" xfId="23250"/>
    <cellStyle name="常规 5 4 11" xfId="27909"/>
    <cellStyle name="常规 5 4 11 2" xfId="23981"/>
    <cellStyle name="常规 5 4 11 2 2" xfId="23989"/>
    <cellStyle name="常规 5 4 12" xfId="27911"/>
    <cellStyle name="常规 5 4 12 2" xfId="24652"/>
    <cellStyle name="常规 5 4 12 2 2" xfId="24661"/>
    <cellStyle name="常规 5 4 13" xfId="27913"/>
    <cellStyle name="常规 5 4 13 2" xfId="5413"/>
    <cellStyle name="常规 5 4 13 2 2" xfId="1849"/>
    <cellStyle name="常规 5 4 14" xfId="10591"/>
    <cellStyle name="常规 5 4 14 2" xfId="24883"/>
    <cellStyle name="常规 5 4 14 2 2" xfId="27788"/>
    <cellStyle name="常规 5 4 15" xfId="27915"/>
    <cellStyle name="常规 5 4 2" xfId="27916"/>
    <cellStyle name="常规 5 4 2 2" xfId="27917"/>
    <cellStyle name="常规 5 4 2 2 2" xfId="27918"/>
    <cellStyle name="常规 5 4 2 2 3" xfId="27919"/>
    <cellStyle name="常规 5 4 2 3" xfId="27920"/>
    <cellStyle name="常规 5 4 2 3 2" xfId="27921"/>
    <cellStyle name="常规 5 4 2 3 3" xfId="27922"/>
    <cellStyle name="常规 5 4 2 4" xfId="14002"/>
    <cellStyle name="常规 5 4 2 4 2" xfId="14006"/>
    <cellStyle name="常规 5 4 2 4 3" xfId="14013"/>
    <cellStyle name="常规 5 4 2 5" xfId="14030"/>
    <cellStyle name="常规 5 4 2 5 2" xfId="14033"/>
    <cellStyle name="常规 5 4 2 5 3" xfId="14040"/>
    <cellStyle name="常规 5 4 2 6" xfId="14051"/>
    <cellStyle name="常规 5 4 2 6 2" xfId="14054"/>
    <cellStyle name="常规 5 4 2 6 3" xfId="15400"/>
    <cellStyle name="常规 5 4 2 7" xfId="14058"/>
    <cellStyle name="常规 5 4 2 7 2" xfId="27923"/>
    <cellStyle name="常规 5 4 2 7 3" xfId="27925"/>
    <cellStyle name="常规 5 4 2 8" xfId="25024"/>
    <cellStyle name="常规 5 4 2 8 2" xfId="27927"/>
    <cellStyle name="常规 5 4 2 8 3" xfId="27929"/>
    <cellStyle name="常规 5 4 2 9" xfId="24529"/>
    <cellStyle name="常规 5 4 2 9 2" xfId="7450"/>
    <cellStyle name="常规 5 4 2 9 3" xfId="7454"/>
    <cellStyle name="常规 5 4 3" xfId="6420"/>
    <cellStyle name="常规 5 4 3 2" xfId="27931"/>
    <cellStyle name="常规 5 4 3 2 2" xfId="27932"/>
    <cellStyle name="常规 5 4 3 2 3" xfId="27933"/>
    <cellStyle name="常规 5 4 3 3" xfId="27934"/>
    <cellStyle name="常规 5 4 3 3 2" xfId="27935"/>
    <cellStyle name="常规 5 4 3 3 3" xfId="27936"/>
    <cellStyle name="常规 5 4 3 4" xfId="14067"/>
    <cellStyle name="常规 5 4 3 4 2" xfId="14072"/>
    <cellStyle name="常规 5 4 3 4 3" xfId="14075"/>
    <cellStyle name="常规 5 4 3 5" xfId="14083"/>
    <cellStyle name="常规 5 4 3 5 2" xfId="14086"/>
    <cellStyle name="常规 5 4 3 5 3" xfId="14090"/>
    <cellStyle name="常规 5 4 3 6" xfId="14096"/>
    <cellStyle name="常规 5 4 3 6 2" xfId="14098"/>
    <cellStyle name="常规 5 4 3 6 3" xfId="27937"/>
    <cellStyle name="常规 5 4 3 7" xfId="14101"/>
    <cellStyle name="常规 5 4 3 7 2" xfId="27938"/>
    <cellStyle name="常规 5 4 3 7 3" xfId="27942"/>
    <cellStyle name="常规 5 4 3 8" xfId="27943"/>
    <cellStyle name="常规 5 4 3 8 2" xfId="27946"/>
    <cellStyle name="常规 5 4 3 8 3" xfId="27948"/>
    <cellStyle name="常规 5 4 3 9" xfId="27949"/>
    <cellStyle name="常规 5 4 3 9 2" xfId="7481"/>
    <cellStyle name="常规 5 4 3 9 3" xfId="7486"/>
    <cellStyle name="常规 5 4 4" xfId="8392"/>
    <cellStyle name="常规 5 4 4 2" xfId="27952"/>
    <cellStyle name="常规 5 4 4 2 2" xfId="24546"/>
    <cellStyle name="常规 5 4 5" xfId="27953"/>
    <cellStyle name="常规 5 4 5 2" xfId="24823"/>
    <cellStyle name="常规 5 4 5 2 2" xfId="24826"/>
    <cellStyle name="常规 5 4 6" xfId="27954"/>
    <cellStyle name="常规 5 4 6 2" xfId="27955"/>
    <cellStyle name="常规 5 4 6 2 2" xfId="27956"/>
    <cellStyle name="常规 5 4 7" xfId="27957"/>
    <cellStyle name="常规 5 4 7 2" xfId="27958"/>
    <cellStyle name="常规 5 4 7 2 2" xfId="27959"/>
    <cellStyle name="常规 5 4 8" xfId="27960"/>
    <cellStyle name="常规 5 4 8 2" xfId="22780"/>
    <cellStyle name="常规 5 4 8 2 2" xfId="27961"/>
    <cellStyle name="常规 5 4 9" xfId="26247"/>
    <cellStyle name="常规 5 4 9 2" xfId="27962"/>
    <cellStyle name="常规 5 4 9 2 2" xfId="27963"/>
    <cellStyle name="常规 5 40" xfId="14619"/>
    <cellStyle name="常规 5 41" xfId="27903"/>
    <cellStyle name="常规 5 42" xfId="23247"/>
    <cellStyle name="常规 5 43" xfId="1275"/>
    <cellStyle name="常规 5 44" xfId="23264"/>
    <cellStyle name="常规 5 45" xfId="23269"/>
    <cellStyle name="常规 5 45 2" xfId="27964"/>
    <cellStyle name="常规 5 45 3" xfId="27966"/>
    <cellStyle name="常规 5 46" xfId="23272"/>
    <cellStyle name="常规 5 46 2" xfId="27970"/>
    <cellStyle name="常规 5 46 3" xfId="27972"/>
    <cellStyle name="常规 5 47" xfId="23275"/>
    <cellStyle name="常规 5 47 2" xfId="27974"/>
    <cellStyle name="常规 5 47 3" xfId="27976"/>
    <cellStyle name="常规 5 48" xfId="27978"/>
    <cellStyle name="常规 5 48 2" xfId="27981"/>
    <cellStyle name="常规 5 48 3" xfId="27984"/>
    <cellStyle name="常规 5 49" xfId="27986"/>
    <cellStyle name="常规 5 49 2" xfId="27988"/>
    <cellStyle name="常规 5 49 3" xfId="27990"/>
    <cellStyle name="常规 5 5" xfId="27992"/>
    <cellStyle name="常规 5 5 10" xfId="22469"/>
    <cellStyle name="常规 5 5 10 2" xfId="27993"/>
    <cellStyle name="常规 5 5 10 2 2" xfId="27994"/>
    <cellStyle name="常规 5 5 11" xfId="15452"/>
    <cellStyle name="常规 5 5 11 2" xfId="15457"/>
    <cellStyle name="常规 5 5 11 2 2" xfId="15460"/>
    <cellStyle name="常规 5 5 12" xfId="15462"/>
    <cellStyle name="常规 5 5 13" xfId="15471"/>
    <cellStyle name="常规 5 5 14" xfId="15474"/>
    <cellStyle name="常规 5 5 15" xfId="7639"/>
    <cellStyle name="常规 5 5 2" xfId="27995"/>
    <cellStyle name="常规 5 5 3" xfId="3106"/>
    <cellStyle name="常规 5 5 4" xfId="27996"/>
    <cellStyle name="常规 5 5 4 2" xfId="21685"/>
    <cellStyle name="常规 5 5 4 2 2" xfId="21687"/>
    <cellStyle name="常规 5 5 5" xfId="27998"/>
    <cellStyle name="常规 5 5 5 2" xfId="21707"/>
    <cellStyle name="常规 5 5 5 2 2" xfId="21711"/>
    <cellStyle name="常规 5 5 6" xfId="28000"/>
    <cellStyle name="常规 5 5 6 2" xfId="21470"/>
    <cellStyle name="常规 5 5 6 2 2" xfId="21472"/>
    <cellStyle name="常规 5 5 7" xfId="18053"/>
    <cellStyle name="常规 5 5 7 2" xfId="28002"/>
    <cellStyle name="常规 5 5 7 2 2" xfId="27286"/>
    <cellStyle name="常规 5 5 8" xfId="28004"/>
    <cellStyle name="常规 5 5 8 2" xfId="28006"/>
    <cellStyle name="常规 5 5 8 2 2" xfId="27774"/>
    <cellStyle name="常规 5 5 9" xfId="28008"/>
    <cellStyle name="常规 5 5 9 2" xfId="28009"/>
    <cellStyle name="常规 5 5 9 2 2" xfId="28012"/>
    <cellStyle name="常规 5 50" xfId="23270"/>
    <cellStyle name="常规 5 50 2" xfId="27965"/>
    <cellStyle name="常规 5 50 3" xfId="27967"/>
    <cellStyle name="常规 5 51" xfId="23273"/>
    <cellStyle name="常规 5 51 2" xfId="27971"/>
    <cellStyle name="常规 5 51 3" xfId="27973"/>
    <cellStyle name="常规 5 52" xfId="23276"/>
    <cellStyle name="常规 5 52 2" xfId="27975"/>
    <cellStyle name="常规 5 52 3" xfId="27977"/>
    <cellStyle name="常规 5 53" xfId="27979"/>
    <cellStyle name="常规 5 53 2" xfId="27982"/>
    <cellStyle name="常规 5 53 3" xfId="27985"/>
    <cellStyle name="常规 5 54" xfId="27987"/>
    <cellStyle name="常规 5 54 2" xfId="27989"/>
    <cellStyle name="常规 5 54 3" xfId="27991"/>
    <cellStyle name="常规 5 55" xfId="28013"/>
    <cellStyle name="常规 5 55 2" xfId="28015"/>
    <cellStyle name="常规 5 55 3" xfId="28017"/>
    <cellStyle name="常规 5 56" xfId="28019"/>
    <cellStyle name="常规 5 56 2" xfId="28021"/>
    <cellStyle name="常规 5 56 3" xfId="28023"/>
    <cellStyle name="常规 5 57" xfId="833"/>
    <cellStyle name="常规 5 57 2" xfId="20392"/>
    <cellStyle name="常规 5 57 3" xfId="20395"/>
    <cellStyle name="常规 5 58" xfId="21676"/>
    <cellStyle name="常规 5 58 2" xfId="21679"/>
    <cellStyle name="常规 5 58 3" xfId="21691"/>
    <cellStyle name="常规 5 59" xfId="16339"/>
    <cellStyle name="常规 5 59 2" xfId="16342"/>
    <cellStyle name="常规 5 59 3" xfId="16348"/>
    <cellStyle name="常规 5 6" xfId="28025"/>
    <cellStyle name="常规 5 6 10" xfId="5914"/>
    <cellStyle name="常规 5 6 10 2" xfId="6296"/>
    <cellStyle name="常规 5 6 10 2 2" xfId="21432"/>
    <cellStyle name="常规 5 6 11" xfId="28026"/>
    <cellStyle name="常规 5 6 11 2" xfId="6394"/>
    <cellStyle name="常规 5 6 11 2 2" xfId="24800"/>
    <cellStyle name="常规 5 6 12" xfId="28027"/>
    <cellStyle name="常规 5 6 13" xfId="28029"/>
    <cellStyle name="常规 5 6 13 2" xfId="6456"/>
    <cellStyle name="常规 5 6 13 3" xfId="4661"/>
    <cellStyle name="常规 5 6 14" xfId="28030"/>
    <cellStyle name="常规 5 6 15" xfId="28031"/>
    <cellStyle name="常规 5 6 2" xfId="28032"/>
    <cellStyle name="常规 5 6 3" xfId="3117"/>
    <cellStyle name="常规 5 6 4" xfId="28033"/>
    <cellStyle name="常规 5 6 4 2" xfId="28034"/>
    <cellStyle name="常规 5 6 4 2 2" xfId="28036"/>
    <cellStyle name="常规 5 6 5" xfId="28037"/>
    <cellStyle name="常规 5 6 5 2" xfId="28038"/>
    <cellStyle name="常规 5 6 5 2 2" xfId="28040"/>
    <cellStyle name="常规 5 6 6" xfId="28041"/>
    <cellStyle name="常规 5 6 6 2" xfId="28042"/>
    <cellStyle name="常规 5 6 6 2 2" xfId="28043"/>
    <cellStyle name="常规 5 6 7" xfId="16848"/>
    <cellStyle name="常规 5 6 7 2" xfId="16850"/>
    <cellStyle name="常规 5 6 7 2 2" xfId="28044"/>
    <cellStyle name="常规 5 6 8" xfId="16855"/>
    <cellStyle name="常规 5 6 8 2" xfId="16857"/>
    <cellStyle name="常规 5 6 8 2 2" xfId="13442"/>
    <cellStyle name="常规 5 6 9" xfId="28045"/>
    <cellStyle name="常规 5 6 9 2" xfId="28046"/>
    <cellStyle name="常规 5 6 9 2 2" xfId="28047"/>
    <cellStyle name="常规 5 60" xfId="28014"/>
    <cellStyle name="常规 5 60 2" xfId="28016"/>
    <cellStyle name="常规 5 60 3" xfId="28018"/>
    <cellStyle name="常规 5 61" xfId="28020"/>
    <cellStyle name="常规 5 61 2" xfId="28022"/>
    <cellStyle name="常规 5 61 3" xfId="28024"/>
    <cellStyle name="常规 5 62" xfId="834"/>
    <cellStyle name="常规 5 62 2" xfId="20393"/>
    <cellStyle name="常规 5 62 3" xfId="20396"/>
    <cellStyle name="常规 5 63" xfId="21677"/>
    <cellStyle name="常规 5 63 2" xfId="21680"/>
    <cellStyle name="常规 5 63 3" xfId="21692"/>
    <cellStyle name="常规 5 64" xfId="16340"/>
    <cellStyle name="常规 5 64 2" xfId="16343"/>
    <cellStyle name="常规 5 64 3" xfId="16349"/>
    <cellStyle name="常规 5 7" xfId="25721"/>
    <cellStyle name="常规 5 7 10" xfId="28048"/>
    <cellStyle name="常规 5 7 10 2" xfId="28049"/>
    <cellStyle name="常规 5 7 10 2 2" xfId="9099"/>
    <cellStyle name="常规 5 7 11" xfId="28050"/>
    <cellStyle name="常规 5 7 11 2" xfId="1331"/>
    <cellStyle name="常规 5 7 11 2 2" xfId="976"/>
    <cellStyle name="常规 5 7 12" xfId="20759"/>
    <cellStyle name="常规 5 7 13" xfId="8220"/>
    <cellStyle name="常规 5 7 14" xfId="28051"/>
    <cellStyle name="常规 5 7 15" xfId="28053"/>
    <cellStyle name="常规 5 7 2" xfId="17156"/>
    <cellStyle name="常规 5 7 3" xfId="17183"/>
    <cellStyle name="常规 5 7 4" xfId="17190"/>
    <cellStyle name="常规 5 7 4 2" xfId="17193"/>
    <cellStyle name="常规 5 7 4 2 2" xfId="7864"/>
    <cellStyle name="常规 5 7 5" xfId="17203"/>
    <cellStyle name="常规 5 7 5 2" xfId="17206"/>
    <cellStyle name="常规 5 7 5 2 2" xfId="7912"/>
    <cellStyle name="常规 5 7 6" xfId="17219"/>
    <cellStyle name="常规 5 7 6 2" xfId="17222"/>
    <cellStyle name="常规 5 7 6 2 2" xfId="7947"/>
    <cellStyle name="常规 5 7 7" xfId="17236"/>
    <cellStyle name="常规 5 7 7 2" xfId="17240"/>
    <cellStyle name="常规 5 7 7 2 2" xfId="7991"/>
    <cellStyle name="常规 5 7 8" xfId="17262"/>
    <cellStyle name="常规 5 7 8 2" xfId="28054"/>
    <cellStyle name="常规 5 7 8 2 2" xfId="8047"/>
    <cellStyle name="常规 5 7 9" xfId="17264"/>
    <cellStyle name="常规 5 7 9 2" xfId="28055"/>
    <cellStyle name="常规 5 7 9 2 2" xfId="4940"/>
    <cellStyle name="常规 5 8" xfId="28056"/>
    <cellStyle name="常规 5 8 10" xfId="24894"/>
    <cellStyle name="常规 5 8 11" xfId="21227"/>
    <cellStyle name="常规 5 8 12" xfId="28057"/>
    <cellStyle name="常规 5 8 13" xfId="28058"/>
    <cellStyle name="常规 5 8 14" xfId="28059"/>
    <cellStyle name="常规 5 8 15" xfId="28060"/>
    <cellStyle name="常规 5 8 16" xfId="28062"/>
    <cellStyle name="常规 5 8 2" xfId="28064"/>
    <cellStyle name="常规 5 8 2 2" xfId="28065"/>
    <cellStyle name="常规 5 8 2 3" xfId="28067"/>
    <cellStyle name="常规 5 8 3" xfId="28068"/>
    <cellStyle name="常规 5 8 4" xfId="28069"/>
    <cellStyle name="常规 5 8 5" xfId="28071"/>
    <cellStyle name="常规 5 8 6" xfId="28072"/>
    <cellStyle name="常规 5 8 7" xfId="28073"/>
    <cellStyle name="常规 5 8 8" xfId="28074"/>
    <cellStyle name="常规 5 8 9" xfId="28075"/>
    <cellStyle name="常规 5 9" xfId="28076"/>
    <cellStyle name="常规 5 9 10" xfId="21287"/>
    <cellStyle name="常规 5 9 11" xfId="28078"/>
    <cellStyle name="常规 5 9 12" xfId="28080"/>
    <cellStyle name="常规 5 9 13" xfId="20063"/>
    <cellStyle name="常规 5 9 14" xfId="28081"/>
    <cellStyle name="常规 5 9 15" xfId="28082"/>
    <cellStyle name="常规 5 9 16" xfId="28083"/>
    <cellStyle name="常规 5 9 2" xfId="28084"/>
    <cellStyle name="常规 5 9 2 2" xfId="28085"/>
    <cellStyle name="常规 5 9 2 3" xfId="28086"/>
    <cellStyle name="常规 5 9 3" xfId="28088"/>
    <cellStyle name="常规 5 9 4" xfId="28090"/>
    <cellStyle name="常规 5 9 5" xfId="28092"/>
    <cellStyle name="常规 5 9 6" xfId="28094"/>
    <cellStyle name="常规 5 9 7" xfId="20477"/>
    <cellStyle name="常规 5 9 8" xfId="28096"/>
    <cellStyle name="常规 5 9 9" xfId="28011"/>
    <cellStyle name="常规 5_集团版本-绿洲35-36、46-55#装修工程清单" xfId="28097"/>
    <cellStyle name="常规 50" xfId="27784"/>
    <cellStyle name="常规 50 2" xfId="11807"/>
    <cellStyle name="常规 51" xfId="27787"/>
    <cellStyle name="常规 51 2" xfId="5928"/>
    <cellStyle name="常规 52" xfId="27791"/>
    <cellStyle name="常规 52 2" xfId="11840"/>
    <cellStyle name="常规 53" xfId="27793"/>
    <cellStyle name="常规 53 2" xfId="11858"/>
    <cellStyle name="常规 54" xfId="27795"/>
    <cellStyle name="常规 54 2" xfId="27798"/>
    <cellStyle name="常规 55" xfId="28098"/>
    <cellStyle name="常规 56" xfId="16147"/>
    <cellStyle name="常规 56 2" xfId="28105"/>
    <cellStyle name="常规 56 2 2" xfId="28107"/>
    <cellStyle name="常规 56 2 2 2" xfId="28108"/>
    <cellStyle name="常规 56 2 2 2 2" xfId="27804"/>
    <cellStyle name="常规 56 2 2 2 2 2" xfId="28110"/>
    <cellStyle name="常规 56 2 2 2 3" xfId="27806"/>
    <cellStyle name="常规 56 2 2 2 3 2" xfId="28112"/>
    <cellStyle name="常规 56 2 2 2 4" xfId="20378"/>
    <cellStyle name="常规 56 2 2 3" xfId="28113"/>
    <cellStyle name="常规 56 2 2 3 2" xfId="28115"/>
    <cellStyle name="常规 56 2 2 4" xfId="28116"/>
    <cellStyle name="常规 56 2 2 4 2" xfId="22237"/>
    <cellStyle name="常规 56 2 2 5" xfId="28117"/>
    <cellStyle name="常规 56 2 3" xfId="21837"/>
    <cellStyle name="常规 56 2 3 2" xfId="28119"/>
    <cellStyle name="常规 56 2 3 2 2" xfId="28122"/>
    <cellStyle name="常规 56 2 3 3" xfId="28124"/>
    <cellStyle name="常规 56 2 3 3 2" xfId="28126"/>
    <cellStyle name="常规 56 2 3 4" xfId="28128"/>
    <cellStyle name="常规 56 2 4" xfId="9809"/>
    <cellStyle name="常规 56 2 4 2" xfId="9812"/>
    <cellStyle name="常规 56 2 4 2 2" xfId="28129"/>
    <cellStyle name="常规 56 2 4 3" xfId="25875"/>
    <cellStyle name="常规 56 2 4 3 2" xfId="28130"/>
    <cellStyle name="常规 56 2 4 4" xfId="25877"/>
    <cellStyle name="常规 56 2 5" xfId="9814"/>
    <cellStyle name="常规 56 2 5 2" xfId="9816"/>
    <cellStyle name="常规 56 2 6" xfId="2889"/>
    <cellStyle name="常规 56 2 6 2" xfId="9819"/>
    <cellStyle name="常规 56 2 7" xfId="9821"/>
    <cellStyle name="常规 56 2 8" xfId="28131"/>
    <cellStyle name="常规 56 3" xfId="14596"/>
    <cellStyle name="常规 56 3 2" xfId="21121"/>
    <cellStyle name="常规 56 4" xfId="28132"/>
    <cellStyle name="常规 56 5" xfId="28133"/>
    <cellStyle name="常规 57" xfId="10113"/>
    <cellStyle name="常规 57 2" xfId="28135"/>
    <cellStyle name="常规 57 2 2" xfId="28137"/>
    <cellStyle name="常规 58" xfId="28140"/>
    <cellStyle name="常规 59" xfId="28142"/>
    <cellStyle name="常规 59 2" xfId="28144"/>
    <cellStyle name="常规 6" xfId="28146"/>
    <cellStyle name="常规 6 10" xfId="15016"/>
    <cellStyle name="常规 6 10 10" xfId="24735"/>
    <cellStyle name="常规 6 10 11" xfId="15037"/>
    <cellStyle name="常规 6 10 12" xfId="24743"/>
    <cellStyle name="常规 6 10 13" xfId="24745"/>
    <cellStyle name="常规 6 10 14" xfId="28147"/>
    <cellStyle name="常规 6 10 15" xfId="6843"/>
    <cellStyle name="常规 6 10 16" xfId="19305"/>
    <cellStyle name="常规 6 10 17" xfId="28148"/>
    <cellStyle name="常规 6 10 2" xfId="15018"/>
    <cellStyle name="常规 6 10 3" xfId="28149"/>
    <cellStyle name="常规 6 10 4" xfId="28151"/>
    <cellStyle name="常规 6 10 5" xfId="19950"/>
    <cellStyle name="常规 6 10 6" xfId="28152"/>
    <cellStyle name="常规 6 10 7" xfId="28153"/>
    <cellStyle name="常规 6 10 8" xfId="2435"/>
    <cellStyle name="常规 6 10 9" xfId="28155"/>
    <cellStyle name="常规 6 11" xfId="14835"/>
    <cellStyle name="常规 6 11 10" xfId="1848"/>
    <cellStyle name="常规 6 11 11" xfId="1855"/>
    <cellStyle name="常规 6 11 12" xfId="5418"/>
    <cellStyle name="常规 6 11 13" xfId="3447"/>
    <cellStyle name="常规 6 11 14" xfId="3461"/>
    <cellStyle name="常规 6 11 15" xfId="3475"/>
    <cellStyle name="常规 6 11 16" xfId="10098"/>
    <cellStyle name="常规 6 11 17" xfId="28157"/>
    <cellStyle name="常规 6 11 2" xfId="15021"/>
    <cellStyle name="常规 6 11 3" xfId="28158"/>
    <cellStyle name="常规 6 11 4" xfId="28159"/>
    <cellStyle name="常规 6 11 5" xfId="28161"/>
    <cellStyle name="常规 6 11 6" xfId="28162"/>
    <cellStyle name="常规 6 11 7" xfId="28163"/>
    <cellStyle name="常规 6 11 8" xfId="5218"/>
    <cellStyle name="常规 6 11 9" xfId="8308"/>
    <cellStyle name="常规 6 12" xfId="15024"/>
    <cellStyle name="常规 6 12 2" xfId="25690"/>
    <cellStyle name="常规 6 12 3" xfId="28164"/>
    <cellStyle name="常规 6 13" xfId="28165"/>
    <cellStyle name="常规 6 13 2" xfId="20335"/>
    <cellStyle name="常规 6 13 3" xfId="28166"/>
    <cellStyle name="常规 6 14" xfId="28167"/>
    <cellStyle name="常规 6 14 2" xfId="25704"/>
    <cellStyle name="常规 6 14 3" xfId="28169"/>
    <cellStyle name="常规 6 15" xfId="28170"/>
    <cellStyle name="常规 6 15 2" xfId="25710"/>
    <cellStyle name="常规 6 15 3" xfId="28172"/>
    <cellStyle name="常规 6 16" xfId="28174"/>
    <cellStyle name="常规 6 16 2" xfId="25725"/>
    <cellStyle name="常规 6 16 3" xfId="28176"/>
    <cellStyle name="常规 6 17" xfId="28178"/>
    <cellStyle name="常规 6 17 2" xfId="25736"/>
    <cellStyle name="常规 6 17 3" xfId="28180"/>
    <cellStyle name="常规 6 18" xfId="9330"/>
    <cellStyle name="常规 6 18 2" xfId="25750"/>
    <cellStyle name="常规 6 18 3" xfId="28182"/>
    <cellStyle name="常规 6 19" xfId="28184"/>
    <cellStyle name="常规 6 19 2" xfId="25762"/>
    <cellStyle name="常规 6 19 3" xfId="28186"/>
    <cellStyle name="常规 6 2" xfId="28188"/>
    <cellStyle name="常规 6 2 10" xfId="3520"/>
    <cellStyle name="常规 6 2 11" xfId="2774"/>
    <cellStyle name="常规 6 2 12" xfId="28192"/>
    <cellStyle name="常规 6 2 13" xfId="28194"/>
    <cellStyle name="常规 6 2 14" xfId="28195"/>
    <cellStyle name="常规 6 2 15" xfId="28196"/>
    <cellStyle name="常规 6 2 16" xfId="28197"/>
    <cellStyle name="常规 6 2 17" xfId="17933"/>
    <cellStyle name="常规 6 2 18" xfId="4053"/>
    <cellStyle name="常规 6 2 2" xfId="11657"/>
    <cellStyle name="常规 6 2 2 2" xfId="11659"/>
    <cellStyle name="常规 6 2 2 2 2" xfId="7331"/>
    <cellStyle name="常规 6 2 2 2 3" xfId="27175"/>
    <cellStyle name="常规 6 2 2 3" xfId="11663"/>
    <cellStyle name="常规 6 2 3" xfId="11678"/>
    <cellStyle name="常规 6 2 3 2" xfId="11680"/>
    <cellStyle name="常规 6 2 3 3" xfId="11683"/>
    <cellStyle name="常规 6 2 4" xfId="11693"/>
    <cellStyle name="常规 6 2 4 2" xfId="11697"/>
    <cellStyle name="常规 6 2 4 3" xfId="11700"/>
    <cellStyle name="常规 6 2 5" xfId="11717"/>
    <cellStyle name="常规 6 2 5 2" xfId="11719"/>
    <cellStyle name="常规 6 2 5 3" xfId="11722"/>
    <cellStyle name="常规 6 2 6" xfId="28200"/>
    <cellStyle name="常规 6 2 6 2" xfId="9759"/>
    <cellStyle name="常规 6 2 6 3" xfId="23179"/>
    <cellStyle name="常规 6 2 7" xfId="26462"/>
    <cellStyle name="常规 6 2 7 2" xfId="27678"/>
    <cellStyle name="常规 6 2 7 3" xfId="23194"/>
    <cellStyle name="常规 6 2 8" xfId="28201"/>
    <cellStyle name="常规 6 2 8 2" xfId="28202"/>
    <cellStyle name="常规 6 2 8 3" xfId="23212"/>
    <cellStyle name="常规 6 2 9" xfId="28203"/>
    <cellStyle name="常规 6 20" xfId="28171"/>
    <cellStyle name="常规 6 20 2" xfId="25711"/>
    <cellStyle name="常规 6 20 3" xfId="28173"/>
    <cellStyle name="常规 6 21" xfId="28175"/>
    <cellStyle name="常规 6 21 2" xfId="25726"/>
    <cellStyle name="常规 6 21 3" xfId="28177"/>
    <cellStyle name="常规 6 22" xfId="28179"/>
    <cellStyle name="常规 6 22 2" xfId="25737"/>
    <cellStyle name="常规 6 22 3" xfId="28181"/>
    <cellStyle name="常规 6 23" xfId="9331"/>
    <cellStyle name="常规 6 23 2" xfId="25751"/>
    <cellStyle name="常规 6 23 3" xfId="28183"/>
    <cellStyle name="常规 6 24" xfId="28185"/>
    <cellStyle name="常规 6 24 2" xfId="25763"/>
    <cellStyle name="常规 6 24 3" xfId="28187"/>
    <cellStyle name="常规 6 25" xfId="2958"/>
    <cellStyle name="常规 6 25 2" xfId="25774"/>
    <cellStyle name="常规 6 25 3" xfId="28205"/>
    <cellStyle name="常规 6 26" xfId="28208"/>
    <cellStyle name="常规 6 26 2" xfId="25812"/>
    <cellStyle name="常规 6 27" xfId="28212"/>
    <cellStyle name="常规 6 27 2" xfId="25821"/>
    <cellStyle name="常规 6 28" xfId="21355"/>
    <cellStyle name="常规 6 28 2" xfId="25830"/>
    <cellStyle name="常规 6 29" xfId="10641"/>
    <cellStyle name="常规 6 29 2" xfId="25838"/>
    <cellStyle name="常规 6 3" xfId="28214"/>
    <cellStyle name="常规 6 3 10" xfId="24936"/>
    <cellStyle name="常规 6 3 11" xfId="28215"/>
    <cellStyle name="常规 6 3 12" xfId="28216"/>
    <cellStyle name="常规 6 3 13" xfId="28217"/>
    <cellStyle name="常规 6 3 14" xfId="28218"/>
    <cellStyle name="常规 6 3 15" xfId="28220"/>
    <cellStyle name="常规 6 3 16" xfId="28221"/>
    <cellStyle name="常规 6 3 16 2" xfId="28224"/>
    <cellStyle name="常规 6 3 2" xfId="11851"/>
    <cellStyle name="常规 6 3 2 2" xfId="11853"/>
    <cellStyle name="常规 6 3 2 3" xfId="11856"/>
    <cellStyle name="常规 6 3 3" xfId="11866"/>
    <cellStyle name="常规 6 3 4" xfId="11869"/>
    <cellStyle name="常规 6 3 5" xfId="11871"/>
    <cellStyle name="常规 6 3 6" xfId="28226"/>
    <cellStyle name="常规 6 3 7" xfId="28227"/>
    <cellStyle name="常规 6 3 8" xfId="28228"/>
    <cellStyle name="常规 6 3 9" xfId="26251"/>
    <cellStyle name="常规 6 30" xfId="2959"/>
    <cellStyle name="常规 6 30 2" xfId="25775"/>
    <cellStyle name="常规 6 31" xfId="28209"/>
    <cellStyle name="常规 6 31 2" xfId="25813"/>
    <cellStyle name="常规 6 32" xfId="28213"/>
    <cellStyle name="常规 6 32 2" xfId="25822"/>
    <cellStyle name="常规 6 33" xfId="21356"/>
    <cellStyle name="常规 6 33 2" xfId="25831"/>
    <cellStyle name="常规 6 33 2 2" xfId="28229"/>
    <cellStyle name="常规 6 33 3" xfId="28230"/>
    <cellStyle name="常规 6 33 3 2" xfId="28231"/>
    <cellStyle name="常规 6 33 4" xfId="28233"/>
    <cellStyle name="常规 6 34" xfId="10642"/>
    <cellStyle name="常规 6 34 2" xfId="25839"/>
    <cellStyle name="常规 6 34 2 2" xfId="28236"/>
    <cellStyle name="常规 6 34 3" xfId="28237"/>
    <cellStyle name="常规 6 34 3 2" xfId="28238"/>
    <cellStyle name="常规 6 34 4" xfId="28240"/>
    <cellStyle name="常规 6 35" xfId="28241"/>
    <cellStyle name="常规 6 35 2" xfId="25851"/>
    <cellStyle name="常规 6 36" xfId="28243"/>
    <cellStyle name="常规 6 36 2" xfId="28246"/>
    <cellStyle name="常规 6 37" xfId="26884"/>
    <cellStyle name="常规 6 37 2" xfId="28249"/>
    <cellStyle name="常规 6 38" xfId="27291"/>
    <cellStyle name="常规 6 38 2" xfId="28252"/>
    <cellStyle name="常规 6 39" xfId="9855"/>
    <cellStyle name="常规 6 39 2" xfId="28255"/>
    <cellStyle name="常规 6 4" xfId="28257"/>
    <cellStyle name="常规 6 4 10" xfId="28258"/>
    <cellStyle name="常规 6 4 11" xfId="28259"/>
    <cellStyle name="常规 6 4 12" xfId="28260"/>
    <cellStyle name="常规 6 4 13" xfId="28262"/>
    <cellStyle name="常规 6 4 14" xfId="28263"/>
    <cellStyle name="常规 6 4 15" xfId="28264"/>
    <cellStyle name="常规 6 4 16" xfId="21936"/>
    <cellStyle name="常规 6 4 16 2" xfId="28265"/>
    <cellStyle name="常规 6 4 2" xfId="11904"/>
    <cellStyle name="常规 6 4 2 2" xfId="28267"/>
    <cellStyle name="常规 6 4 2 3" xfId="28270"/>
    <cellStyle name="常规 6 4 3" xfId="6427"/>
    <cellStyle name="常规 6 4 4" xfId="28271"/>
    <cellStyle name="常规 6 4 5" xfId="28272"/>
    <cellStyle name="常规 6 4 6" xfId="28273"/>
    <cellStyle name="常规 6 4 7" xfId="28274"/>
    <cellStyle name="常规 6 4 8" xfId="28275"/>
    <cellStyle name="常规 6 4 9" xfId="26253"/>
    <cellStyle name="常规 6 40" xfId="28242"/>
    <cellStyle name="常规 6 40 2" xfId="25852"/>
    <cellStyle name="常规 6 40 2 2" xfId="28277"/>
    <cellStyle name="常规 6 40 3" xfId="28279"/>
    <cellStyle name="常规 6 40 3 2" xfId="12590"/>
    <cellStyle name="常规 6 40 4" xfId="28280"/>
    <cellStyle name="常规 6 41" xfId="28244"/>
    <cellStyle name="常规 6 41 2" xfId="28247"/>
    <cellStyle name="常规 6 41 2 2" xfId="28282"/>
    <cellStyle name="常规 6 41 3" xfId="28283"/>
    <cellStyle name="常规 6 41 3 2" xfId="28284"/>
    <cellStyle name="常规 6 41 4" xfId="28285"/>
    <cellStyle name="常规 6 42" xfId="26885"/>
    <cellStyle name="常规 6 42 2" xfId="28250"/>
    <cellStyle name="常规 6 42 2 2" xfId="14277"/>
    <cellStyle name="常规 6 42 3" xfId="19585"/>
    <cellStyle name="常规 6 42 3 2" xfId="14374"/>
    <cellStyle name="常规 6 42 4" xfId="19587"/>
    <cellStyle name="常规 6 43" xfId="27292"/>
    <cellStyle name="常规 6 43 2" xfId="28253"/>
    <cellStyle name="常规 6 43 2 2" xfId="14683"/>
    <cellStyle name="常规 6 43 3" xfId="28286"/>
    <cellStyle name="常规 6 43 3 2" xfId="14702"/>
    <cellStyle name="常规 6 43 4" xfId="28288"/>
    <cellStyle name="常规 6 44" xfId="9856"/>
    <cellStyle name="常规 6 44 2" xfId="28256"/>
    <cellStyle name="常规 6 44 2 2" xfId="14859"/>
    <cellStyle name="常规 6 44 3" xfId="28289"/>
    <cellStyle name="常规 6 44 3 2" xfId="14866"/>
    <cellStyle name="常规 6 44 4" xfId="28291"/>
    <cellStyle name="常规 6 45" xfId="28292"/>
    <cellStyle name="常规 6 45 2" xfId="28295"/>
    <cellStyle name="常规 6 45 2 2" xfId="15033"/>
    <cellStyle name="常规 6 45 3" xfId="28297"/>
    <cellStyle name="常规 6 45 3 2" xfId="15040"/>
    <cellStyle name="常规 6 45 4" xfId="28300"/>
    <cellStyle name="常规 6 46" xfId="28302"/>
    <cellStyle name="常规 6 46 2" xfId="537"/>
    <cellStyle name="常规 6 46 2 2" xfId="1417"/>
    <cellStyle name="常规 6 46 3" xfId="548"/>
    <cellStyle name="常规 6 46 3 2" xfId="4102"/>
    <cellStyle name="常规 6 46 4" xfId="4105"/>
    <cellStyle name="常规 6 47" xfId="19157"/>
    <cellStyle name="常规 6 47 2" xfId="4115"/>
    <cellStyle name="常规 6 47 2 2" xfId="4118"/>
    <cellStyle name="常规 6 47 3" xfId="4124"/>
    <cellStyle name="常规 6 47 3 2" xfId="4127"/>
    <cellStyle name="常规 6 47 4" xfId="4131"/>
    <cellStyle name="常规 6 48" xfId="28304"/>
    <cellStyle name="常规 6 48 2" xfId="4140"/>
    <cellStyle name="常规 6 48 2 2" xfId="4144"/>
    <cellStyle name="常规 6 48 3" xfId="4153"/>
    <cellStyle name="常规 6 48 3 2" xfId="28306"/>
    <cellStyle name="常规 6 48 4" xfId="28309"/>
    <cellStyle name="常规 6 49" xfId="24176"/>
    <cellStyle name="常规 6 49 2" xfId="24191"/>
    <cellStyle name="常规 6 49 2 2" xfId="17654"/>
    <cellStyle name="常规 6 49 3" xfId="24194"/>
    <cellStyle name="常规 6 49 3 2" xfId="28311"/>
    <cellStyle name="常规 6 49 4" xfId="24198"/>
    <cellStyle name="常规 6 5" xfId="10225"/>
    <cellStyle name="常规 6 5 10" xfId="5784"/>
    <cellStyle name="常规 6 5 11" xfId="28313"/>
    <cellStyle name="常规 6 5 12" xfId="28118"/>
    <cellStyle name="常规 6 5 13" xfId="28123"/>
    <cellStyle name="常规 6 5 14" xfId="28127"/>
    <cellStyle name="常规 6 5 15" xfId="28314"/>
    <cellStyle name="常规 6 5 16" xfId="28317"/>
    <cellStyle name="常规 6 5 16 2" xfId="28321"/>
    <cellStyle name="常规 6 5 2" xfId="10227"/>
    <cellStyle name="常规 6 5 2 2" xfId="28322"/>
    <cellStyle name="常规 6 5 2 3" xfId="28323"/>
    <cellStyle name="常规 6 5 3" xfId="3142"/>
    <cellStyle name="常规 6 5 4" xfId="28324"/>
    <cellStyle name="常规 6 5 5" xfId="28325"/>
    <cellStyle name="常规 6 5 6" xfId="28326"/>
    <cellStyle name="常规 6 5 7" xfId="28327"/>
    <cellStyle name="常规 6 5 8" xfId="28328"/>
    <cellStyle name="常规 6 5 9" xfId="28329"/>
    <cellStyle name="常规 6 50" xfId="28293"/>
    <cellStyle name="常规 6 50 2" xfId="28296"/>
    <cellStyle name="常规 6 50 2 2" xfId="15034"/>
    <cellStyle name="常规 6 50 3" xfId="28298"/>
    <cellStyle name="常规 6 50 3 2" xfId="15041"/>
    <cellStyle name="常规 6 50 4" xfId="28301"/>
    <cellStyle name="常规 6 51" xfId="28303"/>
    <cellStyle name="常规 6 51 2" xfId="538"/>
    <cellStyle name="常规 6 51 2 2" xfId="1418"/>
    <cellStyle name="常规 6 51 3" xfId="549"/>
    <cellStyle name="常规 6 51 3 2" xfId="4103"/>
    <cellStyle name="常规 6 51 4" xfId="4106"/>
    <cellStyle name="常规 6 52" xfId="19158"/>
    <cellStyle name="常规 6 52 2" xfId="4116"/>
    <cellStyle name="常规 6 52 2 2" xfId="4119"/>
    <cellStyle name="常规 6 52 3" xfId="4125"/>
    <cellStyle name="常规 6 52 3 2" xfId="4128"/>
    <cellStyle name="常规 6 52 4" xfId="4132"/>
    <cellStyle name="常规 6 53" xfId="28305"/>
    <cellStyle name="常规 6 53 2" xfId="4141"/>
    <cellStyle name="常规 6 53 2 2" xfId="4145"/>
    <cellStyle name="常规 6 53 3" xfId="4154"/>
    <cellStyle name="常规 6 53 3 2" xfId="28307"/>
    <cellStyle name="常规 6 53 4" xfId="28310"/>
    <cellStyle name="常规 6 54" xfId="24177"/>
    <cellStyle name="常规 6 54 2" xfId="24192"/>
    <cellStyle name="常规 6 54 2 2" xfId="17655"/>
    <cellStyle name="常规 6 54 3" xfId="24195"/>
    <cellStyle name="常规 6 54 3 2" xfId="28312"/>
    <cellStyle name="常规 6 54 4" xfId="24199"/>
    <cellStyle name="常规 6 55" xfId="15029"/>
    <cellStyle name="常规 6 55 2" xfId="24241"/>
    <cellStyle name="常规 6 55 2 2" xfId="28330"/>
    <cellStyle name="常规 6 55 3" xfId="16190"/>
    <cellStyle name="常规 6 55 3 2" xfId="28331"/>
    <cellStyle name="常规 6 55 4" xfId="24243"/>
    <cellStyle name="常规 6 56" xfId="14841"/>
    <cellStyle name="常规 6 56 2" xfId="24281"/>
    <cellStyle name="常规 6 56 2 2" xfId="28332"/>
    <cellStyle name="常规 6 56 3" xfId="16194"/>
    <cellStyle name="常规 6 56 3 2" xfId="28333"/>
    <cellStyle name="常规 6 56 4" xfId="19081"/>
    <cellStyle name="常规 6 57" xfId="24315"/>
    <cellStyle name="常规 6 57 2" xfId="24332"/>
    <cellStyle name="常规 6 57 2 2" xfId="4369"/>
    <cellStyle name="常规 6 57 3" xfId="16198"/>
    <cellStyle name="常规 6 57 3 2" xfId="4401"/>
    <cellStyle name="常规 6 57 4" xfId="24334"/>
    <cellStyle name="常规 6 58" xfId="24365"/>
    <cellStyle name="常规 6 58 2" xfId="24370"/>
    <cellStyle name="常规 6 58 2 2" xfId="28335"/>
    <cellStyle name="常规 6 58 3" xfId="24374"/>
    <cellStyle name="常规 6 58 3 2" xfId="28338"/>
    <cellStyle name="常规 6 58 4" xfId="24377"/>
    <cellStyle name="常规 6 59" xfId="24383"/>
    <cellStyle name="常规 6 59 2" xfId="24396"/>
    <cellStyle name="常规 6 59 2 2" xfId="28339"/>
    <cellStyle name="常规 6 59 3" xfId="24399"/>
    <cellStyle name="常规 6 59 3 2" xfId="28341"/>
    <cellStyle name="常规 6 59 4" xfId="24402"/>
    <cellStyle name="常规 6 6" xfId="10230"/>
    <cellStyle name="常规 6 6 10" xfId="10745"/>
    <cellStyle name="常规 6 6 11" xfId="10766"/>
    <cellStyle name="常规 6 6 12" xfId="10775"/>
    <cellStyle name="常规 6 6 13" xfId="5183"/>
    <cellStyle name="常规 6 6 14" xfId="10784"/>
    <cellStyle name="常规 6 6 15" xfId="8435"/>
    <cellStyle name="常规 6 6 16" xfId="23139"/>
    <cellStyle name="常规 6 6 16 2" xfId="28342"/>
    <cellStyle name="常规 6 6 2" xfId="10233"/>
    <cellStyle name="常规 6 6 2 2" xfId="20071"/>
    <cellStyle name="常规 6 6 2 3" xfId="28343"/>
    <cellStyle name="常规 6 6 3" xfId="20074"/>
    <cellStyle name="常规 6 6 4" xfId="20079"/>
    <cellStyle name="常规 6 6 5" xfId="28345"/>
    <cellStyle name="常规 6 6 6" xfId="28346"/>
    <cellStyle name="常规 6 6 7" xfId="28347"/>
    <cellStyle name="常规 6 6 8" xfId="28348"/>
    <cellStyle name="常规 6 6 9" xfId="28349"/>
    <cellStyle name="常规 6 60" xfId="15030"/>
    <cellStyle name="常规 6 61" xfId="14842"/>
    <cellStyle name="常规 6 7" xfId="10236"/>
    <cellStyle name="常规 6 7 10" xfId="10927"/>
    <cellStyle name="常规 6 7 11" xfId="10935"/>
    <cellStyle name="常规 6 7 12" xfId="28353"/>
    <cellStyle name="常规 6 7 13" xfId="28356"/>
    <cellStyle name="常规 6 7 14" xfId="28357"/>
    <cellStyle name="常规 6 7 15" xfId="28358"/>
    <cellStyle name="常规 6 7 16" xfId="28359"/>
    <cellStyle name="常规 6 7 2" xfId="10239"/>
    <cellStyle name="常规 6 7 3" xfId="28361"/>
    <cellStyle name="常规 6 7 4" xfId="28363"/>
    <cellStyle name="常规 6 7 5" xfId="28364"/>
    <cellStyle name="常规 6 7 6" xfId="28365"/>
    <cellStyle name="常规 6 7 7" xfId="28366"/>
    <cellStyle name="常规 6 7 8" xfId="28367"/>
    <cellStyle name="常规 6 7 9" xfId="28368"/>
    <cellStyle name="常规 6 8" xfId="10243"/>
    <cellStyle name="常规 6 8 10" xfId="24968"/>
    <cellStyle name="常规 6 8 11" xfId="28369"/>
    <cellStyle name="常规 6 8 12" xfId="28370"/>
    <cellStyle name="常规 6 8 13" xfId="28371"/>
    <cellStyle name="常规 6 8 14" xfId="28372"/>
    <cellStyle name="常规 6 8 15" xfId="28373"/>
    <cellStyle name="常规 6 8 16" xfId="28374"/>
    <cellStyle name="常规 6 8 2" xfId="28375"/>
    <cellStyle name="常规 6 8 3" xfId="28376"/>
    <cellStyle name="常规 6 8 4" xfId="28377"/>
    <cellStyle name="常规 6 8 5" xfId="19593"/>
    <cellStyle name="常规 6 8 6" xfId="19595"/>
    <cellStyle name="常规 6 8 7" xfId="19600"/>
    <cellStyle name="常规 6 8 8" xfId="19602"/>
    <cellStyle name="常规 6 8 9" xfId="19605"/>
    <cellStyle name="常规 6 9" xfId="28378"/>
    <cellStyle name="常规 6 9 10" xfId="20944"/>
    <cellStyle name="常规 6 9 11" xfId="28379"/>
    <cellStyle name="常规 6 9 12" xfId="28380"/>
    <cellStyle name="常规 6 9 13" xfId="28382"/>
    <cellStyle name="常规 6 9 14" xfId="28383"/>
    <cellStyle name="常规 6 9 15" xfId="28384"/>
    <cellStyle name="常规 6 9 16" xfId="28385"/>
    <cellStyle name="常规 6 9 17" xfId="28386"/>
    <cellStyle name="常规 6 9 2" xfId="24155"/>
    <cellStyle name="常规 6 9 3" xfId="24163"/>
    <cellStyle name="常规 6 9 4" xfId="24171"/>
    <cellStyle name="常规 6 9 5" xfId="24204"/>
    <cellStyle name="常规 6 9 6" xfId="24213"/>
    <cellStyle name="常规 6 9 7" xfId="24219"/>
    <cellStyle name="常规 6 9 8" xfId="24226"/>
    <cellStyle name="常规 6 9 9" xfId="24231"/>
    <cellStyle name="常规 6_综合楼7装修工程量清单(1)-7.5" xfId="28387"/>
    <cellStyle name="常规 60" xfId="28099"/>
    <cellStyle name="常规 60 2" xfId="19430"/>
    <cellStyle name="常规 61" xfId="16148"/>
    <cellStyle name="常规 61 2" xfId="28106"/>
    <cellStyle name="常规 62" xfId="10114"/>
    <cellStyle name="常规 62 2" xfId="28136"/>
    <cellStyle name="常规 63" xfId="28141"/>
    <cellStyle name="常规 63 2" xfId="28388"/>
    <cellStyle name="常规 64" xfId="28143"/>
    <cellStyle name="常规 64 2" xfId="28145"/>
    <cellStyle name="常规 65" xfId="26150"/>
    <cellStyle name="常规 65 2" xfId="26153"/>
    <cellStyle name="常规 66" xfId="26157"/>
    <cellStyle name="常规 66 2" xfId="17531"/>
    <cellStyle name="常规 67" xfId="26160"/>
    <cellStyle name="常规 67 2" xfId="17542"/>
    <cellStyle name="常规 68" xfId="28389"/>
    <cellStyle name="常规 68 2" xfId="28391"/>
    <cellStyle name="常规 69" xfId="28393"/>
    <cellStyle name="常规 69 2" xfId="28397"/>
    <cellStyle name="常规 7" xfId="20119"/>
    <cellStyle name="常规 7 10" xfId="11119"/>
    <cellStyle name="常规 7 10 2" xfId="24632"/>
    <cellStyle name="常规 7 10 3" xfId="24635"/>
    <cellStyle name="常规 7 11" xfId="24637"/>
    <cellStyle name="常规 7 11 2" xfId="24641"/>
    <cellStyle name="常规 7 11 3" xfId="24644"/>
    <cellStyle name="常规 7 12" xfId="3006"/>
    <cellStyle name="常规 7 12 2" xfId="3012"/>
    <cellStyle name="常规 7 12 3" xfId="3025"/>
    <cellStyle name="常规 7 13" xfId="3047"/>
    <cellStyle name="常规 7 13 2" xfId="3054"/>
    <cellStyle name="常规 7 13 3" xfId="3063"/>
    <cellStyle name="常规 7 14" xfId="3081"/>
    <cellStyle name="常规 7 14 2" xfId="3086"/>
    <cellStyle name="常规 7 14 3" xfId="8128"/>
    <cellStyle name="常规 7 15" xfId="3093"/>
    <cellStyle name="常规 7 15 2" xfId="8186"/>
    <cellStyle name="常规 7 15 3" xfId="8193"/>
    <cellStyle name="常规 7 16" xfId="24648"/>
    <cellStyle name="常规 7 16 2" xfId="8238"/>
    <cellStyle name="常规 7 16 3" xfId="8245"/>
    <cellStyle name="常规 7 17" xfId="28400"/>
    <cellStyle name="常规 7 17 2" xfId="8293"/>
    <cellStyle name="常规 7 17 3" xfId="8300"/>
    <cellStyle name="常规 7 18" xfId="28402"/>
    <cellStyle name="常规 7 18 2" xfId="8348"/>
    <cellStyle name="常规 7 18 3" xfId="8355"/>
    <cellStyle name="常规 7 19" xfId="28404"/>
    <cellStyle name="常规 7 19 2" xfId="8403"/>
    <cellStyle name="常规 7 19 3" xfId="8409"/>
    <cellStyle name="常规 7 2" xfId="20121"/>
    <cellStyle name="常规 7 2 2" xfId="20123"/>
    <cellStyle name="常规 7 2 2 2" xfId="28406"/>
    <cellStyle name="常规 7 2 2 2 2" xfId="28407"/>
    <cellStyle name="常规 7 2 2 2 2 2" xfId="22965"/>
    <cellStyle name="常规 7 2 2 2 2 3" xfId="22968"/>
    <cellStyle name="常规 7 2 2 2 3" xfId="7916"/>
    <cellStyle name="常规 7 2 2 2 4" xfId="28408"/>
    <cellStyle name="常规 7 2 2 2_武汉名都样板房装修清单  首二期2010.8.13" xfId="28409"/>
    <cellStyle name="常规 7 2 2 3" xfId="28410"/>
    <cellStyle name="常规 7 2 2 3 2" xfId="12863"/>
    <cellStyle name="常规 7 2 2 4" xfId="28411"/>
    <cellStyle name="常规 7 2 2 5" xfId="28412"/>
    <cellStyle name="常规 7 2 2 6" xfId="2129"/>
    <cellStyle name="常规 7 2 2_武汉名都样板房装修清单  首二期2010.8.13" xfId="10071"/>
    <cellStyle name="常规 7 2 3" xfId="28413"/>
    <cellStyle name="常规 7 2 3 2" xfId="28414"/>
    <cellStyle name="常规 7 2 3 2 2" xfId="17133"/>
    <cellStyle name="常规 7 2 3 3" xfId="28416"/>
    <cellStyle name="常规 7 2 3 4" xfId="28418"/>
    <cellStyle name="常规 7 2 4" xfId="28419"/>
    <cellStyle name="常规 7 2 4 2" xfId="19442"/>
    <cellStyle name="常规 7 2 5" xfId="17561"/>
    <cellStyle name="常规 7 2 5 2" xfId="19453"/>
    <cellStyle name="常规 7 2 6" xfId="28420"/>
    <cellStyle name="常规 7 2_武汉名都样板房装修清单  首二期2010.8.13" xfId="20576"/>
    <cellStyle name="常规 7 20" xfId="3094"/>
    <cellStyle name="常规 7 20 2" xfId="8187"/>
    <cellStyle name="常规 7 20 3" xfId="8194"/>
    <cellStyle name="常规 7 21" xfId="24649"/>
    <cellStyle name="常规 7 21 2" xfId="8239"/>
    <cellStyle name="常规 7 21 3" xfId="8246"/>
    <cellStyle name="常规 7 22" xfId="28401"/>
    <cellStyle name="常规 7 22 2" xfId="8294"/>
    <cellStyle name="常规 7 22 3" xfId="8301"/>
    <cellStyle name="常规 7 23" xfId="28403"/>
    <cellStyle name="常规 7 23 2" xfId="8349"/>
    <cellStyle name="常规 7 24" xfId="28405"/>
    <cellStyle name="常规 7 24 2" xfId="8404"/>
    <cellStyle name="常规 7 25" xfId="28421"/>
    <cellStyle name="常规 7 25 2" xfId="23226"/>
    <cellStyle name="常规 7 26" xfId="28423"/>
    <cellStyle name="常规 7 26 2" xfId="26162"/>
    <cellStyle name="常规 7 27" xfId="28425"/>
    <cellStyle name="常规 7 27 2" xfId="26169"/>
    <cellStyle name="常规 7 28" xfId="28427"/>
    <cellStyle name="常规 7 28 2" xfId="26177"/>
    <cellStyle name="常规 7 29" xfId="28429"/>
    <cellStyle name="常规 7 29 2" xfId="26185"/>
    <cellStyle name="常规 7 3" xfId="12954"/>
    <cellStyle name="常规 7 3 2" xfId="20126"/>
    <cellStyle name="常规 7 3 2 2" xfId="28431"/>
    <cellStyle name="常规 7 3 2 2 2" xfId="20067"/>
    <cellStyle name="常规 7 3 2 3" xfId="28432"/>
    <cellStyle name="常规 7 3 2 4" xfId="14770"/>
    <cellStyle name="常规 7 3 3" xfId="28433"/>
    <cellStyle name="常规 7 3 4" xfId="28434"/>
    <cellStyle name="常规 7 3 5" xfId="28435"/>
    <cellStyle name="常规 7 30" xfId="28422"/>
    <cellStyle name="常规 7 30 2" xfId="23227"/>
    <cellStyle name="常规 7 31" xfId="28424"/>
    <cellStyle name="常规 7 31 2" xfId="26163"/>
    <cellStyle name="常规 7 32" xfId="28426"/>
    <cellStyle name="常规 7 32 2" xfId="26170"/>
    <cellStyle name="常规 7 33" xfId="28428"/>
    <cellStyle name="常规 7 33 2" xfId="26178"/>
    <cellStyle name="常规 7 34" xfId="28430"/>
    <cellStyle name="常规 7 34 2" xfId="26186"/>
    <cellStyle name="常规 7 35" xfId="28436"/>
    <cellStyle name="常规 7 35 2" xfId="19871"/>
    <cellStyle name="常规 7 36" xfId="28438"/>
    <cellStyle name="常规 7 36 2" xfId="28440"/>
    <cellStyle name="常规 7 37" xfId="27314"/>
    <cellStyle name="常规 7 37 2" xfId="13715"/>
    <cellStyle name="常规 7 38" xfId="27318"/>
    <cellStyle name="常规 7 38 2" xfId="13728"/>
    <cellStyle name="常规 7 38 2 2" xfId="7850"/>
    <cellStyle name="常规 7 38 3" xfId="13732"/>
    <cellStyle name="常规 7 38 3 2" xfId="13737"/>
    <cellStyle name="常规 7 38 4" xfId="13743"/>
    <cellStyle name="常规 7 39" xfId="27322"/>
    <cellStyle name="常规 7 39 2" xfId="28442"/>
    <cellStyle name="常规 7 39 2 2" xfId="7897"/>
    <cellStyle name="常规 7 39 3" xfId="16621"/>
    <cellStyle name="常规 7 39 3 2" xfId="28445"/>
    <cellStyle name="常规 7 39 4" xfId="28446"/>
    <cellStyle name="常规 7 4" xfId="20128"/>
    <cellStyle name="常规 7 4 2" xfId="20130"/>
    <cellStyle name="常规 7 4 2 2" xfId="28447"/>
    <cellStyle name="常规 7 4 2 2 2" xfId="28448"/>
    <cellStyle name="常规 7 4 2 3" xfId="28449"/>
    <cellStyle name="常规 7 4 2 4" xfId="14814"/>
    <cellStyle name="常规 7 4 3" xfId="28450"/>
    <cellStyle name="常规 7 4 4" xfId="28451"/>
    <cellStyle name="常规 7 4 5" xfId="28452"/>
    <cellStyle name="常规 7 40" xfId="28437"/>
    <cellStyle name="常规 7 40 2" xfId="19872"/>
    <cellStyle name="常规 7 40 2 2" xfId="17753"/>
    <cellStyle name="常规 7 40 3" xfId="28453"/>
    <cellStyle name="常规 7 40 3 2" xfId="28454"/>
    <cellStyle name="常规 7 40 4" xfId="28455"/>
    <cellStyle name="常规 7 41" xfId="28439"/>
    <cellStyle name="常规 7 41 2" xfId="28441"/>
    <cellStyle name="常规 7 42" xfId="27315"/>
    <cellStyle name="常规 7 42 2" xfId="13716"/>
    <cellStyle name="常规 7 43" xfId="27319"/>
    <cellStyle name="常规 7 43 2" xfId="13729"/>
    <cellStyle name="常规 7 44" xfId="27323"/>
    <cellStyle name="常规 7 44 2" xfId="28443"/>
    <cellStyle name="常规 7 45" xfId="28456"/>
    <cellStyle name="常规 7 45 2" xfId="28457"/>
    <cellStyle name="常规 7 5" xfId="10246"/>
    <cellStyle name="常规 7 5 2" xfId="10249"/>
    <cellStyle name="常规 7 5 2 2" xfId="28458"/>
    <cellStyle name="常规 7 5 2 2 2" xfId="28460"/>
    <cellStyle name="常规 7 5 2 3" xfId="28461"/>
    <cellStyle name="常规 7 5 2 4" xfId="14848"/>
    <cellStyle name="常规 7 5 3" xfId="28462"/>
    <cellStyle name="常规 7 5 3 2" xfId="22185"/>
    <cellStyle name="常规 7 5 3 3" xfId="22189"/>
    <cellStyle name="常规 7 5 4" xfId="28463"/>
    <cellStyle name="常规 7 5 4 2" xfId="28464"/>
    <cellStyle name="常规 7 5 5" xfId="28465"/>
    <cellStyle name="常规 7 5 6" xfId="8735"/>
    <cellStyle name="常规 7 6" xfId="10252"/>
    <cellStyle name="常规 7 6 2" xfId="10255"/>
    <cellStyle name="常规 7 6 2 2" xfId="28466"/>
    <cellStyle name="常规 7 6 2 3" xfId="28467"/>
    <cellStyle name="常规 7 6 2 4" xfId="13058"/>
    <cellStyle name="常规 7 6 3" xfId="28468"/>
    <cellStyle name="常规 7 6 4" xfId="28469"/>
    <cellStyle name="常规 7 6 5" xfId="28470"/>
    <cellStyle name="常规 7 7" xfId="10257"/>
    <cellStyle name="常规 7 7 2" xfId="28471"/>
    <cellStyle name="常规 7 7 3" xfId="28473"/>
    <cellStyle name="常规 7 7 4" xfId="28475"/>
    <cellStyle name="常规 7 7 5" xfId="28477"/>
    <cellStyle name="常规 7 8" xfId="27101"/>
    <cellStyle name="常规 7 8 2" xfId="28478"/>
    <cellStyle name="常规 7 8 3" xfId="28480"/>
    <cellStyle name="常规 7 9" xfId="28482"/>
    <cellStyle name="常规 7 9 2" xfId="28483"/>
    <cellStyle name="常规 7 9 3" xfId="28485"/>
    <cellStyle name="常规 70" xfId="26151"/>
    <cellStyle name="常规 70 2" xfId="26154"/>
    <cellStyle name="常规 71" xfId="26158"/>
    <cellStyle name="常规 71 2" xfId="17532"/>
    <cellStyle name="常规 72" xfId="26161"/>
    <cellStyle name="常规 72 2" xfId="17543"/>
    <cellStyle name="常规 73" xfId="28390"/>
    <cellStyle name="常规 73 2" xfId="28392"/>
    <cellStyle name="常规 74" xfId="28394"/>
    <cellStyle name="常规 74 2" xfId="28398"/>
    <cellStyle name="常规 75" xfId="28487"/>
    <cellStyle name="常规 75 2" xfId="28490"/>
    <cellStyle name="常规 75 2 2" xfId="28492"/>
    <cellStyle name="常规 75 3" xfId="28494"/>
    <cellStyle name="常规 75 3 2" xfId="28495"/>
    <cellStyle name="常规 75 4" xfId="2590"/>
    <cellStyle name="常规 75 4 2" xfId="28496"/>
    <cellStyle name="常规 75 5" xfId="28497"/>
    <cellStyle name="常规 75 5 2" xfId="28498"/>
    <cellStyle name="常规 75 6" xfId="1049"/>
    <cellStyle name="常规 76" xfId="28499"/>
    <cellStyle name="常规 76 2" xfId="26012"/>
    <cellStyle name="常规 77" xfId="6882"/>
    <cellStyle name="常规 77 2" xfId="28501"/>
    <cellStyle name="常规 78" xfId="11910"/>
    <cellStyle name="常规 78 2" xfId="9160"/>
    <cellStyle name="常规 79" xfId="11913"/>
    <cellStyle name="常规 79 2" xfId="9683"/>
    <cellStyle name="常规 8" xfId="28503"/>
    <cellStyle name="常规 8 10" xfId="22397"/>
    <cellStyle name="常规 8 11" xfId="20288"/>
    <cellStyle name="常规 8 12" xfId="22403"/>
    <cellStyle name="常规 8 13" xfId="22409"/>
    <cellStyle name="常规 8 14" xfId="22413"/>
    <cellStyle name="常规 8 15" xfId="28504"/>
    <cellStyle name="常规 8 16" xfId="28506"/>
    <cellStyle name="常规 8 17" xfId="28508"/>
    <cellStyle name="常规 8 18" xfId="28510"/>
    <cellStyle name="常规 8 19" xfId="28511"/>
    <cellStyle name="常规 8 2" xfId="28512"/>
    <cellStyle name="常规 8 2 2" xfId="28513"/>
    <cellStyle name="常规 8 2 2 2" xfId="28514"/>
    <cellStyle name="常规 8 2 2 3" xfId="28515"/>
    <cellStyle name="常规 8 2 3" xfId="28516"/>
    <cellStyle name="常规 8 2 3 2" xfId="28517"/>
    <cellStyle name="常规 8 2 3 3" xfId="28519"/>
    <cellStyle name="常规 8 2 4" xfId="28520"/>
    <cellStyle name="常规 8 2 5" xfId="17571"/>
    <cellStyle name="常规 8 20" xfId="28505"/>
    <cellStyle name="常规 8 21" xfId="28507"/>
    <cellStyle name="常规 8 22" xfId="28509"/>
    <cellStyle name="常规 8 3" xfId="12958"/>
    <cellStyle name="常规 8 3 2" xfId="28522"/>
    <cellStyle name="常规 8 3 2 2" xfId="28525"/>
    <cellStyle name="常规 8 3 2 3" xfId="28527"/>
    <cellStyle name="常规 8 3 3" xfId="28529"/>
    <cellStyle name="常规 8 3 3 2" xfId="19395"/>
    <cellStyle name="常规 8 3 3 3" xfId="19400"/>
    <cellStyle name="常规 8 3 4" xfId="28531"/>
    <cellStyle name="常规 8 3 5" xfId="28532"/>
    <cellStyle name="常规 8 4" xfId="28533"/>
    <cellStyle name="常规 8 4 2" xfId="28535"/>
    <cellStyle name="常规 8 4 3" xfId="28537"/>
    <cellStyle name="常规 8 4 4" xfId="28538"/>
    <cellStyle name="常规 8 4 5" xfId="28539"/>
    <cellStyle name="常规 8 5" xfId="10260"/>
    <cellStyle name="常规 8 5 2" xfId="28540"/>
    <cellStyle name="常规 8 5 3" xfId="28541"/>
    <cellStyle name="常规 8 5 4" xfId="28542"/>
    <cellStyle name="常规 8 6" xfId="28543"/>
    <cellStyle name="常规 8 6 2" xfId="28544"/>
    <cellStyle name="常规 8 6 3" xfId="19875"/>
    <cellStyle name="常规 8 6 4" xfId="28545"/>
    <cellStyle name="常规 8 6 5" xfId="28547"/>
    <cellStyle name="常规 8 7" xfId="28548"/>
    <cellStyle name="常规 8 7 2" xfId="28549"/>
    <cellStyle name="常规 8 7 3" xfId="28551"/>
    <cellStyle name="常规 8 8" xfId="28553"/>
    <cellStyle name="常规 8 9" xfId="28554"/>
    <cellStyle name="常规 8_兰州恒大都市广场7#样板房装修工程量清单3-27" xfId="15762"/>
    <cellStyle name="常规 80" xfId="28488"/>
    <cellStyle name="常规 80 2" xfId="28491"/>
    <cellStyle name="常规 81" xfId="28500"/>
    <cellStyle name="常规 81 2" xfId="26013"/>
    <cellStyle name="常规 82" xfId="6883"/>
    <cellStyle name="常规 82 2" xfId="28502"/>
    <cellStyle name="常规 83" xfId="11911"/>
    <cellStyle name="常规 83 2" xfId="9161"/>
    <cellStyle name="常规 84" xfId="11914"/>
    <cellStyle name="常规 84 2" xfId="9684"/>
    <cellStyle name="常规 85" xfId="11916"/>
    <cellStyle name="常规 85 2" xfId="9996"/>
    <cellStyle name="常规 86" xfId="11919"/>
    <cellStyle name="常规 86 2" xfId="10176"/>
    <cellStyle name="常规 87" xfId="28555"/>
    <cellStyle name="常规 87 2" xfId="10278"/>
    <cellStyle name="常规 88" xfId="28557"/>
    <cellStyle name="常规 88 2" xfId="10332"/>
    <cellStyle name="常规 89" xfId="28560"/>
    <cellStyle name="常规 9" xfId="28562"/>
    <cellStyle name="常规 9 2" xfId="28563"/>
    <cellStyle name="常规 9 2 2" xfId="28564"/>
    <cellStyle name="常规 9 2 3" xfId="28565"/>
    <cellStyle name="常规 9 3" xfId="12960"/>
    <cellStyle name="常规 9 3 2" xfId="28566"/>
    <cellStyle name="常规 9 3 3" xfId="28567"/>
    <cellStyle name="常规 9 4" xfId="28568"/>
    <cellStyle name="常规 9 5" xfId="28569"/>
    <cellStyle name="常规 90" xfId="11917"/>
    <cellStyle name="常规 90 2" xfId="9997"/>
    <cellStyle name="常规 91" xfId="11920"/>
    <cellStyle name="常规 91 2" xfId="10177"/>
    <cellStyle name="常规 92" xfId="28556"/>
    <cellStyle name="常规 92 2" xfId="10279"/>
    <cellStyle name="常规 93" xfId="28558"/>
    <cellStyle name="常规 93 2" xfId="10333"/>
    <cellStyle name="常规 94" xfId="28561"/>
    <cellStyle name="常规 94 2" xfId="10366"/>
    <cellStyle name="常规 95" xfId="28570"/>
    <cellStyle name="常规 95 2" xfId="10403"/>
    <cellStyle name="常规 96" xfId="28571"/>
    <cellStyle name="常规 96 2" xfId="11895"/>
    <cellStyle name="常规 97" xfId="28572"/>
    <cellStyle name="常规 97 2" xfId="28573"/>
    <cellStyle name="常规 98" xfId="28574"/>
    <cellStyle name="常规 98 2" xfId="28269"/>
    <cellStyle name="常规 99" xfId="28575"/>
    <cellStyle name="常规 99 2" xfId="28576"/>
    <cellStyle name="常规_2008年12月板精装修清单(3) 2" xfId="28577"/>
    <cellStyle name="常规_20090709西安恒大城一期项目样板房精装修工程（套房）工程量清单" xfId="28578"/>
    <cellStyle name="常规_23-26号楼样板房--给招标中心" xfId="3997"/>
    <cellStyle name="常规_23-26号楼样板房--给招标中心 13 2" xfId="27252"/>
    <cellStyle name="常规_23-26号楼样板房--给招标中心 13 2 2" xfId="21094"/>
    <cellStyle name="常规_23-26号楼样板房--给招标中心 2 2" xfId="28579"/>
    <cellStyle name="常规_23-26号楼样板房--给招标中心 2_dianti" xfId="14274"/>
    <cellStyle name="常规_23-26号楼样板房--给招标中心 2_dianti 3" xfId="28580"/>
    <cellStyle name="常规_23-26号楼样板房--给招标中心 4" xfId="6208"/>
    <cellStyle name="常规_31 户内门" xfId="3713"/>
    <cellStyle name="常规_9.27修正华府15-1#栋装修工程清单" xfId="17239"/>
    <cellStyle name="常规_9抛光砖" xfId="14116"/>
    <cellStyle name="常规_Sheet1" xfId="4579"/>
    <cellStyle name="常规_Sheet1_1 2_综合楼2装修工程量清单(沈阳综合楼）瑞改" xfId="4795"/>
    <cellStyle name="常规_金碧新城四期44号楼首层住户大堂、电梯前室及三层电梯间装修工程项目包干单价清单" xfId="28581"/>
    <cellStyle name="常规_金碧新城四期44号楼首层住户大堂、电梯前室及三层电梯间装修工程项目包干单价清单 2" xfId="24013"/>
    <cellStyle name="常规_龙泉综合楼外墙清单" xfId="21737"/>
    <cellStyle name="常规_龙泉综合楼外墙清单 2" xfId="15705"/>
    <cellStyle name="常规_龙泉综合楼外墙清单 3" xfId="15712"/>
    <cellStyle name="常规_太原恒大绿洲四期41#楼精装修修改2011-8-911" xfId="13445"/>
    <cellStyle name="常规_武汉恒大城样板房室内装修工程甲方代供代扣代付材料单价清单 3" xfId="28583"/>
    <cellStyle name="常规_御景半岛5-8号楼大堂、电梯厅清单报价-报审（审核20080811改）" xfId="28584"/>
    <cellStyle name="超链接 2" xfId="28585"/>
    <cellStyle name="超链接 2 10" xfId="5396"/>
    <cellStyle name="超链接 2 10 10" xfId="28586"/>
    <cellStyle name="超链接 2 10 11" xfId="28587"/>
    <cellStyle name="超链接 2 10 12" xfId="28588"/>
    <cellStyle name="超链接 2 10 13" xfId="28589"/>
    <cellStyle name="超链接 2 10 14" xfId="28590"/>
    <cellStyle name="超链接 2 10 15" xfId="28592"/>
    <cellStyle name="超链接 2 10 16" xfId="28593"/>
    <cellStyle name="超链接 2 10 2" xfId="28595"/>
    <cellStyle name="超链接 2 10 3" xfId="28596"/>
    <cellStyle name="超链接 2 10 4" xfId="28598"/>
    <cellStyle name="超链接 2 10 5" xfId="28599"/>
    <cellStyle name="超链接 2 10 6" xfId="28600"/>
    <cellStyle name="超链接 2 10 7" xfId="28602"/>
    <cellStyle name="超链接 2 10 8" xfId="28603"/>
    <cellStyle name="超链接 2 10 9" xfId="28604"/>
    <cellStyle name="超链接 2 11" xfId="7015"/>
    <cellStyle name="超链接 2 11 10" xfId="25696"/>
    <cellStyle name="超链接 2 11 11" xfId="28605"/>
    <cellStyle name="超链接 2 11 12" xfId="28607"/>
    <cellStyle name="超链接 2 11 13" xfId="25257"/>
    <cellStyle name="超链接 2 11 14" xfId="25261"/>
    <cellStyle name="超链接 2 11 15" xfId="28610"/>
    <cellStyle name="超链接 2 11 16" xfId="28612"/>
    <cellStyle name="超链接 2 11 2" xfId="7018"/>
    <cellStyle name="超链接 2 11 3" xfId="5057"/>
    <cellStyle name="超链接 2 11 4" xfId="7021"/>
    <cellStyle name="超链接 2 11 5" xfId="7025"/>
    <cellStyle name="超链接 2 11 6" xfId="12086"/>
    <cellStyle name="超链接 2 11 7" xfId="7739"/>
    <cellStyle name="超链接 2 11 8" xfId="7758"/>
    <cellStyle name="超链接 2 11 9" xfId="7762"/>
    <cellStyle name="超链接 2 12" xfId="7027"/>
    <cellStyle name="超链接 2 12 10" xfId="28613"/>
    <cellStyle name="超链接 2 12 11" xfId="28614"/>
    <cellStyle name="超链接 2 12 12" xfId="28615"/>
    <cellStyle name="超链接 2 12 13" xfId="28616"/>
    <cellStyle name="超链接 2 12 14" xfId="28618"/>
    <cellStyle name="超链接 2 12 15" xfId="28620"/>
    <cellStyle name="超链接 2 12 16" xfId="3930"/>
    <cellStyle name="超链接 2 12 2" xfId="7031"/>
    <cellStyle name="超链接 2 12 3" xfId="7034"/>
    <cellStyle name="超链接 2 12 4" xfId="7037"/>
    <cellStyle name="超链接 2 12 5" xfId="28621"/>
    <cellStyle name="超链接 2 12 5 2" xfId="3912"/>
    <cellStyle name="超链接 2 12 5 3" xfId="3924"/>
    <cellStyle name="超链接 2 12 6" xfId="12130"/>
    <cellStyle name="超链接 2 12 7" xfId="12146"/>
    <cellStyle name="超链接 2 12 8" xfId="12169"/>
    <cellStyle name="超链接 2 12 9" xfId="12173"/>
    <cellStyle name="超链接 2 13" xfId="2557"/>
    <cellStyle name="超链接 2 13 2" xfId="2562"/>
    <cellStyle name="超链接 2 13 3" xfId="28622"/>
    <cellStyle name="超链接 2 14" xfId="2576"/>
    <cellStyle name="超链接 2 14 2" xfId="22785"/>
    <cellStyle name="超链接 2 14 3" xfId="28624"/>
    <cellStyle name="超链接 2 14 4" xfId="28629"/>
    <cellStyle name="超链接 2 15" xfId="22788"/>
    <cellStyle name="超链接 2 15 2" xfId="22792"/>
    <cellStyle name="超链接 2 15 3" xfId="28632"/>
    <cellStyle name="超链接 2 15 4" xfId="28636"/>
    <cellStyle name="超链接 2 16" xfId="22794"/>
    <cellStyle name="超链接 2 16 2" xfId="28637"/>
    <cellStyle name="超链接 2 16 3" xfId="28639"/>
    <cellStyle name="超链接 2 16 4" xfId="28643"/>
    <cellStyle name="超链接 2 17" xfId="12806"/>
    <cellStyle name="超链接 2 17 2" xfId="28644"/>
    <cellStyle name="超链接 2 17 3" xfId="28646"/>
    <cellStyle name="超链接 2 17 4" xfId="28647"/>
    <cellStyle name="超链接 2 18" xfId="28648"/>
    <cellStyle name="超链接 2 18 2" xfId="28650"/>
    <cellStyle name="超链接 2 18 3" xfId="28651"/>
    <cellStyle name="超链接 2 18 4" xfId="28652"/>
    <cellStyle name="超链接 2 19" xfId="22023"/>
    <cellStyle name="超链接 2 19 2" xfId="28653"/>
    <cellStyle name="超链接 2 19 3" xfId="28654"/>
    <cellStyle name="超链接 2 19 4" xfId="28655"/>
    <cellStyle name="超链接 2 2" xfId="28656"/>
    <cellStyle name="超链接 2 2 10" xfId="8008"/>
    <cellStyle name="超链接 2 2 10 10" xfId="27304"/>
    <cellStyle name="超链接 2 2 10 11" xfId="27309"/>
    <cellStyle name="超链接 2 2 10 12" xfId="27325"/>
    <cellStyle name="超链接 2 2 10 13" xfId="27782"/>
    <cellStyle name="超链接 2 2 10 14" xfId="27785"/>
    <cellStyle name="超链接 2 2 10 15" xfId="27789"/>
    <cellStyle name="超链接 2 2 10 2" xfId="28658"/>
    <cellStyle name="超链接 2 2 10 3" xfId="28114"/>
    <cellStyle name="超链接 2 2 10 4" xfId="28659"/>
    <cellStyle name="超链接 2 2 10 5" xfId="20383"/>
    <cellStyle name="超链接 2 2 10 6" xfId="28660"/>
    <cellStyle name="超链接 2 2 10 7" xfId="28661"/>
    <cellStyle name="超链接 2 2 10 8" xfId="28662"/>
    <cellStyle name="超链接 2 2 10 9" xfId="28663"/>
    <cellStyle name="超链接 2 2 11" xfId="27129"/>
    <cellStyle name="超链接 2 2 11 10" xfId="14678"/>
    <cellStyle name="超链接 2 2 11 11" xfId="14763"/>
    <cellStyle name="超链接 2 2 11 12" xfId="28664"/>
    <cellStyle name="超链接 2 2 11 13" xfId="28665"/>
    <cellStyle name="超链接 2 2 11 14" xfId="28666"/>
    <cellStyle name="超链接 2 2 11 15" xfId="28667"/>
    <cellStyle name="超链接 2 2 11 2" xfId="28669"/>
    <cellStyle name="超链接 2 2 11 3" xfId="22236"/>
    <cellStyle name="超链接 2 2 11 4" xfId="19188"/>
    <cellStyle name="超链接 2 2 11 5" xfId="19193"/>
    <cellStyle name="超链接 2 2 11 6" xfId="19198"/>
    <cellStyle name="超链接 2 2 11 7" xfId="19201"/>
    <cellStyle name="超链接 2 2 11 8" xfId="19204"/>
    <cellStyle name="超链接 2 2 11 9" xfId="28670"/>
    <cellStyle name="超链接 2 2 12" xfId="6189"/>
    <cellStyle name="超链接 2 2 13" xfId="13360"/>
    <cellStyle name="超链接 2 2 14" xfId="13363"/>
    <cellStyle name="超链接 2 2 15" xfId="13369"/>
    <cellStyle name="超链接 2 2 16" xfId="13817"/>
    <cellStyle name="超链接 2 2 17" xfId="13825"/>
    <cellStyle name="超链接 2 2 18" xfId="28671"/>
    <cellStyle name="超链接 2 2 19" xfId="28673"/>
    <cellStyle name="超链接 2 2 2" xfId="653"/>
    <cellStyle name="超链接 2 2 2 10" xfId="28675"/>
    <cellStyle name="超链接 2 2 2 11" xfId="28676"/>
    <cellStyle name="超链接 2 2 2 12" xfId="28677"/>
    <cellStyle name="超链接 2 2 2 13" xfId="28678"/>
    <cellStyle name="超链接 2 2 2 14" xfId="28680"/>
    <cellStyle name="超链接 2 2 2 15" xfId="28681"/>
    <cellStyle name="超链接 2 2 2 16" xfId="28682"/>
    <cellStyle name="超链接 2 2 2 17" xfId="28683"/>
    <cellStyle name="超链接 2 2 2 2" xfId="28684"/>
    <cellStyle name="超链接 2 2 2 3" xfId="25949"/>
    <cellStyle name="超链接 2 2 2 4" xfId="25951"/>
    <cellStyle name="超链接 2 2 2 5" xfId="25953"/>
    <cellStyle name="超链接 2 2 2 6" xfId="21862"/>
    <cellStyle name="超链接 2 2 2 7" xfId="25955"/>
    <cellStyle name="超链接 2 2 2 8" xfId="25957"/>
    <cellStyle name="超链接 2 2 2 9" xfId="25959"/>
    <cellStyle name="超链接 2 2 20" xfId="13370"/>
    <cellStyle name="超链接 2 2 21" xfId="13818"/>
    <cellStyle name="超链接 2 2 22" xfId="13826"/>
    <cellStyle name="超链接 2 2 23" xfId="28672"/>
    <cellStyle name="超链接 2 2 24" xfId="28674"/>
    <cellStyle name="超链接 2 2 25" xfId="11244"/>
    <cellStyle name="超链接 2 2 26" xfId="28685"/>
    <cellStyle name="超链接 2 2 27" xfId="7312"/>
    <cellStyle name="超链接 2 2 28" xfId="28687"/>
    <cellStyle name="超链接 2 2 29" xfId="28689"/>
    <cellStyle name="超链接 2 2 3" xfId="675"/>
    <cellStyle name="超链接 2 2 3 10" xfId="2678"/>
    <cellStyle name="超链接 2 2 3 11" xfId="2685"/>
    <cellStyle name="超链接 2 2 3 12" xfId="2691"/>
    <cellStyle name="超链接 2 2 3 13" xfId="2697"/>
    <cellStyle name="超链接 2 2 3 14" xfId="28691"/>
    <cellStyle name="超链接 2 2 3 15" xfId="28692"/>
    <cellStyle name="超链接 2 2 3 2" xfId="28694"/>
    <cellStyle name="超链接 2 2 3 3" xfId="28695"/>
    <cellStyle name="超链接 2 2 3 4" xfId="28696"/>
    <cellStyle name="超链接 2 2 3 5" xfId="10756"/>
    <cellStyle name="超链接 2 2 3 6" xfId="21866"/>
    <cellStyle name="超链接 2 2 3 7" xfId="28697"/>
    <cellStyle name="超链接 2 2 3 8" xfId="28698"/>
    <cellStyle name="超链接 2 2 3 9" xfId="28699"/>
    <cellStyle name="超链接 2 2 30" xfId="11245"/>
    <cellStyle name="超链接 2 2 31" xfId="28686"/>
    <cellStyle name="超链接 2 2 31 2" xfId="23680"/>
    <cellStyle name="超链接 2 2 31 3" xfId="24026"/>
    <cellStyle name="超链接 2 2 32" xfId="7313"/>
    <cellStyle name="超链接 2 2 32 2" xfId="22689"/>
    <cellStyle name="超链接 2 2 32 3" xfId="12062"/>
    <cellStyle name="超链接 2 2 33" xfId="28688"/>
    <cellStyle name="超链接 2 2 33 2" xfId="28701"/>
    <cellStyle name="超链接 2 2 33 3" xfId="25733"/>
    <cellStyle name="超链接 2 2 34" xfId="28690"/>
    <cellStyle name="超链接 2 2 35" xfId="28702"/>
    <cellStyle name="超链接 2 2 36" xfId="28704"/>
    <cellStyle name="超链接 2 2 37" xfId="28706"/>
    <cellStyle name="超链接 2 2 38" xfId="8010"/>
    <cellStyle name="超链接 2 2 39" xfId="8013"/>
    <cellStyle name="超链接 2 2 39 2" xfId="8018"/>
    <cellStyle name="超链接 2 2 39 3" xfId="28709"/>
    <cellStyle name="超链接 2 2 4" xfId="20656"/>
    <cellStyle name="超链接 2 2 4 10" xfId="28711"/>
    <cellStyle name="超链接 2 2 4 11" xfId="28712"/>
    <cellStyle name="超链接 2 2 4 12" xfId="28715"/>
    <cellStyle name="超链接 2 2 4 13" xfId="28716"/>
    <cellStyle name="超链接 2 2 4 14" xfId="28717"/>
    <cellStyle name="超链接 2 2 4 15" xfId="28718"/>
    <cellStyle name="超链接 2 2 4 2" xfId="20658"/>
    <cellStyle name="超链接 2 2 4 3" xfId="21924"/>
    <cellStyle name="超链接 2 2 4 4" xfId="21928"/>
    <cellStyle name="超链接 2 2 4 5" xfId="10759"/>
    <cellStyle name="超链接 2 2 4 6" xfId="21869"/>
    <cellStyle name="超链接 2 2 4 7" xfId="21933"/>
    <cellStyle name="超链接 2 2 4 8" xfId="28719"/>
    <cellStyle name="超链接 2 2 4 9" xfId="28720"/>
    <cellStyle name="超链接 2 2 40" xfId="28703"/>
    <cellStyle name="超链接 2 2 40 2" xfId="28724"/>
    <cellStyle name="超链接 2 2 40 3" xfId="28728"/>
    <cellStyle name="超链接 2 2 41" xfId="28705"/>
    <cellStyle name="超链接 2 2 41 2" xfId="25136"/>
    <cellStyle name="超链接 2 2 41 3" xfId="25196"/>
    <cellStyle name="超链接 2 2 42" xfId="28707"/>
    <cellStyle name="超链接 2 2 42 2" xfId="28730"/>
    <cellStyle name="超链接 2 2 42 3" xfId="28732"/>
    <cellStyle name="超链接 2 2 43" xfId="8011"/>
    <cellStyle name="超链接 2 2 43 2" xfId="28734"/>
    <cellStyle name="超链接 2 2 43 3" xfId="28736"/>
    <cellStyle name="超链接 2 2 44" xfId="8014"/>
    <cellStyle name="超链接 2 2 44 2" xfId="8019"/>
    <cellStyle name="超链接 2 2 44 3" xfId="28710"/>
    <cellStyle name="超链接 2 2 45" xfId="8021"/>
    <cellStyle name="超链接 2 2 45 2" xfId="21964"/>
    <cellStyle name="超链接 2 2 45 3" xfId="21975"/>
    <cellStyle name="超链接 2 2 46" xfId="8026"/>
    <cellStyle name="超链接 2 2 46 2" xfId="19117"/>
    <cellStyle name="超链接 2 2 46 3" xfId="19128"/>
    <cellStyle name="超链接 2 2 47" xfId="15985"/>
    <cellStyle name="超链接 2 2 47 2" xfId="15989"/>
    <cellStyle name="超链接 2 2 47 3" xfId="15995"/>
    <cellStyle name="超链接 2 2 48" xfId="3312"/>
    <cellStyle name="超链接 2 2 48 2" xfId="16005"/>
    <cellStyle name="超链接 2 2 48 3" xfId="16009"/>
    <cellStyle name="超链接 2 2 49" xfId="16015"/>
    <cellStyle name="超链接 2 2 49 2" xfId="16018"/>
    <cellStyle name="超链接 2 2 49 3" xfId="28120"/>
    <cellStyle name="超链接 2 2 5" xfId="20660"/>
    <cellStyle name="超链接 2 2 5 10" xfId="28737"/>
    <cellStyle name="超链接 2 2 5 11" xfId="9282"/>
    <cellStyle name="超链接 2 2 5 12" xfId="28738"/>
    <cellStyle name="超链接 2 2 5 13" xfId="28739"/>
    <cellStyle name="超链接 2 2 5 14" xfId="28740"/>
    <cellStyle name="超链接 2 2 5 15" xfId="28741"/>
    <cellStyle name="超链接 2 2 5 2" xfId="20662"/>
    <cellStyle name="超链接 2 2 5 3" xfId="28742"/>
    <cellStyle name="超链接 2 2 5 4" xfId="28743"/>
    <cellStyle name="超链接 2 2 5 5" xfId="28744"/>
    <cellStyle name="超链接 2 2 5 6" xfId="28745"/>
    <cellStyle name="超链接 2 2 5 7" xfId="21328"/>
    <cellStyle name="超链接 2 2 5 8" xfId="28746"/>
    <cellStyle name="超链接 2 2 5 9" xfId="28747"/>
    <cellStyle name="超链接 2 2 50" xfId="8022"/>
    <cellStyle name="超链接 2 2 50 2" xfId="21965"/>
    <cellStyle name="超链接 2 2 50 3" xfId="21976"/>
    <cellStyle name="超链接 2 2 51" xfId="8027"/>
    <cellStyle name="超链接 2 2 51 2" xfId="19118"/>
    <cellStyle name="超链接 2 2 51 3" xfId="19129"/>
    <cellStyle name="超链接 2 2 52" xfId="15986"/>
    <cellStyle name="超链接 2 2 52 2" xfId="15990"/>
    <cellStyle name="超链接 2 2 52 3" xfId="15996"/>
    <cellStyle name="超链接 2 2 53" xfId="3313"/>
    <cellStyle name="超链接 2 2 53 2" xfId="16006"/>
    <cellStyle name="超链接 2 2 53 3" xfId="16010"/>
    <cellStyle name="超链接 2 2 54" xfId="16016"/>
    <cellStyle name="超链接 2 2 54 2" xfId="16019"/>
    <cellStyle name="超链接 2 2 54 3" xfId="28121"/>
    <cellStyle name="超链接 2 2 55" xfId="16021"/>
    <cellStyle name="超链接 2 2 55 2" xfId="28749"/>
    <cellStyle name="超链接 2 2 55 3" xfId="28125"/>
    <cellStyle name="超链接 2 2 56" xfId="27135"/>
    <cellStyle name="超链接 2 2 56 2" xfId="26007"/>
    <cellStyle name="超链接 2 2 56 3" xfId="26048"/>
    <cellStyle name="超链接 2 2 57" xfId="6197"/>
    <cellStyle name="超链接 2 2 57 2" xfId="28750"/>
    <cellStyle name="超链接 2 2 57 3" xfId="28751"/>
    <cellStyle name="超链接 2 2 58" xfId="13376"/>
    <cellStyle name="超链接 2 2 58 2" xfId="28752"/>
    <cellStyle name="超链接 2 2 58 3" xfId="28320"/>
    <cellStyle name="超链接 2 2 6" xfId="7641"/>
    <cellStyle name="超链接 2 2 6 10" xfId="13646"/>
    <cellStyle name="超链接 2 2 6 11" xfId="12198"/>
    <cellStyle name="超链接 2 2 6 12" xfId="942"/>
    <cellStyle name="超链接 2 2 6 13" xfId="943"/>
    <cellStyle name="超链接 2 2 6 14" xfId="946"/>
    <cellStyle name="超链接 2 2 6 15" xfId="28754"/>
    <cellStyle name="超链接 2 2 6 2" xfId="20664"/>
    <cellStyle name="超链接 2 2 6 3" xfId="28755"/>
    <cellStyle name="超链接 2 2 6 4" xfId="28757"/>
    <cellStyle name="超链接 2 2 6 5" xfId="28758"/>
    <cellStyle name="超链接 2 2 6 6" xfId="28759"/>
    <cellStyle name="超链接 2 2 6 7" xfId="21331"/>
    <cellStyle name="超链接 2 2 6 8" xfId="28760"/>
    <cellStyle name="超链接 2 2 6 9" xfId="6260"/>
    <cellStyle name="超链接 2 2 7" xfId="20666"/>
    <cellStyle name="超链接 2 2 7 10" xfId="28761"/>
    <cellStyle name="超链接 2 2 7 11" xfId="8663"/>
    <cellStyle name="超链接 2 2 7 12" xfId="28762"/>
    <cellStyle name="超链接 2 2 7 13" xfId="28763"/>
    <cellStyle name="超链接 2 2 7 14" xfId="28765"/>
    <cellStyle name="超链接 2 2 7 15" xfId="28766"/>
    <cellStyle name="超链接 2 2 7 2" xfId="9507"/>
    <cellStyle name="超链接 2 2 7 3" xfId="9531"/>
    <cellStyle name="超链接 2 2 7 4" xfId="9544"/>
    <cellStyle name="超链接 2 2 7 5" xfId="9555"/>
    <cellStyle name="超链接 2 2 7 6" xfId="9564"/>
    <cellStyle name="超链接 2 2 7 7" xfId="21334"/>
    <cellStyle name="超链接 2 2 7 8" xfId="25964"/>
    <cellStyle name="超链接 2 2 7 9" xfId="6272"/>
    <cellStyle name="超链接 2 2 8" xfId="20669"/>
    <cellStyle name="超链接 2 2 8 10" xfId="23461"/>
    <cellStyle name="超链接 2 2 8 11" xfId="23465"/>
    <cellStyle name="超链接 2 2 8 12" xfId="23468"/>
    <cellStyle name="超链接 2 2 8 13" xfId="23469"/>
    <cellStyle name="超链接 2 2 8 14" xfId="23471"/>
    <cellStyle name="超链接 2 2 8 15" xfId="23473"/>
    <cellStyle name="超链接 2 2 8 2" xfId="9658"/>
    <cellStyle name="超链接 2 2 8 3" xfId="9668"/>
    <cellStyle name="超链接 2 2 8 4" xfId="9677"/>
    <cellStyle name="超链接 2 2 8 5" xfId="9681"/>
    <cellStyle name="超链接 2 2 8 6" xfId="3705"/>
    <cellStyle name="超链接 2 2 8 7" xfId="21338"/>
    <cellStyle name="超链接 2 2 8 8" xfId="27422"/>
    <cellStyle name="超链接 2 2 8 9" xfId="6280"/>
    <cellStyle name="超链接 2 2 9" xfId="28768"/>
    <cellStyle name="超链接 2 2 9 10" xfId="23595"/>
    <cellStyle name="超链接 2 2 9 11" xfId="23598"/>
    <cellStyle name="超链接 2 2 9 12" xfId="23601"/>
    <cellStyle name="超链接 2 2 9 13" xfId="21038"/>
    <cellStyle name="超链接 2 2 9 14" xfId="21042"/>
    <cellStyle name="超链接 2 2 9 15" xfId="21048"/>
    <cellStyle name="超链接 2 2 9 2" xfId="9738"/>
    <cellStyle name="超链接 2 2 9 3" xfId="9741"/>
    <cellStyle name="超链接 2 2 9 4" xfId="28769"/>
    <cellStyle name="超链接 2 2 9 5" xfId="28770"/>
    <cellStyle name="超链接 2 2 9 6" xfId="3712"/>
    <cellStyle name="超链接 2 2 9 7" xfId="28772"/>
    <cellStyle name="超链接 2 2 9 8" xfId="27427"/>
    <cellStyle name="超链接 2 2 9 9" xfId="27432"/>
    <cellStyle name="超链接 2 20" xfId="22789"/>
    <cellStyle name="超链接 2 21" xfId="22795"/>
    <cellStyle name="超链接 2 22" xfId="12807"/>
    <cellStyle name="超链接 2 23" xfId="28649"/>
    <cellStyle name="超链接 2 24" xfId="22024"/>
    <cellStyle name="超链接 2 25" xfId="28774"/>
    <cellStyle name="超链接 2 26" xfId="28776"/>
    <cellStyle name="超链接 2 27" xfId="28778"/>
    <cellStyle name="超链接 2 28" xfId="28781"/>
    <cellStyle name="超链接 2 29" xfId="28783"/>
    <cellStyle name="超链接 2 3" xfId="28785"/>
    <cellStyle name="超链接 2 3 10" xfId="19050"/>
    <cellStyle name="超链接 2 3 11" xfId="2013"/>
    <cellStyle name="超链接 2 3 12" xfId="28786"/>
    <cellStyle name="超链接 2 3 13" xfId="28787"/>
    <cellStyle name="超链接 2 3 14" xfId="7190"/>
    <cellStyle name="超链接 2 3 15" xfId="7193"/>
    <cellStyle name="超链接 2 3 16" xfId="7196"/>
    <cellStyle name="超链接 2 3 17" xfId="11478"/>
    <cellStyle name="超链接 2 3 2" xfId="26771"/>
    <cellStyle name="超链接 2 3 3" xfId="26773"/>
    <cellStyle name="超链接 2 3 4" xfId="28788"/>
    <cellStyle name="超链接 2 3 5" xfId="28789"/>
    <cellStyle name="超链接 2 3 6" xfId="7645"/>
    <cellStyle name="超链接 2 3 7" xfId="28790"/>
    <cellStyle name="超链接 2 3 8" xfId="12419"/>
    <cellStyle name="超链接 2 3 9" xfId="19432"/>
    <cellStyle name="超链接 2 30" xfId="28775"/>
    <cellStyle name="超链接 2 31" xfId="28777"/>
    <cellStyle name="超链接 2 32" xfId="28779"/>
    <cellStyle name="超链接 2 33" xfId="28782"/>
    <cellStyle name="超链接 2 34" xfId="28784"/>
    <cellStyle name="超链接 2 35" xfId="28791"/>
    <cellStyle name="超链接 2 36" xfId="8465"/>
    <cellStyle name="超链接 2 37" xfId="28793"/>
    <cellStyle name="超链接 2 38" xfId="28795"/>
    <cellStyle name="超链接 2 39" xfId="28797"/>
    <cellStyle name="超链接 2 4" xfId="28800"/>
    <cellStyle name="超链接 2 4 10" xfId="12178"/>
    <cellStyle name="超链接 2 4 11" xfId="23761"/>
    <cellStyle name="超链接 2 4 12" xfId="1740"/>
    <cellStyle name="超链接 2 4 13" xfId="1749"/>
    <cellStyle name="超链接 2 4 14" xfId="1757"/>
    <cellStyle name="超链接 2 4 15" xfId="1769"/>
    <cellStyle name="超链接 2 4 2" xfId="26776"/>
    <cellStyle name="超链接 2 4 3" xfId="26778"/>
    <cellStyle name="超链接 2 4 4" xfId="26780"/>
    <cellStyle name="超链接 2 4 5" xfId="28801"/>
    <cellStyle name="超链接 2 4 6" xfId="28802"/>
    <cellStyle name="超链接 2 4 7" xfId="28803"/>
    <cellStyle name="超链接 2 4 8" xfId="12423"/>
    <cellStyle name="超链接 2 4 9" xfId="14586"/>
    <cellStyle name="超链接 2 40" xfId="28792"/>
    <cellStyle name="超链接 2 41" xfId="8466"/>
    <cellStyle name="超链接 2 42" xfId="28794"/>
    <cellStyle name="超链接 2 43" xfId="28796"/>
    <cellStyle name="超链接 2 44" xfId="28798"/>
    <cellStyle name="超链接 2 45" xfId="28804"/>
    <cellStyle name="超链接 2 45 2" xfId="28806"/>
    <cellStyle name="超链接 2 45 3" xfId="22280"/>
    <cellStyle name="超链接 2 46" xfId="6088"/>
    <cellStyle name="超链接 2 46 2" xfId="28808"/>
    <cellStyle name="超链接 2 46 3" xfId="28810"/>
    <cellStyle name="超链接 2 47" xfId="28811"/>
    <cellStyle name="超链接 2 47 2" xfId="28814"/>
    <cellStyle name="超链接 2 47 3" xfId="28816"/>
    <cellStyle name="超链接 2 48" xfId="28817"/>
    <cellStyle name="超链接 2 49" xfId="28819"/>
    <cellStyle name="超链接 2 5" xfId="28821"/>
    <cellStyle name="超链接 2 5 10" xfId="6360"/>
    <cellStyle name="超链接 2 5 11" xfId="23792"/>
    <cellStyle name="超链接 2 5 12" xfId="23794"/>
    <cellStyle name="超链接 2 5 13" xfId="4742"/>
    <cellStyle name="超链接 2 5 14" xfId="4753"/>
    <cellStyle name="超链接 2 5 15" xfId="2194"/>
    <cellStyle name="超链接 2 5 2" xfId="26784"/>
    <cellStyle name="超链接 2 5 3" xfId="26786"/>
    <cellStyle name="超链接 2 5 4" xfId="26788"/>
    <cellStyle name="超链接 2 5 5" xfId="28822"/>
    <cellStyle name="超链接 2 5 6" xfId="28823"/>
    <cellStyle name="超链接 2 5 7" xfId="28824"/>
    <cellStyle name="超链接 2 5 8" xfId="15682"/>
    <cellStyle name="超链接 2 5 9" xfId="14589"/>
    <cellStyle name="超链接 2 50" xfId="28805"/>
    <cellStyle name="超链接 2 51" xfId="6089"/>
    <cellStyle name="超链接 2 52" xfId="28812"/>
    <cellStyle name="超链接 2 53" xfId="28818"/>
    <cellStyle name="超链接 2 53 2" xfId="16435"/>
    <cellStyle name="超链接 2 53 3" xfId="8078"/>
    <cellStyle name="超链接 2 54" xfId="28820"/>
    <cellStyle name="超链接 2 54 2" xfId="16447"/>
    <cellStyle name="超链接 2 54 3" xfId="28825"/>
    <cellStyle name="超链接 2 55" xfId="28826"/>
    <cellStyle name="超链接 2 55 2" xfId="28828"/>
    <cellStyle name="超链接 2 55 3" xfId="28830"/>
    <cellStyle name="超链接 2 56" xfId="445"/>
    <cellStyle name="超链接 2 56 2" xfId="456"/>
    <cellStyle name="超链接 2 56 3" xfId="467"/>
    <cellStyle name="超链接 2 57" xfId="7045"/>
    <cellStyle name="超链接 2 57 2" xfId="7049"/>
    <cellStyle name="超链接 2 57 3" xfId="7054"/>
    <cellStyle name="超链接 2 58" xfId="2603"/>
    <cellStyle name="超链接 2 58 2" xfId="2609"/>
    <cellStyle name="超链接 2 58 3" xfId="28832"/>
    <cellStyle name="超链接 2 59" xfId="2615"/>
    <cellStyle name="超链接 2 59 2" xfId="23857"/>
    <cellStyle name="超链接 2 59 3" xfId="28834"/>
    <cellStyle name="超链接 2 6" xfId="28836"/>
    <cellStyle name="超链接 2 6 10" xfId="23832"/>
    <cellStyle name="超链接 2 6 11" xfId="23834"/>
    <cellStyle name="超链接 2 6 12" xfId="23836"/>
    <cellStyle name="超链接 2 6 13" xfId="23838"/>
    <cellStyle name="超链接 2 6 14" xfId="23840"/>
    <cellStyle name="超链接 2 6 15" xfId="28837"/>
    <cellStyle name="超链接 2 6 2" xfId="28838"/>
    <cellStyle name="超链接 2 6 3" xfId="28839"/>
    <cellStyle name="超链接 2 6 4" xfId="28840"/>
    <cellStyle name="超链接 2 6 5" xfId="28841"/>
    <cellStyle name="超链接 2 6 6" xfId="28842"/>
    <cellStyle name="超链接 2 6 7" xfId="28843"/>
    <cellStyle name="超链接 2 6 8" xfId="15685"/>
    <cellStyle name="超链接 2 6 9" xfId="28844"/>
    <cellStyle name="超链接 2 60" xfId="28827"/>
    <cellStyle name="超链接 2 60 2" xfId="28829"/>
    <cellStyle name="超链接 2 60 3" xfId="28831"/>
    <cellStyle name="超链接 2 61" xfId="446"/>
    <cellStyle name="超链接 2 61 2" xfId="457"/>
    <cellStyle name="超链接 2 61 3" xfId="468"/>
    <cellStyle name="超链接 2 62" xfId="7046"/>
    <cellStyle name="超链接 2 62 2" xfId="7050"/>
    <cellStyle name="超链接 2 62 3" xfId="7055"/>
    <cellStyle name="超链接 2 63" xfId="2604"/>
    <cellStyle name="超链接 2 63 2" xfId="2610"/>
    <cellStyle name="超链接 2 63 3" xfId="28833"/>
    <cellStyle name="超链接 2 64" xfId="2616"/>
    <cellStyle name="超链接 2 64 2" xfId="23858"/>
    <cellStyle name="超链接 2 64 3" xfId="28835"/>
    <cellStyle name="超链接 2 65" xfId="28845"/>
    <cellStyle name="超链接 2 65 2" xfId="23863"/>
    <cellStyle name="超链接 2 65 3" xfId="28848"/>
    <cellStyle name="超链接 2 66" xfId="28850"/>
    <cellStyle name="超链接 2 66 2" xfId="23874"/>
    <cellStyle name="超链接 2 66 3" xfId="20674"/>
    <cellStyle name="超链接 2 67" xfId="12811"/>
    <cellStyle name="超链接 2 67 2" xfId="23888"/>
    <cellStyle name="超链接 2 67 3" xfId="20679"/>
    <cellStyle name="超链接 2 68" xfId="28852"/>
    <cellStyle name="超链接 2 68 2" xfId="23903"/>
    <cellStyle name="超链接 2 68 3" xfId="20685"/>
    <cellStyle name="超链接 2 69" xfId="22029"/>
    <cellStyle name="超链接 2 69 2" xfId="21157"/>
    <cellStyle name="超链接 2 69 3" xfId="20688"/>
    <cellStyle name="超链接 2 7" xfId="28853"/>
    <cellStyle name="超链接 2 7 10" xfId="3222"/>
    <cellStyle name="超链接 2 7 11" xfId="3302"/>
    <cellStyle name="超链接 2 7 12" xfId="3357"/>
    <cellStyle name="超链接 2 7 13" xfId="3411"/>
    <cellStyle name="超链接 2 7 14" xfId="3440"/>
    <cellStyle name="超链接 2 7 15" xfId="1500"/>
    <cellStyle name="超链接 2 7 2" xfId="28854"/>
    <cellStyle name="超链接 2 7 3" xfId="28855"/>
    <cellStyle name="超链接 2 7 4" xfId="28856"/>
    <cellStyle name="超链接 2 7 5" xfId="28857"/>
    <cellStyle name="超链接 2 7 6" xfId="28859"/>
    <cellStyle name="超链接 2 7 7" xfId="28860"/>
    <cellStyle name="超链接 2 7 8" xfId="28861"/>
    <cellStyle name="超链接 2 7 9" xfId="28862"/>
    <cellStyle name="超链接 2 70" xfId="28846"/>
    <cellStyle name="超链接 2 70 2" xfId="23864"/>
    <cellStyle name="超链接 2 70 3" xfId="28849"/>
    <cellStyle name="超链接 2 71" xfId="28851"/>
    <cellStyle name="超链接 2 71 2" xfId="23875"/>
    <cellStyle name="超链接 2 71 3" xfId="20675"/>
    <cellStyle name="超链接 2 72" xfId="12812"/>
    <cellStyle name="超链接 2 72 2" xfId="23889"/>
    <cellStyle name="超链接 2 72 3" xfId="20680"/>
    <cellStyle name="超链接 2 8" xfId="28863"/>
    <cellStyle name="超链接 2 8 10" xfId="848"/>
    <cellStyle name="超链接 2 8 11" xfId="852"/>
    <cellStyle name="超链接 2 8 12" xfId="857"/>
    <cellStyle name="超链接 2 8 13" xfId="3795"/>
    <cellStyle name="超链接 2 8 14" xfId="7215"/>
    <cellStyle name="超链接 2 8 15" xfId="25582"/>
    <cellStyle name="超链接 2 8 2" xfId="28864"/>
    <cellStyle name="超链接 2 8 3" xfId="28865"/>
    <cellStyle name="超链接 2 8 4" xfId="28867"/>
    <cellStyle name="超链接 2 8 5" xfId="28868"/>
    <cellStyle name="超链接 2 8 6" xfId="28869"/>
    <cellStyle name="超链接 2 8 7" xfId="28870"/>
    <cellStyle name="超链接 2 8 8" xfId="19161"/>
    <cellStyle name="超链接 2 8 9" xfId="19164"/>
    <cellStyle name="超链接 2 9" xfId="28871"/>
    <cellStyle name="超链接 2 9 10" xfId="23983"/>
    <cellStyle name="超链接 2 9 11" xfId="12615"/>
    <cellStyle name="超链接 2 9 12" xfId="1794"/>
    <cellStyle name="超链接 2 9 13" xfId="12620"/>
    <cellStyle name="超链接 2 9 14" xfId="23985"/>
    <cellStyle name="超链接 2 9 15" xfId="26851"/>
    <cellStyle name="超链接 2 9 16" xfId="26856"/>
    <cellStyle name="超链接 2 9 2" xfId="28872"/>
    <cellStyle name="超链接 2 9 3" xfId="20430"/>
    <cellStyle name="超链接 2 9 4" xfId="28873"/>
    <cellStyle name="超链接 2 9 5" xfId="28874"/>
    <cellStyle name="超链接 2 9 6" xfId="28875"/>
    <cellStyle name="超链接 2 9 7" xfId="28876"/>
    <cellStyle name="超链接 2 9 8" xfId="28878"/>
    <cellStyle name="超链接 2 9 9" xfId="28879"/>
    <cellStyle name="超链接 2_（安装）重庆恒大名都综合楼装修工程报价清单-090422发标(1)" xfId="24711"/>
    <cellStyle name="超链接 3" xfId="28880"/>
    <cellStyle name="超链接 4" xfId="28881"/>
    <cellStyle name="兣" xfId="28882"/>
    <cellStyle name="好" xfId="28883"/>
    <cellStyle name="好 2" xfId="28884"/>
    <cellStyle name="好 2 10" xfId="28885"/>
    <cellStyle name="好 2 11" xfId="11902"/>
    <cellStyle name="好 2 2" xfId="28886"/>
    <cellStyle name="好 2 2 2" xfId="28887"/>
    <cellStyle name="好 2 3" xfId="28888"/>
    <cellStyle name="好 2 3 2" xfId="28889"/>
    <cellStyle name="好 2 4" xfId="28890"/>
    <cellStyle name="好 2 4 2" xfId="28891"/>
    <cellStyle name="好 2 5" xfId="28892"/>
    <cellStyle name="好 2 5 2" xfId="28893"/>
    <cellStyle name="好 2 6" xfId="13041"/>
    <cellStyle name="好 2 6 2" xfId="28894"/>
    <cellStyle name="好 2 7" xfId="20588"/>
    <cellStyle name="好 2 7 2" xfId="20371"/>
    <cellStyle name="好 2 8" xfId="8001"/>
    <cellStyle name="好 2 9" xfId="28895"/>
    <cellStyle name="好 3" xfId="28896"/>
    <cellStyle name="好 3 2" xfId="28897"/>
    <cellStyle name="好 3 3" xfId="28898"/>
    <cellStyle name="好 3 3 2" xfId="28591"/>
    <cellStyle name="好 3 4" xfId="28899"/>
    <cellStyle name="好 3 5" xfId="28900"/>
    <cellStyle name="好 4" xfId="28902"/>
    <cellStyle name="好 5" xfId="28903"/>
    <cellStyle name="好 6" xfId="16388"/>
    <cellStyle name="好 7" xfId="28904"/>
    <cellStyle name="好 8" xfId="28905"/>
    <cellStyle name="好 8 2" xfId="28906"/>
    <cellStyle name="好_(38#)2000" xfId="28907"/>
    <cellStyle name="好_(38#)2000 2" xfId="28908"/>
    <cellStyle name="好_(38#)2000_聊城样板房工程量计算稿" xfId="28909"/>
    <cellStyle name="好_101卫浴五金" xfId="10120"/>
    <cellStyle name="好_101卫浴五金 2" xfId="28912"/>
    <cellStyle name="好_101卫浴五金 2 2" xfId="28915"/>
    <cellStyle name="好_101卫浴五金 2 2 2" xfId="28916"/>
    <cellStyle name="好_101卫浴五金 2 3" xfId="22"/>
    <cellStyle name="好_101卫浴五金 2 3 2" xfId="113"/>
    <cellStyle name="好_101卫浴五金 2 4" xfId="28917"/>
    <cellStyle name="好_101卫浴五金 2 4 2" xfId="28918"/>
    <cellStyle name="好_101卫浴五金 2 5" xfId="28919"/>
    <cellStyle name="好_101卫浴五金 2_聊城样板房工程量计算稿" xfId="27262"/>
    <cellStyle name="好_101卫浴五金 2_终板 潍坊翡翠华庭样板房清单" xfId="27596"/>
    <cellStyle name="好_101卫浴五金 3" xfId="28923"/>
    <cellStyle name="好_101卫浴五金 3 2" xfId="28924"/>
    <cellStyle name="好_101卫浴五金 3 2 2" xfId="28925"/>
    <cellStyle name="好_101卫浴五金 3 3" xfId="28926"/>
    <cellStyle name="好_101卫浴五金 3 3 2" xfId="6839"/>
    <cellStyle name="好_101卫浴五金 3 4" xfId="28927"/>
    <cellStyle name="好_101卫浴五金 3 4 2" xfId="6848"/>
    <cellStyle name="好_101卫浴五金 3 5" xfId="23111"/>
    <cellStyle name="好_101卫浴五金 4" xfId="28929"/>
    <cellStyle name="好_101卫浴五金 4 2" xfId="28930"/>
    <cellStyle name="好_101卫浴五金 5" xfId="28931"/>
    <cellStyle name="好_101卫浴五金 5 2" xfId="28932"/>
    <cellStyle name="好_101卫浴五金 6" xfId="28934"/>
    <cellStyle name="好_101卫浴五金 6 2" xfId="19524"/>
    <cellStyle name="好_101卫浴五金 7" xfId="28935"/>
    <cellStyle name="好_101卫浴五金 7 2" xfId="28936"/>
    <cellStyle name="好_101卫浴五金 8" xfId="28937"/>
    <cellStyle name="好_101卫浴五金_102洁具-陶瓷" xfId="18815"/>
    <cellStyle name="好_101卫浴五金_102洁具-陶瓷 2" xfId="18817"/>
    <cellStyle name="好_101卫浴五金_102洁具-陶瓷 2 2" xfId="28938"/>
    <cellStyle name="好_101卫浴五金_102洁具-陶瓷 3" xfId="18820"/>
    <cellStyle name="好_101卫浴五金_102洁具-陶瓷 3 2" xfId="28939"/>
    <cellStyle name="好_101卫浴五金_102洁具-陶瓷 4" xfId="18822"/>
    <cellStyle name="好_101卫浴五金_102洁具-陶瓷 4 2" xfId="28940"/>
    <cellStyle name="好_101卫浴五金_102洁具-陶瓷 5" xfId="18824"/>
    <cellStyle name="好_101卫浴五金_102洁具-陶瓷 5 2" xfId="28941"/>
    <cellStyle name="好_101卫浴五金_102洁具-陶瓷 6" xfId="28942"/>
    <cellStyle name="好_101卫浴五金_102洁具-陶瓷_聊城样板房工程量计算稿" xfId="28943"/>
    <cellStyle name="好_101卫浴五金_102洁具-陶瓷_终板 潍坊翡翠华庭样板房清单" xfId="28944"/>
    <cellStyle name="好_101卫浴五金_105瓷片 " xfId="3662"/>
    <cellStyle name="好_101卫浴五金_105瓷片  2" xfId="4557"/>
    <cellStyle name="好_101卫浴五金_105瓷片  2 2" xfId="4560"/>
    <cellStyle name="好_101卫浴五金_105瓷片  3" xfId="4562"/>
    <cellStyle name="好_101卫浴五金_105瓷片  3 2" xfId="2809"/>
    <cellStyle name="好_101卫浴五金_105瓷片  4" xfId="4564"/>
    <cellStyle name="好_101卫浴五金_105瓷片  4 2" xfId="2954"/>
    <cellStyle name="好_101卫浴五金_105瓷片  5" xfId="28945"/>
    <cellStyle name="好_101卫浴五金_105瓷片  5 2" xfId="3001"/>
    <cellStyle name="好_101卫浴五金_105瓷片  6" xfId="28946"/>
    <cellStyle name="好_101卫浴五金_105瓷片 _聊城样板房工程量计算稿" xfId="28947"/>
    <cellStyle name="好_101卫浴五金_105瓷片 _终板 潍坊翡翠华庭样板房清单" xfId="28948"/>
    <cellStyle name="好_101卫浴五金_109吸顶灯" xfId="28950"/>
    <cellStyle name="好_101卫浴五金_109吸顶灯 2" xfId="28952"/>
    <cellStyle name="好_101卫浴五金_109吸顶灯 2 2" xfId="28953"/>
    <cellStyle name="好_101卫浴五金_109吸顶灯 3" xfId="28954"/>
    <cellStyle name="好_101卫浴五金_109吸顶灯 3 2" xfId="28955"/>
    <cellStyle name="好_101卫浴五金_109吸顶灯 4" xfId="28956"/>
    <cellStyle name="好_101卫浴五金_109吸顶灯 4 2" xfId="28957"/>
    <cellStyle name="好_101卫浴五金_109吸顶灯 5" xfId="28958"/>
    <cellStyle name="好_101卫浴五金_109吸顶灯 5 2" xfId="28959"/>
    <cellStyle name="好_101卫浴五金_109吸顶灯 6" xfId="28960"/>
    <cellStyle name="好_101卫浴五金_109吸顶灯_聊城样板房工程量计算稿" xfId="28961"/>
    <cellStyle name="好_101卫浴五金_109吸顶灯_终板 潍坊翡翠华庭样板房清单" xfId="28962"/>
    <cellStyle name="好_101卫浴五金_110水晶灯" xfId="28964"/>
    <cellStyle name="好_101卫浴五金_110水晶灯 2" xfId="28966"/>
    <cellStyle name="好_101卫浴五金_110水晶灯 2 2" xfId="28967"/>
    <cellStyle name="好_101卫浴五金_110水晶灯 3" xfId="28968"/>
    <cellStyle name="好_101卫浴五金_110水晶灯 3 2" xfId="28969"/>
    <cellStyle name="好_101卫浴五金_110水晶灯 4" xfId="28970"/>
    <cellStyle name="好_101卫浴五金_110水晶灯 4 2" xfId="28971"/>
    <cellStyle name="好_101卫浴五金_110水晶灯 5" xfId="28396"/>
    <cellStyle name="好_101卫浴五金_110水晶灯 5 2" xfId="28972"/>
    <cellStyle name="好_101卫浴五金_110水晶灯 6" xfId="28974"/>
    <cellStyle name="好_101卫浴五金_110水晶灯_聊城样板房工程量计算稿" xfId="28975"/>
    <cellStyle name="好_101卫浴五金_110水晶灯_终板 潍坊翡翠华庭样板房清单" xfId="28977"/>
    <cellStyle name="好_101卫浴五金_118仿石砖" xfId="28981"/>
    <cellStyle name="好_101卫浴五金_118仿石砖 2" xfId="28983"/>
    <cellStyle name="好_101卫浴五金_118仿石砖 2 2" xfId="28985"/>
    <cellStyle name="好_101卫浴五金_118仿石砖 3" xfId="28987"/>
    <cellStyle name="好_101卫浴五金_118仿石砖 3 2" xfId="28989"/>
    <cellStyle name="好_101卫浴五金_118仿石砖 4" xfId="28991"/>
    <cellStyle name="好_101卫浴五金_118仿石砖 4 2" xfId="28993"/>
    <cellStyle name="好_101卫浴五金_118仿石砖 5" xfId="28995"/>
    <cellStyle name="好_101卫浴五金_118仿石砖 5 2" xfId="28997"/>
    <cellStyle name="好_101卫浴五金_118仿石砖 6" xfId="28999"/>
    <cellStyle name="好_101卫浴五金_118仿石砖_聊城样板房工程量计算稿" xfId="15276"/>
    <cellStyle name="好_101卫浴五金_118仿石砖_终板 潍坊翡翠华庭样板房清单" xfId="29000"/>
    <cellStyle name="好_101卫浴五金_119仿古砖" xfId="29001"/>
    <cellStyle name="好_101卫浴五金_119仿古砖 2" xfId="29002"/>
    <cellStyle name="好_101卫浴五金_119仿古砖 2 2" xfId="29003"/>
    <cellStyle name="好_101卫浴五金_119仿古砖 3" xfId="29004"/>
    <cellStyle name="好_101卫浴五金_119仿古砖 3 2" xfId="29005"/>
    <cellStyle name="好_101卫浴五金_119仿古砖 4" xfId="29006"/>
    <cellStyle name="好_101卫浴五金_119仿古砖 4 2" xfId="20211"/>
    <cellStyle name="好_101卫浴五金_119仿古砖 5" xfId="29007"/>
    <cellStyle name="好_101卫浴五金_119仿古砖 5 2" xfId="19276"/>
    <cellStyle name="好_101卫浴五金_119仿古砖 6" xfId="29008"/>
    <cellStyle name="好_101卫浴五金_119仿古砖_聊城样板房工程量计算稿" xfId="29009"/>
    <cellStyle name="好_101卫浴五金_119仿古砖_终板 潍坊翡翠华庭样板房清单" xfId="29011"/>
    <cellStyle name="好_101卫浴五金_2009年6月甲供材料模板（29类版）" xfId="29012"/>
    <cellStyle name="好_101卫浴五金_2009年6月甲供材料模板（29类版） 2" xfId="29013"/>
    <cellStyle name="好_101卫浴五金_2009年6月甲供材料模板（29类版） 2 2" xfId="25019"/>
    <cellStyle name="好_101卫浴五金_2009年6月甲供材料模板（29类版） 3" xfId="29014"/>
    <cellStyle name="好_101卫浴五金_2009年6月甲供材料模板（29类版） 3 2" xfId="29016"/>
    <cellStyle name="好_101卫浴五金_2009年6月甲供材料模板（29类版） 4" xfId="4712"/>
    <cellStyle name="好_101卫浴五金_2009年6月甲供材料模板（29类版） 4 2" xfId="16795"/>
    <cellStyle name="好_101卫浴五金_2009年6月甲供材料模板（29类版） 5" xfId="29017"/>
    <cellStyle name="好_101卫浴五金_2009年6月甲供材料模板（29类版） 5 2" xfId="16804"/>
    <cellStyle name="好_101卫浴五金_2009年6月甲供材料模板（29类版） 6" xfId="29019"/>
    <cellStyle name="好_101卫浴五金_2009年6月甲供材料模板（29类版）_聊城样板房工程量计算稿" xfId="29021"/>
    <cellStyle name="好_101卫浴五金_2009年6月甲供材料模板（29类版）_终板 潍坊翡翠华庭样板房清单" xfId="29022"/>
    <cellStyle name="好_101卫浴五金_聊城样板房工程量计算稿" xfId="17979"/>
    <cellStyle name="好_101卫浴五金_终板 潍坊翡翠华庭样板房清单" xfId="1106"/>
    <cellStyle name="好_102洁具-陶瓷" xfId="11150"/>
    <cellStyle name="好_102洁具-陶瓷 2" xfId="29023"/>
    <cellStyle name="好_102洁具-陶瓷 2 2" xfId="29024"/>
    <cellStyle name="好_102洁具-陶瓷 2 2 2" xfId="2458"/>
    <cellStyle name="好_102洁具-陶瓷 2 3" xfId="29025"/>
    <cellStyle name="好_102洁具-陶瓷 2 3 2" xfId="29026"/>
    <cellStyle name="好_102洁具-陶瓷 2 4" xfId="29027"/>
    <cellStyle name="好_102洁具-陶瓷 2 4 2" xfId="29028"/>
    <cellStyle name="好_102洁具-陶瓷 2 5" xfId="16775"/>
    <cellStyle name="好_102洁具-陶瓷 2_聊城样板房工程量计算稿" xfId="23077"/>
    <cellStyle name="好_102洁具-陶瓷 2_终板 潍坊翡翠华庭样板房清单" xfId="29029"/>
    <cellStyle name="好_102洁具-陶瓷 3" xfId="29030"/>
    <cellStyle name="好_102洁具-陶瓷 3 2" xfId="29031"/>
    <cellStyle name="好_102洁具-陶瓷 3 2 2" xfId="29032"/>
    <cellStyle name="好_102洁具-陶瓷 3 3" xfId="29033"/>
    <cellStyle name="好_102洁具-陶瓷 3 3 2" xfId="29034"/>
    <cellStyle name="好_102洁具-陶瓷 3 4" xfId="29035"/>
    <cellStyle name="好_102洁具-陶瓷 3 4 2" xfId="29036"/>
    <cellStyle name="好_102洁具-陶瓷 3 5" xfId="29037"/>
    <cellStyle name="好_102洁具-陶瓷 4" xfId="29038"/>
    <cellStyle name="好_102洁具-陶瓷 4 2" xfId="29039"/>
    <cellStyle name="好_102洁具-陶瓷 5" xfId="29040"/>
    <cellStyle name="好_102洁具-陶瓷 5 2" xfId="17864"/>
    <cellStyle name="好_102洁具-陶瓷 6" xfId="29041"/>
    <cellStyle name="好_102洁具-陶瓷 6 2" xfId="17872"/>
    <cellStyle name="好_102洁具-陶瓷 7" xfId="29042"/>
    <cellStyle name="好_102洁具-陶瓷 7 2" xfId="17881"/>
    <cellStyle name="好_102洁具-陶瓷 8" xfId="11580"/>
    <cellStyle name="好_102洁具-陶瓷_1" xfId="29043"/>
    <cellStyle name="好_102洁具-陶瓷_1 2" xfId="29045"/>
    <cellStyle name="好_102洁具-陶瓷_1 2 2" xfId="27033"/>
    <cellStyle name="好_102洁具-陶瓷_1 3" xfId="29046"/>
    <cellStyle name="好_102洁具-陶瓷_1 3 2" xfId="29047"/>
    <cellStyle name="好_102洁具-陶瓷_1 4" xfId="29048"/>
    <cellStyle name="好_102洁具-陶瓷_1 4 2" xfId="27054"/>
    <cellStyle name="好_102洁具-陶瓷_1 5" xfId="29050"/>
    <cellStyle name="好_102洁具-陶瓷_1 5 2" xfId="29051"/>
    <cellStyle name="好_102洁具-陶瓷_1 6" xfId="684"/>
    <cellStyle name="好_102洁具-陶瓷_1_聊城样板房工程量计算稿" xfId="29052"/>
    <cellStyle name="好_102洁具-陶瓷_1_终板 潍坊翡翠华庭样板房清单" xfId="29053"/>
    <cellStyle name="好_102洁具-陶瓷_102洁具-陶瓷" xfId="26815"/>
    <cellStyle name="好_102洁具-陶瓷_102洁具-陶瓷 2" xfId="1118"/>
    <cellStyle name="好_102洁具-陶瓷_102洁具-陶瓷 2 2" xfId="26015"/>
    <cellStyle name="好_102洁具-陶瓷_102洁具-陶瓷 3" xfId="9867"/>
    <cellStyle name="好_102洁具-陶瓷_102洁具-陶瓷 3 2" xfId="9870"/>
    <cellStyle name="好_102洁具-陶瓷_102洁具-陶瓷 4" xfId="9873"/>
    <cellStyle name="好_102洁具-陶瓷_102洁具-陶瓷 4 2" xfId="9269"/>
    <cellStyle name="好_102洁具-陶瓷_102洁具-陶瓷 5" xfId="9877"/>
    <cellStyle name="好_102洁具-陶瓷_102洁具-陶瓷 5 2" xfId="9786"/>
    <cellStyle name="好_102洁具-陶瓷_102洁具-陶瓷 6" xfId="29055"/>
    <cellStyle name="好_102洁具-陶瓷_102洁具-陶瓷_聊城样板房工程量计算稿" xfId="29057"/>
    <cellStyle name="好_102洁具-陶瓷_102洁具-陶瓷_终板 潍坊翡翠华庭样板房清单" xfId="29058"/>
    <cellStyle name="好_102洁具-陶瓷_105瓷片 " xfId="29059"/>
    <cellStyle name="好_102洁具-陶瓷_105瓷片  2" xfId="29060"/>
    <cellStyle name="好_102洁具-陶瓷_105瓷片  2 2" xfId="29061"/>
    <cellStyle name="好_102洁具-陶瓷_105瓷片  3" xfId="29062"/>
    <cellStyle name="好_102洁具-陶瓷_105瓷片  3 2" xfId="29063"/>
    <cellStyle name="好_102洁具-陶瓷_105瓷片  4" xfId="29064"/>
    <cellStyle name="好_102洁具-陶瓷_105瓷片  4 2" xfId="20729"/>
    <cellStyle name="好_102洁具-陶瓷_105瓷片  5" xfId="29065"/>
    <cellStyle name="好_102洁具-陶瓷_105瓷片  5 2" xfId="29066"/>
    <cellStyle name="好_102洁具-陶瓷_105瓷片  6" xfId="21731"/>
    <cellStyle name="好_102洁具-陶瓷_105瓷片 _聊城样板房工程量计算稿" xfId="21750"/>
    <cellStyle name="好_102洁具-陶瓷_105瓷片 _终板 潍坊翡翠华庭样板房清单" xfId="29068"/>
    <cellStyle name="好_102洁具-陶瓷_109吸顶灯" xfId="29069"/>
    <cellStyle name="好_102洁具-陶瓷_109吸顶灯 2" xfId="29070"/>
    <cellStyle name="好_102洁具-陶瓷_109吸顶灯 2 2" xfId="29071"/>
    <cellStyle name="好_102洁具-陶瓷_109吸顶灯 3" xfId="29072"/>
    <cellStyle name="好_102洁具-陶瓷_109吸顶灯 3 2" xfId="29073"/>
    <cellStyle name="好_102洁具-陶瓷_109吸顶灯 4" xfId="29074"/>
    <cellStyle name="好_102洁具-陶瓷_109吸顶灯 4 2" xfId="29075"/>
    <cellStyle name="好_102洁具-陶瓷_109吸顶灯 5" xfId="29079"/>
    <cellStyle name="好_102洁具-陶瓷_109吸顶灯 5 2" xfId="29081"/>
    <cellStyle name="好_102洁具-陶瓷_109吸顶灯 6" xfId="29082"/>
    <cellStyle name="好_102洁具-陶瓷_109吸顶灯_聊城样板房工程量计算稿" xfId="21281"/>
    <cellStyle name="好_102洁具-陶瓷_109吸顶灯_终板 潍坊翡翠华庭样板房清单" xfId="23198"/>
    <cellStyle name="好_102洁具-陶瓷_110水晶灯" xfId="20959"/>
    <cellStyle name="好_102洁具-陶瓷_110水晶灯 2" xfId="29083"/>
    <cellStyle name="好_102洁具-陶瓷_110水晶灯 2 2" xfId="29085"/>
    <cellStyle name="好_102洁具-陶瓷_110水晶灯 3" xfId="10634"/>
    <cellStyle name="好_102洁具-陶瓷_110水晶灯 3 2" xfId="10637"/>
    <cellStyle name="好_102洁具-陶瓷_110水晶灯 4" xfId="1930"/>
    <cellStyle name="好_102洁具-陶瓷_110水晶灯 4 2" xfId="10640"/>
    <cellStyle name="好_102洁具-陶瓷_110水晶灯 5" xfId="10644"/>
    <cellStyle name="好_102洁具-陶瓷_110水晶灯 5 2" xfId="29087"/>
    <cellStyle name="好_102洁具-陶瓷_110水晶灯 6" xfId="29089"/>
    <cellStyle name="好_102洁具-陶瓷_110水晶灯_聊城样板房工程量计算稿" xfId="29090"/>
    <cellStyle name="好_102洁具-陶瓷_110水晶灯_终板 潍坊翡翠华庭样板房清单" xfId="29092"/>
    <cellStyle name="好_102洁具-陶瓷_118仿石砖" xfId="29093"/>
    <cellStyle name="好_102洁具-陶瓷_118仿石砖 2" xfId="29094"/>
    <cellStyle name="好_102洁具-陶瓷_118仿石砖 2 2" xfId="29095"/>
    <cellStyle name="好_102洁具-陶瓷_118仿石砖 3" xfId="29096"/>
    <cellStyle name="好_102洁具-陶瓷_118仿石砖 3 2" xfId="22377"/>
    <cellStyle name="好_102洁具-陶瓷_118仿石砖 4" xfId="2359"/>
    <cellStyle name="好_102洁具-陶瓷_118仿石砖 4 2" xfId="29097"/>
    <cellStyle name="好_102洁具-陶瓷_118仿石砖 5" xfId="21804"/>
    <cellStyle name="好_102洁具-陶瓷_118仿石砖 5 2" xfId="4481"/>
    <cellStyle name="好_102洁具-陶瓷_118仿石砖 6" xfId="19503"/>
    <cellStyle name="好_102洁具-陶瓷_118仿石砖_聊城样板房工程量计算稿" xfId="29098"/>
    <cellStyle name="好_102洁具-陶瓷_118仿石砖_终板 潍坊翡翠华庭样板房清单" xfId="12254"/>
    <cellStyle name="好_102洁具-陶瓷_119仿古砖" xfId="28979"/>
    <cellStyle name="好_102洁具-陶瓷_119仿古砖 2" xfId="29100"/>
    <cellStyle name="好_102洁具-陶瓷_119仿古砖 2 2" xfId="29101"/>
    <cellStyle name="好_102洁具-陶瓷_119仿古砖 3" xfId="20095"/>
    <cellStyle name="好_102洁具-陶瓷_119仿古砖 3 2" xfId="22493"/>
    <cellStyle name="好_102洁具-陶瓷_119仿古砖 4" xfId="10208"/>
    <cellStyle name="好_102洁具-陶瓷_119仿古砖 4 2" xfId="10210"/>
    <cellStyle name="好_102洁具-陶瓷_119仿古砖 5" xfId="90"/>
    <cellStyle name="好_102洁具-陶瓷_119仿古砖 5 2" xfId="5677"/>
    <cellStyle name="好_102洁具-陶瓷_119仿古砖 6" xfId="5681"/>
    <cellStyle name="好_102洁具-陶瓷_119仿古砖_聊城样板房工程量计算稿" xfId="29102"/>
    <cellStyle name="好_102洁具-陶瓷_119仿古砖_终板 潍坊翡翠华庭样板房清单" xfId="29103"/>
    <cellStyle name="好_102洁具-陶瓷_2009年6月甲供材料模板（29类版）" xfId="29104"/>
    <cellStyle name="好_102洁具-陶瓷_2009年6月甲供材料模板（29类版） 2" xfId="29105"/>
    <cellStyle name="好_102洁具-陶瓷_2009年6月甲供材料模板（29类版） 2 2" xfId="18017"/>
    <cellStyle name="好_102洁具-陶瓷_2009年6月甲供材料模板（29类版） 3" xfId="19093"/>
    <cellStyle name="好_102洁具-陶瓷_2009年6月甲供材料模板（29类版） 3 2" xfId="18047"/>
    <cellStyle name="好_102洁具-陶瓷_2009年6月甲供材料模板（29类版） 4" xfId="29106"/>
    <cellStyle name="好_102洁具-陶瓷_2009年6月甲供材料模板（29类版） 4 2" xfId="29109"/>
    <cellStyle name="好_102洁具-陶瓷_2009年6月甲供材料模板（29类版） 5" xfId="29110"/>
    <cellStyle name="好_102洁具-陶瓷_2009年6月甲供材料模板（29类版） 5 2" xfId="29111"/>
    <cellStyle name="好_102洁具-陶瓷_2009年6月甲供材料模板（29类版） 6" xfId="16997"/>
    <cellStyle name="好_102洁具-陶瓷_2009年6月甲供材料模板（29类版）_聊城样板房工程量计算稿" xfId="12740"/>
    <cellStyle name="好_102洁具-陶瓷_2009年6月甲供材料模板（29类版）_终板 潍坊翡翠华庭样板房清单" xfId="29112"/>
    <cellStyle name="好_102洁具-陶瓷_聊城样板房工程量计算稿" xfId="24255"/>
    <cellStyle name="好_102洁具-陶瓷_终板 潍坊翡翠华庭样板房清单" xfId="29114"/>
    <cellStyle name="好_103洁具-龙头 " xfId="12865"/>
    <cellStyle name="好_103洁具-龙头  2" xfId="24452"/>
    <cellStyle name="好_103洁具-龙头  2 2" xfId="29116"/>
    <cellStyle name="好_103洁具-龙头  2 2 2" xfId="29118"/>
    <cellStyle name="好_103洁具-龙头  2 3" xfId="29119"/>
    <cellStyle name="好_103洁具-龙头  2 3 2" xfId="22084"/>
    <cellStyle name="好_103洁具-龙头  2 4" xfId="29120"/>
    <cellStyle name="好_103洁具-龙头  2 4 2" xfId="29121"/>
    <cellStyle name="好_103洁具-龙头  2 5" xfId="19535"/>
    <cellStyle name="好_103洁具-龙头  2_聊城样板房工程量计算稿" xfId="28606"/>
    <cellStyle name="好_103洁具-龙头  2_终板 潍坊翡翠华庭样板房清单" xfId="29122"/>
    <cellStyle name="好_103洁具-龙头  3" xfId="29123"/>
    <cellStyle name="好_103洁具-龙头  3 2" xfId="29124"/>
    <cellStyle name="好_103洁具-龙头  3 2 2" xfId="29125"/>
    <cellStyle name="好_103洁具-龙头  3 3" xfId="29126"/>
    <cellStyle name="好_103洁具-龙头  3 3 2" xfId="29127"/>
    <cellStyle name="好_103洁具-龙头  3 4" xfId="29128"/>
    <cellStyle name="好_103洁具-龙头  3 4 2" xfId="20251"/>
    <cellStyle name="好_103洁具-龙头  3 5" xfId="29129"/>
    <cellStyle name="好_103洁具-龙头  4" xfId="29130"/>
    <cellStyle name="好_103洁具-龙头  4 2" xfId="29131"/>
    <cellStyle name="好_103洁具-龙头  5" xfId="29132"/>
    <cellStyle name="好_103洁具-龙头  5 2" xfId="29133"/>
    <cellStyle name="好_103洁具-龙头  6" xfId="29134"/>
    <cellStyle name="好_103洁具-龙头  6 2" xfId="20385"/>
    <cellStyle name="好_103洁具-龙头  7" xfId="29135"/>
    <cellStyle name="好_103洁具-龙头  7 2" xfId="29136"/>
    <cellStyle name="好_103洁具-龙头  8" xfId="1729"/>
    <cellStyle name="好_103洁具-龙头 _102洁具-陶瓷" xfId="29137"/>
    <cellStyle name="好_103洁具-龙头 _102洁具-陶瓷 2" xfId="22310"/>
    <cellStyle name="好_103洁具-龙头 _102洁具-陶瓷 2 2" xfId="15470"/>
    <cellStyle name="好_103洁具-龙头 _102洁具-陶瓷 3" xfId="29138"/>
    <cellStyle name="好_103洁具-龙头 _102洁具-陶瓷 3 2" xfId="15495"/>
    <cellStyle name="好_103洁具-龙头 _102洁具-陶瓷 4" xfId="21520"/>
    <cellStyle name="好_103洁具-龙头 _102洁具-陶瓷 4 2" xfId="15511"/>
    <cellStyle name="好_103洁具-龙头 _102洁具-陶瓷 5" xfId="29141"/>
    <cellStyle name="好_103洁具-龙头 _102洁具-陶瓷 5 2" xfId="29142"/>
    <cellStyle name="好_103洁具-龙头 _102洁具-陶瓷 6" xfId="20225"/>
    <cellStyle name="好_103洁具-龙头 _102洁具-陶瓷_聊城样板房工程量计算稿" xfId="5830"/>
    <cellStyle name="好_103洁具-龙头 _102洁具-陶瓷_终板 潍坊翡翠华庭样板房清单" xfId="29143"/>
    <cellStyle name="好_103洁具-龙头 _105瓷片 " xfId="29144"/>
    <cellStyle name="好_103洁具-龙头 _105瓷片  2" xfId="29145"/>
    <cellStyle name="好_103洁具-龙头 _105瓷片  2 2" xfId="24616"/>
    <cellStyle name="好_103洁具-龙头 _105瓷片  3" xfId="29146"/>
    <cellStyle name="好_103洁具-龙头 _105瓷片  3 2" xfId="24781"/>
    <cellStyle name="好_103洁具-龙头 _105瓷片  4" xfId="8550"/>
    <cellStyle name="好_103洁具-龙头 _105瓷片  4 2" xfId="24879"/>
    <cellStyle name="好_103洁具-龙头 _105瓷片  5" xfId="26979"/>
    <cellStyle name="好_103洁具-龙头 _105瓷片  5 2" xfId="24960"/>
    <cellStyle name="好_103洁具-龙头 _105瓷片  6" xfId="29147"/>
    <cellStyle name="好_103洁具-龙头 _105瓷片 _聊城样板房工程量计算稿" xfId="29148"/>
    <cellStyle name="好_103洁具-龙头 _105瓷片 _终板 潍坊翡翠华庭样板房清单" xfId="29149"/>
    <cellStyle name="好_103洁具-龙头 _109吸顶灯" xfId="23020"/>
    <cellStyle name="好_103洁具-龙头 _109吸顶灯 2" xfId="27838"/>
    <cellStyle name="好_103洁具-龙头 _109吸顶灯 2 2" xfId="29150"/>
    <cellStyle name="好_103洁具-龙头 _109吸顶灯 3" xfId="27841"/>
    <cellStyle name="好_103洁具-龙头 _109吸顶灯 3 2" xfId="20683"/>
    <cellStyle name="好_103洁具-龙头 _109吸顶灯 4" xfId="27844"/>
    <cellStyle name="好_103洁具-龙头 _109吸顶灯 4 2" xfId="29152"/>
    <cellStyle name="好_103洁具-龙头 _109吸顶灯 5" xfId="27847"/>
    <cellStyle name="好_103洁具-龙头 _109吸顶灯 5 2" xfId="29154"/>
    <cellStyle name="好_103洁具-龙头 _109吸顶灯 6" xfId="27851"/>
    <cellStyle name="好_103洁具-龙头 _109吸顶灯_聊城样板房工程量计算稿" xfId="13216"/>
    <cellStyle name="好_103洁具-龙头 _109吸顶灯_终板 潍坊翡翠华庭样板房清单" xfId="29155"/>
    <cellStyle name="好_103洁具-龙头 _110水晶灯" xfId="24864"/>
    <cellStyle name="好_103洁具-龙头 _110水晶灯 2" xfId="5561"/>
    <cellStyle name="好_103洁具-龙头 _110水晶灯 2 2" xfId="3212"/>
    <cellStyle name="好_103洁具-龙头 _110水晶灯 3" xfId="5564"/>
    <cellStyle name="好_103洁具-龙头 _110水晶灯 3 2" xfId="3935"/>
    <cellStyle name="好_103洁具-龙头 _110水晶灯 4" xfId="24729"/>
    <cellStyle name="好_103洁具-龙头 _110水晶灯 4 2" xfId="29156"/>
    <cellStyle name="好_103洁具-龙头 _110水晶灯 5" xfId="24731"/>
    <cellStyle name="好_103洁具-龙头 _110水晶灯 5 2" xfId="24739"/>
    <cellStyle name="好_103洁具-龙头 _110水晶灯 6" xfId="6472"/>
    <cellStyle name="好_103洁具-龙头 _110水晶灯_聊城样板房工程量计算稿" xfId="29157"/>
    <cellStyle name="好_103洁具-龙头 _110水晶灯_终板 潍坊翡翠华庭样板房清单" xfId="29158"/>
    <cellStyle name="好_103洁具-龙头 _118仿石砖" xfId="14991"/>
    <cellStyle name="好_103洁具-龙头 _118仿石砖 2" xfId="14993"/>
    <cellStyle name="好_103洁具-龙头 _118仿石砖 2 2" xfId="27560"/>
    <cellStyle name="好_103洁具-龙头 _118仿石砖 3" xfId="29159"/>
    <cellStyle name="好_103洁具-龙头 _118仿石砖 3 2" xfId="4415"/>
    <cellStyle name="好_103洁具-龙头 _118仿石砖 4" xfId="2481"/>
    <cellStyle name="好_103洁具-龙头 _118仿石砖 4 2" xfId="2489"/>
    <cellStyle name="好_103洁具-龙头 _118仿石砖 5" xfId="2494"/>
    <cellStyle name="好_103洁具-龙头 _118仿石砖 5 2" xfId="2502"/>
    <cellStyle name="好_103洁具-龙头 _118仿石砖 6" xfId="2509"/>
    <cellStyle name="好_103洁具-龙头 _118仿石砖_聊城样板房工程量计算稿" xfId="4640"/>
    <cellStyle name="好_103洁具-龙头 _118仿石砖_终板 潍坊翡翠华庭样板房清单" xfId="29160"/>
    <cellStyle name="好_103洁具-龙头 _119仿古砖" xfId="29161"/>
    <cellStyle name="好_103洁具-龙头 _119仿古砖 2" xfId="29162"/>
    <cellStyle name="好_103洁具-龙头 _119仿古砖 2 2" xfId="29163"/>
    <cellStyle name="好_103洁具-龙头 _119仿古砖 3" xfId="29165"/>
    <cellStyle name="好_103洁具-龙头 _119仿古砖 3 2" xfId="26339"/>
    <cellStyle name="好_103洁具-龙头 _119仿古砖 4" xfId="29166"/>
    <cellStyle name="好_103洁具-龙头 _119仿古砖 4 2" xfId="29167"/>
    <cellStyle name="好_103洁具-龙头 _119仿古砖 5" xfId="24535"/>
    <cellStyle name="好_103洁具-龙头 _119仿古砖 5 2" xfId="24538"/>
    <cellStyle name="好_103洁具-龙头 _119仿古砖 6" xfId="24541"/>
    <cellStyle name="好_103洁具-龙头 _119仿古砖_聊城样板房工程量计算稿" xfId="29168"/>
    <cellStyle name="好_103洁具-龙头 _119仿古砖_终板 潍坊翡翠华庭样板房清单" xfId="29169"/>
    <cellStyle name="好_103洁具-龙头 _2009年6月甲供材料模板（29类版）" xfId="29170"/>
    <cellStyle name="好_103洁具-龙头 _2009年6月甲供材料模板（29类版） 2" xfId="29171"/>
    <cellStyle name="好_103洁具-龙头 _2009年6月甲供材料模板（29类版） 2 2" xfId="29172"/>
    <cellStyle name="好_103洁具-龙头 _2009年6月甲供材料模板（29类版） 3" xfId="29173"/>
    <cellStyle name="好_103洁具-龙头 _2009年6月甲供材料模板（29类版） 3 2" xfId="18461"/>
    <cellStyle name="好_103洁具-龙头 _2009年6月甲供材料模板（29类版） 4" xfId="27980"/>
    <cellStyle name="好_103洁具-龙头 _2009年6月甲供材料模板（29类版） 4 2" xfId="18467"/>
    <cellStyle name="好_103洁具-龙头 _2009年6月甲供材料模板（29类版） 5" xfId="27983"/>
    <cellStyle name="好_103洁具-龙头 _2009年6月甲供材料模板（29类版） 5 2" xfId="29174"/>
    <cellStyle name="好_103洁具-龙头 _2009年6月甲供材料模板（29类版） 6" xfId="19730"/>
    <cellStyle name="好_103洁具-龙头 _2009年6月甲供材料模板（29类版）_聊城样板房工程量计算稿" xfId="29175"/>
    <cellStyle name="好_103洁具-龙头 _2009年6月甲供材料模板（29类版）_终板 潍坊翡翠华庭样板房清单" xfId="29176"/>
    <cellStyle name="好_103洁具-龙头 _聊城样板房工程量计算稿" xfId="29177"/>
    <cellStyle name="好_103洁具-龙头 _终板 潍坊翡翠华庭样板房清单" xfId="29178"/>
    <cellStyle name="好_104抛光砖" xfId="29180"/>
    <cellStyle name="好_104抛光砖 2" xfId="15252"/>
    <cellStyle name="好_104抛光砖 2 2" xfId="29182"/>
    <cellStyle name="好_104抛光砖 2 2 2" xfId="25533"/>
    <cellStyle name="好_104抛光砖 2 3" xfId="19650"/>
    <cellStyle name="好_104抛光砖 2 3 2" xfId="19654"/>
    <cellStyle name="好_104抛光砖 2 4" xfId="19658"/>
    <cellStyle name="好_104抛光砖 2 4 2" xfId="19662"/>
    <cellStyle name="好_104抛光砖 2 5" xfId="19665"/>
    <cellStyle name="好_104抛光砖 2_聊城样板房工程量计算稿" xfId="29185"/>
    <cellStyle name="好_104抛光砖 2_终板 潍坊翡翠华庭样板房清单" xfId="29187"/>
    <cellStyle name="好_104抛光砖 3" xfId="29189"/>
    <cellStyle name="好_104抛光砖 3 2" xfId="29192"/>
    <cellStyle name="好_104抛光砖 3 2 2" xfId="29195"/>
    <cellStyle name="好_104抛光砖 3 3" xfId="29197"/>
    <cellStyle name="好_104抛光砖 3 3 2" xfId="29200"/>
    <cellStyle name="好_104抛光砖 3 4" xfId="29202"/>
    <cellStyle name="好_104抛光砖 3 4 2" xfId="28234"/>
    <cellStyle name="好_104抛光砖 3 5" xfId="29204"/>
    <cellStyle name="好_104抛光砖 4" xfId="29207"/>
    <cellStyle name="好_104抛光砖 4 2" xfId="29209"/>
    <cellStyle name="好_104抛光砖 5" xfId="29211"/>
    <cellStyle name="好_104抛光砖 5 2" xfId="29213"/>
    <cellStyle name="好_104抛光砖 6" xfId="29215"/>
    <cellStyle name="好_104抛光砖 6 2" xfId="29217"/>
    <cellStyle name="好_104抛光砖 7" xfId="29219"/>
    <cellStyle name="好_104抛光砖 7 2" xfId="29221"/>
    <cellStyle name="好_104抛光砖 8" xfId="29223"/>
    <cellStyle name="好_104抛光砖_1" xfId="29225"/>
    <cellStyle name="好_104抛光砖_1 2" xfId="29226"/>
    <cellStyle name="好_104抛光砖_1 2 2" xfId="20957"/>
    <cellStyle name="好_104抛光砖_1 3" xfId="29227"/>
    <cellStyle name="好_104抛光砖_1 3 2" xfId="29228"/>
    <cellStyle name="好_104抛光砖_1 4" xfId="29229"/>
    <cellStyle name="好_104抛光砖_1 4 2" xfId="29230"/>
    <cellStyle name="好_104抛光砖_1 5" xfId="29231"/>
    <cellStyle name="好_104抛光砖_1 5 2" xfId="29232"/>
    <cellStyle name="好_104抛光砖_1 6" xfId="29233"/>
    <cellStyle name="好_104抛光砖_1_聊城样板房工程量计算稿" xfId="29235"/>
    <cellStyle name="好_104抛光砖_1_终板 潍坊翡翠华庭样板房清单" xfId="29236"/>
    <cellStyle name="好_104抛光砖_102洁具-陶瓷" xfId="29237"/>
    <cellStyle name="好_104抛光砖_102洁具-陶瓷 2" xfId="29239"/>
    <cellStyle name="好_104抛光砖_102洁具-陶瓷 2 2" xfId="29241"/>
    <cellStyle name="好_104抛光砖_102洁具-陶瓷 3" xfId="29243"/>
    <cellStyle name="好_104抛光砖_102洁具-陶瓷 3 2" xfId="29245"/>
    <cellStyle name="好_104抛光砖_102洁具-陶瓷 4" xfId="29247"/>
    <cellStyle name="好_104抛光砖_102洁具-陶瓷 4 2" xfId="5465"/>
    <cellStyle name="好_104抛光砖_102洁具-陶瓷 5" xfId="17347"/>
    <cellStyle name="好_104抛光砖_102洁具-陶瓷 5 2" xfId="29249"/>
    <cellStyle name="好_104抛光砖_102洁具-陶瓷 6" xfId="29253"/>
    <cellStyle name="好_104抛光砖_102洁具-陶瓷_聊城样板房工程量计算稿" xfId="29256"/>
    <cellStyle name="好_104抛光砖_102洁具-陶瓷_终板 潍坊翡翠华庭样板房清单" xfId="5908"/>
    <cellStyle name="好_104抛光砖_105瓷片 " xfId="29258"/>
    <cellStyle name="好_104抛光砖_105瓷片  2" xfId="25995"/>
    <cellStyle name="好_104抛光砖_105瓷片  2 2" xfId="26000"/>
    <cellStyle name="好_104抛光砖_105瓷片  3" xfId="26005"/>
    <cellStyle name="好_104抛光砖_105瓷片  3 2" xfId="22816"/>
    <cellStyle name="好_104抛光砖_105瓷片  4" xfId="26046"/>
    <cellStyle name="好_104抛光砖_105瓷片  4 2" xfId="16644"/>
    <cellStyle name="好_104抛光砖_105瓷片  5" xfId="26051"/>
    <cellStyle name="好_104抛光砖_105瓷片  5 2" xfId="26056"/>
    <cellStyle name="好_104抛光砖_105瓷片  6" xfId="26060"/>
    <cellStyle name="好_104抛光砖_105瓷片 _聊城样板房工程量计算稿" xfId="29260"/>
    <cellStyle name="好_104抛光砖_105瓷片 _终板 潍坊翡翠华庭样板房清单" xfId="29263"/>
    <cellStyle name="好_104抛光砖_109吸顶灯" xfId="8762"/>
    <cellStyle name="好_104抛光砖_109吸顶灯 2" xfId="20469"/>
    <cellStyle name="好_104抛光砖_109吸顶灯 2 2" xfId="25131"/>
    <cellStyle name="好_104抛光砖_109吸顶灯 3" xfId="29265"/>
    <cellStyle name="好_104抛光砖_109吸顶灯 3 2" xfId="25144"/>
    <cellStyle name="好_104抛光砖_109吸顶灯 4" xfId="29269"/>
    <cellStyle name="好_104抛光砖_109吸顶灯 4 2" xfId="25206"/>
    <cellStyle name="好_104抛光砖_109吸顶灯 5" xfId="21841"/>
    <cellStyle name="好_104抛光砖_109吸顶灯 5 2" xfId="21846"/>
    <cellStyle name="好_104抛光砖_109吸顶灯 6" xfId="21851"/>
    <cellStyle name="好_104抛光砖_109吸顶灯_聊城样板房工程量计算稿" xfId="18751"/>
    <cellStyle name="好_104抛光砖_109吸顶灯_终板 潍坊翡翠华庭样板房清单" xfId="4700"/>
    <cellStyle name="好_104抛光砖_110水晶灯" xfId="29271"/>
    <cellStyle name="好_104抛光砖_110水晶灯 2" xfId="29273"/>
    <cellStyle name="好_104抛光砖_110水晶灯 2 2" xfId="29275"/>
    <cellStyle name="好_104抛光砖_110水晶灯 3" xfId="29277"/>
    <cellStyle name="好_104抛光砖_110水晶灯 3 2" xfId="8425"/>
    <cellStyle name="好_104抛光砖_110水晶灯 4" xfId="20486"/>
    <cellStyle name="好_104抛光砖_110水晶灯 4 2" xfId="20491"/>
    <cellStyle name="好_104抛光砖_110水晶灯 5" xfId="20494"/>
    <cellStyle name="好_104抛光砖_110水晶灯 5 2" xfId="20499"/>
    <cellStyle name="好_104抛光砖_110水晶灯 6" xfId="20503"/>
    <cellStyle name="好_104抛光砖_110水晶灯_聊城样板房工程量计算稿" xfId="15652"/>
    <cellStyle name="好_104抛光砖_110水晶灯_终板 潍坊翡翠华庭样板房清单" xfId="20855"/>
    <cellStyle name="好_104抛光砖_118仿石砖" xfId="29279"/>
    <cellStyle name="好_104抛光砖_118仿石砖 2" xfId="29281"/>
    <cellStyle name="好_104抛光砖_118仿石砖 2 2" xfId="9991"/>
    <cellStyle name="好_104抛光砖_118仿石砖 3" xfId="29283"/>
    <cellStyle name="好_104抛光砖_118仿石砖 3 2" xfId="19435"/>
    <cellStyle name="好_104抛光砖_118仿石砖 4" xfId="29285"/>
    <cellStyle name="好_104抛光砖_118仿石砖 4 2" xfId="5639"/>
    <cellStyle name="好_104抛光砖_118仿石砖 5" xfId="29287"/>
    <cellStyle name="好_104抛光砖_118仿石砖 5 2" xfId="29289"/>
    <cellStyle name="好_104抛光砖_118仿石砖 6" xfId="29291"/>
    <cellStyle name="好_104抛光砖_118仿石砖_聊城样板房工程量计算稿" xfId="26316"/>
    <cellStyle name="好_104抛光砖_118仿石砖_终板 潍坊翡翠华庭样板房清单" xfId="29293"/>
    <cellStyle name="好_104抛光砖_119仿古砖" xfId="18891"/>
    <cellStyle name="好_104抛光砖_119仿古砖 2" xfId="29295"/>
    <cellStyle name="好_104抛光砖_119仿古砖 2 2" xfId="29297"/>
    <cellStyle name="好_104抛光砖_119仿古砖 3" xfId="29299"/>
    <cellStyle name="好_104抛光砖_119仿古砖 3 2" xfId="29301"/>
    <cellStyle name="好_104抛光砖_119仿古砖 4" xfId="29304"/>
    <cellStyle name="好_104抛光砖_119仿古砖 4 2" xfId="23717"/>
    <cellStyle name="好_104抛光砖_119仿古砖 5" xfId="16693"/>
    <cellStyle name="好_104抛光砖_119仿古砖 5 2" xfId="29306"/>
    <cellStyle name="好_104抛光砖_119仿古砖 6" xfId="29308"/>
    <cellStyle name="好_104抛光砖_119仿古砖_聊城样板房工程量计算稿" xfId="8045"/>
    <cellStyle name="好_104抛光砖_119仿古砖_终板 潍坊翡翠华庭样板房清单" xfId="29310"/>
    <cellStyle name="好_104抛光砖_2009年6月甲供材料模板（29类版）" xfId="29312"/>
    <cellStyle name="好_104抛光砖_2009年6月甲供材料模板（29类版） 2" xfId="29314"/>
    <cellStyle name="好_104抛光砖_2009年6月甲供材料模板（29类版） 2 2" xfId="22210"/>
    <cellStyle name="好_104抛光砖_2009年6月甲供材料模板（29类版） 3" xfId="29316"/>
    <cellStyle name="好_104抛光砖_2009年6月甲供材料模板（29类版） 3 2" xfId="29318"/>
    <cellStyle name="好_104抛光砖_2009年6月甲供材料模板（29类版） 4" xfId="29320"/>
    <cellStyle name="好_104抛光砖_2009年6月甲供材料模板（29类版） 4 2" xfId="29322"/>
    <cellStyle name="好_104抛光砖_2009年6月甲供材料模板（29类版） 5" xfId="29324"/>
    <cellStyle name="好_104抛光砖_2009年6月甲供材料模板（29类版） 5 2" xfId="29327"/>
    <cellStyle name="好_104抛光砖_2009年6月甲供材料模板（29类版） 6" xfId="1971"/>
    <cellStyle name="好_104抛光砖_2009年6月甲供材料模板（29类版）_聊城样板房工程量计算稿" xfId="18737"/>
    <cellStyle name="好_104抛光砖_2009年6月甲供材料模板（29类版）_终板 潍坊翡翠华庭样板房清单" xfId="6968"/>
    <cellStyle name="好_104抛光砖_编码细则" xfId="29329"/>
    <cellStyle name="好_104抛光砖_编码细则 2" xfId="7855"/>
    <cellStyle name="好_104抛光砖_编码细则 2 2" xfId="7857"/>
    <cellStyle name="好_104抛光砖_编码细则 3" xfId="29330"/>
    <cellStyle name="好_104抛光砖_编码细则 3 2" xfId="29331"/>
    <cellStyle name="好_104抛光砖_编码细则 4" xfId="29333"/>
    <cellStyle name="好_104抛光砖_编码细则 4 2" xfId="29335"/>
    <cellStyle name="好_104抛光砖_编码细则 5" xfId="29338"/>
    <cellStyle name="好_104抛光砖_编码细则 5 2" xfId="29341"/>
    <cellStyle name="好_104抛光砖_编码细则 6" xfId="29344"/>
    <cellStyle name="好_104抛光砖_编码细则_聊城样板房工程量计算稿" xfId="14095"/>
    <cellStyle name="好_104抛光砖_编码细则_终板 潍坊翡翠华庭样板房清单" xfId="6584"/>
    <cellStyle name="好_104抛光砖_聊城样板房工程量计算稿" xfId="29345"/>
    <cellStyle name="好_104抛光砖_终板 潍坊翡翠华庭样板房清单" xfId="13907"/>
    <cellStyle name="好_105瓷片 " xfId="23478"/>
    <cellStyle name="好_105瓷片  2" xfId="29347"/>
    <cellStyle name="好_105瓷片  2 2" xfId="29348"/>
    <cellStyle name="好_105瓷片  2 2 2" xfId="29351"/>
    <cellStyle name="好_105瓷片  2 3" xfId="29352"/>
    <cellStyle name="好_105瓷片  2 3 2" xfId="29355"/>
    <cellStyle name="好_105瓷片  2 4" xfId="29356"/>
    <cellStyle name="好_105瓷片  2 4 2" xfId="29359"/>
    <cellStyle name="好_105瓷片  2 5" xfId="20620"/>
    <cellStyle name="好_105瓷片  2_聊城样板房工程量计算稿" xfId="9121"/>
    <cellStyle name="好_105瓷片  2_终板 潍坊翡翠华庭样板房清单" xfId="29360"/>
    <cellStyle name="好_105瓷片  3" xfId="29361"/>
    <cellStyle name="好_105瓷片  3 2" xfId="8632"/>
    <cellStyle name="好_105瓷片  3 2 2" xfId="20974"/>
    <cellStyle name="好_105瓷片  3 3" xfId="20977"/>
    <cellStyle name="好_105瓷片  3 3 2" xfId="24759"/>
    <cellStyle name="好_105瓷片  3 4" xfId="29362"/>
    <cellStyle name="好_105瓷片  3 4 2" xfId="24872"/>
    <cellStyle name="好_105瓷片  3 5" xfId="29363"/>
    <cellStyle name="好_105瓷片  4" xfId="26702"/>
    <cellStyle name="好_105瓷片  4 2" xfId="26705"/>
    <cellStyle name="好_105瓷片  5" xfId="6651"/>
    <cellStyle name="好_105瓷片  5 2" xfId="26708"/>
    <cellStyle name="好_105瓷片  6" xfId="26711"/>
    <cellStyle name="好_105瓷片  6 2" xfId="29364"/>
    <cellStyle name="好_105瓷片  7" xfId="29365"/>
    <cellStyle name="好_105瓷片  7 2" xfId="29366"/>
    <cellStyle name="好_105瓷片  8" xfId="21248"/>
    <cellStyle name="好_105瓷片 _1" xfId="23830"/>
    <cellStyle name="好_105瓷片 _1 2" xfId="29367"/>
    <cellStyle name="好_105瓷片 _1 2 2" xfId="12289"/>
    <cellStyle name="好_105瓷片 _1 3" xfId="29368"/>
    <cellStyle name="好_105瓷片 _1 3 2" xfId="12360"/>
    <cellStyle name="好_105瓷片 _1 4" xfId="29369"/>
    <cellStyle name="好_105瓷片 _1 4 2" xfId="12427"/>
    <cellStyle name="好_105瓷片 _1 5" xfId="29370"/>
    <cellStyle name="好_105瓷片 _1 5 2" xfId="12454"/>
    <cellStyle name="好_105瓷片 _1 6" xfId="29371"/>
    <cellStyle name="好_105瓷片 _1_聊城样板房工程量计算稿" xfId="29372"/>
    <cellStyle name="好_105瓷片 _1_终板 潍坊翡翠华庭样板房清单" xfId="14322"/>
    <cellStyle name="好_105瓷片 _102洁具-陶瓷" xfId="5989"/>
    <cellStyle name="好_105瓷片 _102洁具-陶瓷 2" xfId="5064"/>
    <cellStyle name="好_105瓷片 _102洁具-陶瓷 2 2" xfId="5068"/>
    <cellStyle name="好_105瓷片 _102洁具-陶瓷 3" xfId="5101"/>
    <cellStyle name="好_105瓷片 _102洁具-陶瓷 3 2" xfId="5104"/>
    <cellStyle name="好_105瓷片 _102洁具-陶瓷 4" xfId="5177"/>
    <cellStyle name="好_105瓷片 _102洁具-陶瓷 4 2" xfId="5180"/>
    <cellStyle name="好_105瓷片 _102洁具-陶瓷 5" xfId="5235"/>
    <cellStyle name="好_105瓷片 _102洁具-陶瓷 5 2" xfId="29373"/>
    <cellStyle name="好_105瓷片 _102洁具-陶瓷 6" xfId="29374"/>
    <cellStyle name="好_105瓷片 _102洁具-陶瓷_聊城样板房工程量计算稿" xfId="29375"/>
    <cellStyle name="好_105瓷片 _102洁具-陶瓷_终板 潍坊翡翠华庭样板房清单" xfId="17774"/>
    <cellStyle name="好_105瓷片 _105瓷片 " xfId="29376"/>
    <cellStyle name="好_105瓷片 _105瓷片  2" xfId="5506"/>
    <cellStyle name="好_105瓷片 _105瓷片  2 2" xfId="27236"/>
    <cellStyle name="好_105瓷片 _105瓷片  3" xfId="29377"/>
    <cellStyle name="好_105瓷片 _105瓷片  3 2" xfId="27251"/>
    <cellStyle name="好_105瓷片 _105瓷片  4" xfId="7679"/>
    <cellStyle name="好_105瓷片 _105瓷片  4 2" xfId="27270"/>
    <cellStyle name="好_105瓷片 _105瓷片  5" xfId="29378"/>
    <cellStyle name="好_105瓷片 _105瓷片  5 2" xfId="27283"/>
    <cellStyle name="好_105瓷片 _105瓷片  6" xfId="18629"/>
    <cellStyle name="好_105瓷片 _105瓷片 _聊城样板房工程量计算稿" xfId="29379"/>
    <cellStyle name="好_105瓷片 _105瓷片 _终板 潍坊翡翠华庭样板房清单" xfId="29380"/>
    <cellStyle name="好_105瓷片 _109吸顶灯" xfId="29382"/>
    <cellStyle name="好_105瓷片 _109吸顶灯 2" xfId="9641"/>
    <cellStyle name="好_105瓷片 _109吸顶灯 2 2" xfId="9643"/>
    <cellStyle name="好_105瓷片 _109吸顶灯 3" xfId="9650"/>
    <cellStyle name="好_105瓷片 _109吸顶灯 3 2" xfId="9653"/>
    <cellStyle name="好_105瓷片 _109吸顶灯 4" xfId="9655"/>
    <cellStyle name="好_105瓷片 _109吸顶灯 4 2" xfId="29384"/>
    <cellStyle name="好_105瓷片 _109吸顶灯 5" xfId="24216"/>
    <cellStyle name="好_105瓷片 _109吸顶灯 5 2" xfId="29386"/>
    <cellStyle name="好_105瓷片 _109吸顶灯 6" xfId="29388"/>
    <cellStyle name="好_105瓷片 _109吸顶灯_聊城样板房工程量计算稿" xfId="29389"/>
    <cellStyle name="好_105瓷片 _109吸顶灯_终板 潍坊翡翠华庭样板房清单" xfId="7633"/>
    <cellStyle name="好_105瓷片 _110水晶灯" xfId="29390"/>
    <cellStyle name="好_105瓷片 _110水晶灯 2" xfId="29391"/>
    <cellStyle name="好_105瓷片 _110水晶灯 2 2" xfId="29392"/>
    <cellStyle name="好_105瓷片 _110水晶灯 3" xfId="19228"/>
    <cellStyle name="好_105瓷片 _110水晶灯 3 2" xfId="22589"/>
    <cellStyle name="好_105瓷片 _110水晶灯 4" xfId="28266"/>
    <cellStyle name="好_105瓷片 _110水晶灯 4 2" xfId="7686"/>
    <cellStyle name="好_105瓷片 _110水晶灯 5" xfId="28268"/>
    <cellStyle name="好_105瓷片 _110水晶灯 5 2" xfId="29393"/>
    <cellStyle name="好_105瓷片 _110水晶灯 6" xfId="14627"/>
    <cellStyle name="好_105瓷片 _110水晶灯_聊城样板房工程量计算稿" xfId="17680"/>
    <cellStyle name="好_105瓷片 _110水晶灯_终板 潍坊翡翠华庭样板房清单" xfId="29395"/>
    <cellStyle name="好_105瓷片 _118仿石砖" xfId="3546"/>
    <cellStyle name="好_105瓷片 _118仿石砖 2" xfId="6865"/>
    <cellStyle name="好_105瓷片 _118仿石砖 2 2" xfId="12191"/>
    <cellStyle name="好_105瓷片 _118仿石砖 3" xfId="12201"/>
    <cellStyle name="好_105瓷片 _118仿石砖 3 2" xfId="12204"/>
    <cellStyle name="好_105瓷片 _118仿石砖 4" xfId="12207"/>
    <cellStyle name="好_105瓷片 _118仿石砖 4 2" xfId="29397"/>
    <cellStyle name="好_105瓷片 _118仿石砖 5" xfId="23292"/>
    <cellStyle name="好_105瓷片 _118仿石砖 5 2" xfId="22808"/>
    <cellStyle name="好_105瓷片 _118仿石砖 6" xfId="29398"/>
    <cellStyle name="好_105瓷片 _118仿石砖_聊城样板房工程量计算稿" xfId="29399"/>
    <cellStyle name="好_105瓷片 _118仿石砖_终板 潍坊翡翠华庭样板房清单" xfId="16398"/>
    <cellStyle name="好_105瓷片 _119仿古砖" xfId="29400"/>
    <cellStyle name="好_105瓷片 _119仿古砖 2" xfId="1949"/>
    <cellStyle name="好_105瓷片 _119仿古砖 2 2" xfId="29401"/>
    <cellStyle name="好_105瓷片 _119仿古砖 3" xfId="29402"/>
    <cellStyle name="好_105瓷片 _119仿古砖 3 2" xfId="29403"/>
    <cellStyle name="好_105瓷片 _119仿古砖 4" xfId="29404"/>
    <cellStyle name="好_105瓷片 _119仿古砖 4 2" xfId="29405"/>
    <cellStyle name="好_105瓷片 _119仿古砖 5" xfId="29406"/>
    <cellStyle name="好_105瓷片 _119仿古砖 5 2" xfId="27707"/>
    <cellStyle name="好_105瓷片 _119仿古砖 6" xfId="8796"/>
    <cellStyle name="好_105瓷片 _119仿古砖_聊城样板房工程量计算稿" xfId="29407"/>
    <cellStyle name="好_105瓷片 _119仿古砖_终板 潍坊翡翠华庭样板房清单" xfId="19066"/>
    <cellStyle name="好_105瓷片 _2009年6月甲供材料模板（29类版）" xfId="29408"/>
    <cellStyle name="好_105瓷片 _2009年6月甲供材料模板（29类版） 2" xfId="29409"/>
    <cellStyle name="好_105瓷片 _2009年6月甲供材料模板（29类版） 2 2" xfId="29410"/>
    <cellStyle name="好_105瓷片 _2009年6月甲供材料模板（29类版） 3" xfId="29411"/>
    <cellStyle name="好_105瓷片 _2009年6月甲供材料模板（29类版） 3 2" xfId="29412"/>
    <cellStyle name="好_105瓷片 _2009年6月甲供材料模板（29类版） 4" xfId="8460"/>
    <cellStyle name="好_105瓷片 _2009年6月甲供材料模板（29类版） 4 2" xfId="29413"/>
    <cellStyle name="好_105瓷片 _2009年6月甲供材料模板（29类版） 5" xfId="29415"/>
    <cellStyle name="好_105瓷片 _2009年6月甲供材料模板（29类版） 5 2" xfId="29416"/>
    <cellStyle name="好_105瓷片 _2009年6月甲供材料模板（29类版） 6" xfId="29417"/>
    <cellStyle name="好_105瓷片 _2009年6月甲供材料模板（29类版）_聊城样板房工程量计算稿" xfId="29418"/>
    <cellStyle name="好_105瓷片 _2009年6月甲供材料模板（29类版）_终板 潍坊翡翠华庭样板房清单" xfId="6869"/>
    <cellStyle name="好_105瓷片 _聊城样板房工程量计算稿" xfId="27726"/>
    <cellStyle name="好_105瓷片 _终板 潍坊翡翠华庭样板房清单" xfId="26828"/>
    <cellStyle name="好_107开关面板" xfId="18887"/>
    <cellStyle name="好_107开关面板 2" xfId="20537"/>
    <cellStyle name="好_107开关面板 2 2" xfId="20539"/>
    <cellStyle name="好_107开关面板 2 2 2" xfId="29419"/>
    <cellStyle name="好_107开关面板 2 3" xfId="29420"/>
    <cellStyle name="好_107开关面板 2 3 2" xfId="29421"/>
    <cellStyle name="好_107开关面板 2 4" xfId="29422"/>
    <cellStyle name="好_107开关面板 2 4 2" xfId="29423"/>
    <cellStyle name="好_107开关面板 2 5" xfId="29424"/>
    <cellStyle name="好_107开关面板 2_聊城样板房工程量计算稿" xfId="29425"/>
    <cellStyle name="好_107开关面板 2_终板 潍坊翡翠华庭样板房清单" xfId="5027"/>
    <cellStyle name="好_107开关面板 3" xfId="20541"/>
    <cellStyle name="好_107开关面板 3 2" xfId="29426"/>
    <cellStyle name="好_107开关面板 3 2 2" xfId="29427"/>
    <cellStyle name="好_107开关面板 3 3" xfId="29428"/>
    <cellStyle name="好_107开关面板 3 3 2" xfId="29429"/>
    <cellStyle name="好_107开关面板 3 4" xfId="29431"/>
    <cellStyle name="好_107开关面板 3 4 2" xfId="29432"/>
    <cellStyle name="好_107开关面板 3 5" xfId="25693"/>
    <cellStyle name="好_107开关面板 4" xfId="29434"/>
    <cellStyle name="好_107开关面板 4 2" xfId="29435"/>
    <cellStyle name="好_107开关面板 5" xfId="16688"/>
    <cellStyle name="好_107开关面板 5 2" xfId="29436"/>
    <cellStyle name="好_107开关面板 6" xfId="29437"/>
    <cellStyle name="好_107开关面板 6 2" xfId="29438"/>
    <cellStyle name="好_107开关面板 7" xfId="29439"/>
    <cellStyle name="好_107开关面板 7 2" xfId="29440"/>
    <cellStyle name="好_107开关面板 8" xfId="29441"/>
    <cellStyle name="好_107开关面板_102洁具-陶瓷" xfId="29442"/>
    <cellStyle name="好_107开关面板_102洁具-陶瓷 2" xfId="29443"/>
    <cellStyle name="好_107开关面板_102洁具-陶瓷 2 2" xfId="29444"/>
    <cellStyle name="好_107开关面板_102洁具-陶瓷 3" xfId="29446"/>
    <cellStyle name="好_107开关面板_102洁具-陶瓷 3 2" xfId="29447"/>
    <cellStyle name="好_107开关面板_102洁具-陶瓷 4" xfId="27041"/>
    <cellStyle name="好_107开关面板_102洁具-陶瓷 4 2" xfId="19025"/>
    <cellStyle name="好_107开关面板_102洁具-陶瓷 5" xfId="27045"/>
    <cellStyle name="好_107开关面板_102洁具-陶瓷 5 2" xfId="27048"/>
    <cellStyle name="好_107开关面板_102洁具-陶瓷 6" xfId="27051"/>
    <cellStyle name="好_107开关面板_102洁具-陶瓷_聊城样板房工程量计算稿" xfId="29448"/>
    <cellStyle name="好_107开关面板_102洁具-陶瓷_终板 潍坊翡翠华庭样板房清单" xfId="29449"/>
    <cellStyle name="好_107开关面板_105瓷片 " xfId="8329"/>
    <cellStyle name="好_107开关面板_105瓷片  2" xfId="8331"/>
    <cellStyle name="好_107开关面板_105瓷片  2 2" xfId="29450"/>
    <cellStyle name="好_107开关面板_105瓷片  3" xfId="8333"/>
    <cellStyle name="好_107开关面板_105瓷片  3 2" xfId="6336"/>
    <cellStyle name="好_107开关面板_105瓷片  4" xfId="8335"/>
    <cellStyle name="好_107开关面板_105瓷片  4 2" xfId="6349"/>
    <cellStyle name="好_107开关面板_105瓷片  5" xfId="8337"/>
    <cellStyle name="好_107开关面板_105瓷片  5 2" xfId="29451"/>
    <cellStyle name="好_107开关面板_105瓷片  6" xfId="29452"/>
    <cellStyle name="好_107开关面板_105瓷片 _聊城样板房工程量计算稿" xfId="29453"/>
    <cellStyle name="好_107开关面板_105瓷片 _终板 潍坊翡翠华庭样板房清单" xfId="29454"/>
    <cellStyle name="好_107开关面板_109吸顶灯" xfId="18964"/>
    <cellStyle name="好_107开关面板_109吸顶灯 2" xfId="29456"/>
    <cellStyle name="好_107开关面板_109吸顶灯 2 2" xfId="10565"/>
    <cellStyle name="好_107开关面板_109吸顶灯 3" xfId="29457"/>
    <cellStyle name="好_107开关面板_109吸顶灯 3 2" xfId="10605"/>
    <cellStyle name="好_107开关面板_109吸顶灯 4" xfId="29459"/>
    <cellStyle name="好_107开关面板_109吸顶灯 4 2" xfId="10632"/>
    <cellStyle name="好_107开关面板_109吸顶灯 5" xfId="29460"/>
    <cellStyle name="好_107开关面板_109吸顶灯 5 2" xfId="10651"/>
    <cellStyle name="好_107开关面板_109吸顶灯 6" xfId="29461"/>
    <cellStyle name="好_107开关面板_109吸顶灯_聊城样板房工程量计算稿" xfId="12539"/>
    <cellStyle name="好_107开关面板_109吸顶灯_终板 潍坊翡翠华庭样板房清单" xfId="29462"/>
    <cellStyle name="好_107开关面板_110水晶灯" xfId="14214"/>
    <cellStyle name="好_107开关面板_110水晶灯 2" xfId="14217"/>
    <cellStyle name="好_107开关面板_110水晶灯 2 2" xfId="14220"/>
    <cellStyle name="好_107开关面板_110水晶灯 3" xfId="14229"/>
    <cellStyle name="好_107开关面板_110水晶灯 3 2" xfId="14233"/>
    <cellStyle name="好_107开关面板_110水晶灯 4" xfId="13655"/>
    <cellStyle name="好_107开关面板_110水晶灯 4 2" xfId="14248"/>
    <cellStyle name="好_107开关面板_110水晶灯 5" xfId="14251"/>
    <cellStyle name="好_107开关面板_110水晶灯 5 2" xfId="4324"/>
    <cellStyle name="好_107开关面板_110水晶灯 6" xfId="29463"/>
    <cellStyle name="好_107开关面板_110水晶灯_聊城样板房工程量计算稿" xfId="6887"/>
    <cellStyle name="好_107开关面板_110水晶灯_终板 潍坊翡翠华庭样板房清单" xfId="29464"/>
    <cellStyle name="好_107开关面板_118仿石砖" xfId="29465"/>
    <cellStyle name="好_107开关面板_118仿石砖 2" xfId="29466"/>
    <cellStyle name="好_107开关面板_118仿石砖 2 2" xfId="29467"/>
    <cellStyle name="好_107开关面板_118仿石砖 3" xfId="29469"/>
    <cellStyle name="好_107开关面板_118仿石砖 3 2" xfId="29471"/>
    <cellStyle name="好_107开关面板_118仿石砖 4" xfId="29474"/>
    <cellStyle name="好_107开关面板_118仿石砖 4 2" xfId="29477"/>
    <cellStyle name="好_107开关面板_118仿石砖 5" xfId="29480"/>
    <cellStyle name="好_107开关面板_118仿石砖 5 2" xfId="29483"/>
    <cellStyle name="好_107开关面板_118仿石砖 6" xfId="2079"/>
    <cellStyle name="好_107开关面板_118仿石砖_聊城样板房工程量计算稿" xfId="21147"/>
    <cellStyle name="好_107开关面板_118仿石砖_终板 潍坊翡翠华庭样板房清单" xfId="29484"/>
    <cellStyle name="好_107开关面板_119仿古砖" xfId="29485"/>
    <cellStyle name="好_107开关面板_119仿古砖 2" xfId="29486"/>
    <cellStyle name="好_107开关面板_119仿古砖 2 2" xfId="29487"/>
    <cellStyle name="好_107开关面板_119仿古砖 3" xfId="20102"/>
    <cellStyle name="好_107开关面板_119仿古砖 3 2" xfId="20105"/>
    <cellStyle name="好_107开关面板_119仿古砖 4" xfId="20107"/>
    <cellStyle name="好_107开关面板_119仿古砖 4 2" xfId="16913"/>
    <cellStyle name="好_107开关面板_119仿古砖 5" xfId="20109"/>
    <cellStyle name="好_107开关面板_119仿古砖 5 2" xfId="16973"/>
    <cellStyle name="好_107开关面板_119仿古砖 6" xfId="20112"/>
    <cellStyle name="好_107开关面板_119仿古砖_聊城样板房工程量计算稿" xfId="29488"/>
    <cellStyle name="好_107开关面板_119仿古砖_终板 潍坊翡翠华庭样板房清单" xfId="4177"/>
    <cellStyle name="好_107开关面板_2009年6月甲供材料模板（29类版）" xfId="29489"/>
    <cellStyle name="好_107开关面板_2009年6月甲供材料模板（29类版） 2" xfId="16510"/>
    <cellStyle name="好_107开关面板_2009年6月甲供材料模板（29类版） 2 2" xfId="16513"/>
    <cellStyle name="好_107开关面板_2009年6月甲供材料模板（29类版） 3" xfId="16517"/>
    <cellStyle name="好_107开关面板_2009年6月甲供材料模板（29类版） 3 2" xfId="29490"/>
    <cellStyle name="好_107开关面板_2009年6月甲供材料模板（29类版） 4" xfId="372"/>
    <cellStyle name="好_107开关面板_2009年6月甲供材料模板（29类版） 4 2" xfId="21012"/>
    <cellStyle name="好_107开关面板_2009年6月甲供材料模板（29类版） 5" xfId="21015"/>
    <cellStyle name="好_107开关面板_2009年6月甲供材料模板（29类版） 5 2" xfId="21017"/>
    <cellStyle name="好_107开关面板_2009年6月甲供材料模板（29类版） 6" xfId="741"/>
    <cellStyle name="好_107开关面板_2009年6月甲供材料模板（29类版）_聊城样板房工程量计算稿" xfId="4572"/>
    <cellStyle name="好_107开关面板_2009年6月甲供材料模板（29类版）_终板 潍坊翡翠华庭样板房清单" xfId="19399"/>
    <cellStyle name="好_107开关面板_编码细则" xfId="29491"/>
    <cellStyle name="好_107开关面板_编码细则 2" xfId="29492"/>
    <cellStyle name="好_107开关面板_编码细则 2 2" xfId="29493"/>
    <cellStyle name="好_107开关面板_编码细则 3" xfId="29494"/>
    <cellStyle name="好_107开关面板_编码细则 3 2" xfId="29495"/>
    <cellStyle name="好_107开关面板_编码细则 4" xfId="22941"/>
    <cellStyle name="好_107开关面板_编码细则 4 2" xfId="28714"/>
    <cellStyle name="好_107开关面板_编码细则 5" xfId="29496"/>
    <cellStyle name="好_107开关面板_编码细则 5 2" xfId="23133"/>
    <cellStyle name="好_107开关面板_编码细则 6" xfId="29497"/>
    <cellStyle name="好_107开关面板_编码细则_聊城样板房工程量计算稿" xfId="29498"/>
    <cellStyle name="好_107开关面板_编码细则_终板 潍坊翡翠华庭样板房清单" xfId="29500"/>
    <cellStyle name="好_107开关面板_聊城样板房工程量计算稿" xfId="23998"/>
    <cellStyle name="好_107开关面板_终板 潍坊翡翠华庭样板房清单" xfId="29501"/>
    <cellStyle name="好_108欧雅墙纸" xfId="29502"/>
    <cellStyle name="好_108欧雅墙纸 2" xfId="19611"/>
    <cellStyle name="好_108欧雅墙纸 2 2" xfId="19614"/>
    <cellStyle name="好_108欧雅墙纸 2 2 2" xfId="19617"/>
    <cellStyle name="好_108欧雅墙纸 2 3" xfId="19619"/>
    <cellStyle name="好_108欧雅墙纸 2 3 2" xfId="19621"/>
    <cellStyle name="好_108欧雅墙纸 2 4" xfId="19623"/>
    <cellStyle name="好_108欧雅墙纸 2 4 2" xfId="19626"/>
    <cellStyle name="好_108欧雅墙纸 2 5" xfId="19628"/>
    <cellStyle name="好_108欧雅墙纸 2_聊城样板房工程量计算稿" xfId="19634"/>
    <cellStyle name="好_108欧雅墙纸 2_终板 潍坊翡翠华庭样板房清单" xfId="19636"/>
    <cellStyle name="好_108欧雅墙纸 3" xfId="14525"/>
    <cellStyle name="好_108欧雅墙纸 3 2" xfId="29505"/>
    <cellStyle name="好_108欧雅墙纸 3 2 2" xfId="27590"/>
    <cellStyle name="好_108欧雅墙纸 3 3" xfId="29506"/>
    <cellStyle name="好_108欧雅墙纸 3 3 2" xfId="29507"/>
    <cellStyle name="好_108欧雅墙纸 3 4" xfId="19068"/>
    <cellStyle name="好_108欧雅墙纸 3 4 2" xfId="20813"/>
    <cellStyle name="好_108欧雅墙纸 3 5" xfId="29508"/>
    <cellStyle name="好_108欧雅墙纸 4" xfId="29510"/>
    <cellStyle name="好_108欧雅墙纸 4 2" xfId="29512"/>
    <cellStyle name="好_108欧雅墙纸 5" xfId="29513"/>
    <cellStyle name="好_108欧雅墙纸 5 2" xfId="29514"/>
    <cellStyle name="好_108欧雅墙纸 6" xfId="29517"/>
    <cellStyle name="好_108欧雅墙纸 6 2" xfId="29519"/>
    <cellStyle name="好_108欧雅墙纸 7" xfId="8491"/>
    <cellStyle name="好_108欧雅墙纸 7 2" xfId="29520"/>
    <cellStyle name="好_108欧雅墙纸 8" xfId="29521"/>
    <cellStyle name="好_108欧雅墙纸_102洁具-陶瓷" xfId="29522"/>
    <cellStyle name="好_108欧雅墙纸_102洁具-陶瓷 2" xfId="29523"/>
    <cellStyle name="好_108欧雅墙纸_102洁具-陶瓷 2 2" xfId="29525"/>
    <cellStyle name="好_108欧雅墙纸_102洁具-陶瓷 3" xfId="29526"/>
    <cellStyle name="好_108欧雅墙纸_102洁具-陶瓷 3 2" xfId="29528"/>
    <cellStyle name="好_108欧雅墙纸_102洁具-陶瓷 4" xfId="29529"/>
    <cellStyle name="好_108欧雅墙纸_102洁具-陶瓷 4 2" xfId="29530"/>
    <cellStyle name="好_108欧雅墙纸_102洁具-陶瓷 5" xfId="25192"/>
    <cellStyle name="好_108欧雅墙纸_102洁具-陶瓷 5 2" xfId="29531"/>
    <cellStyle name="好_108欧雅墙纸_102洁具-陶瓷 6" xfId="27013"/>
    <cellStyle name="好_108欧雅墙纸_102洁具-陶瓷_聊城样板房工程量计算稿" xfId="8970"/>
    <cellStyle name="好_108欧雅墙纸_102洁具-陶瓷_终板 潍坊翡翠华庭样板房清单" xfId="4256"/>
    <cellStyle name="好_108欧雅墙纸_105瓷片 " xfId="28362"/>
    <cellStyle name="好_108欧雅墙纸_105瓷片  2" xfId="29532"/>
    <cellStyle name="好_108欧雅墙纸_105瓷片  2 2" xfId="29533"/>
    <cellStyle name="好_108欧雅墙纸_105瓷片  3" xfId="29535"/>
    <cellStyle name="好_108欧雅墙纸_105瓷片  3 2" xfId="29538"/>
    <cellStyle name="好_108欧雅墙纸_105瓷片  4" xfId="5050"/>
    <cellStyle name="好_108欧雅墙纸_105瓷片  4 2" xfId="5386"/>
    <cellStyle name="好_108欧雅墙纸_105瓷片  5" xfId="5399"/>
    <cellStyle name="好_108欧雅墙纸_105瓷片  5 2" xfId="29540"/>
    <cellStyle name="好_108欧雅墙纸_105瓷片  6" xfId="29542"/>
    <cellStyle name="好_108欧雅墙纸_105瓷片 _聊城样板房工程量计算稿" xfId="29543"/>
    <cellStyle name="好_108欧雅墙纸_105瓷片 _终板 潍坊翡翠华庭样板房清单" xfId="29546"/>
    <cellStyle name="好_108欧雅墙纸_109吸顶灯" xfId="29547"/>
    <cellStyle name="好_108欧雅墙纸_109吸顶灯 2" xfId="17835"/>
    <cellStyle name="好_108欧雅墙纸_109吸顶灯 2 2" xfId="17837"/>
    <cellStyle name="好_108欧雅墙纸_109吸顶灯 3" xfId="17840"/>
    <cellStyle name="好_108欧雅墙纸_109吸顶灯 3 2" xfId="17842"/>
    <cellStyle name="好_108欧雅墙纸_109吸顶灯 4" xfId="5876"/>
    <cellStyle name="好_108欧雅墙纸_109吸顶灯 4 2" xfId="29548"/>
    <cellStyle name="好_108欧雅墙纸_109吸顶灯 5" xfId="29549"/>
    <cellStyle name="好_108欧雅墙纸_109吸顶灯 5 2" xfId="29550"/>
    <cellStyle name="好_108欧雅墙纸_109吸顶灯 6" xfId="22057"/>
    <cellStyle name="好_108欧雅墙纸_109吸顶灯_聊城样板房工程量计算稿" xfId="29551"/>
    <cellStyle name="好_108欧雅墙纸_109吸顶灯_终板 潍坊翡翠华庭样板房清单" xfId="22739"/>
    <cellStyle name="好_108欧雅墙纸_110水晶灯" xfId="15240"/>
    <cellStyle name="好_108欧雅墙纸_110水晶灯 2" xfId="15243"/>
    <cellStyle name="好_108欧雅墙纸_110水晶灯 2 2" xfId="15245"/>
    <cellStyle name="好_108欧雅墙纸_110水晶灯 3" xfId="1938"/>
    <cellStyle name="好_108欧雅墙纸_110水晶灯 3 2" xfId="15247"/>
    <cellStyle name="好_108欧雅墙纸_110水晶灯 4" xfId="15249"/>
    <cellStyle name="好_108欧雅墙纸_110水晶灯 4 2" xfId="15251"/>
    <cellStyle name="好_108欧雅墙纸_110水晶灯 5" xfId="15255"/>
    <cellStyle name="好_108欧雅墙纸_110水晶灯 5 2" xfId="29184"/>
    <cellStyle name="好_108欧雅墙纸_110水晶灯 6" xfId="29191"/>
    <cellStyle name="好_108欧雅墙纸_110水晶灯_聊城样板房工程量计算稿" xfId="10549"/>
    <cellStyle name="好_108欧雅墙纸_110水晶灯_终板 潍坊翡翠华庭样板房清单" xfId="29552"/>
    <cellStyle name="好_108欧雅墙纸_118仿石砖" xfId="29554"/>
    <cellStyle name="好_108欧雅墙纸_118仿石砖 2" xfId="19974"/>
    <cellStyle name="好_108欧雅墙纸_118仿石砖 2 2" xfId="19976"/>
    <cellStyle name="好_108欧雅墙纸_118仿石砖 3" xfId="19978"/>
    <cellStyle name="好_108欧雅墙纸_118仿石砖 3 2" xfId="19980"/>
    <cellStyle name="好_108欧雅墙纸_118仿石砖 4" xfId="19983"/>
    <cellStyle name="好_108欧雅墙纸_118仿石砖 4 2" xfId="19985"/>
    <cellStyle name="好_108欧雅墙纸_118仿石砖 5" xfId="19987"/>
    <cellStyle name="好_108欧雅墙纸_118仿石砖 5 2" xfId="29555"/>
    <cellStyle name="好_108欧雅墙纸_118仿石砖 6" xfId="29556"/>
    <cellStyle name="好_108欧雅墙纸_118仿石砖_聊城样板房工程量计算稿" xfId="21113"/>
    <cellStyle name="好_108欧雅墙纸_118仿石砖_终板 潍坊翡翠华庭样板房清单" xfId="29557"/>
    <cellStyle name="好_108欧雅墙纸_119仿古砖" xfId="29559"/>
    <cellStyle name="好_108欧雅墙纸_119仿古砖 2" xfId="27997"/>
    <cellStyle name="好_108欧雅墙纸_119仿古砖 2 2" xfId="21706"/>
    <cellStyle name="好_108欧雅墙纸_119仿古砖 3" xfId="27999"/>
    <cellStyle name="好_108欧雅墙纸_119仿古砖 3 2" xfId="21469"/>
    <cellStyle name="好_108欧雅墙纸_119仿古砖 4" xfId="18051"/>
    <cellStyle name="好_108欧雅墙纸_119仿古砖 4 2" xfId="28001"/>
    <cellStyle name="好_108欧雅墙纸_119仿古砖 5" xfId="28003"/>
    <cellStyle name="好_108欧雅墙纸_119仿古砖 5 2" xfId="28005"/>
    <cellStyle name="好_108欧雅墙纸_119仿古砖 6" xfId="28007"/>
    <cellStyle name="好_108欧雅墙纸_119仿古砖_聊城样板房工程量计算稿" xfId="29560"/>
    <cellStyle name="好_108欧雅墙纸_119仿古砖_终板 潍坊翡翠华庭样板房清单" xfId="29561"/>
    <cellStyle name="好_108欧雅墙纸_2009年6月甲供材料模板（29类版）" xfId="29564"/>
    <cellStyle name="好_108欧雅墙纸_2009年6月甲供材料模板（29类版） 2" xfId="1578"/>
    <cellStyle name="好_108欧雅墙纸_2009年6月甲供材料模板（29类版） 2 2" xfId="1582"/>
    <cellStyle name="好_108欧雅墙纸_2009年6月甲供材料模板（29类版） 3" xfId="1601"/>
    <cellStyle name="好_108欧雅墙纸_2009年6月甲供材料模板（29类版） 3 2" xfId="1609"/>
    <cellStyle name="好_108欧雅墙纸_2009年6月甲供材料模板（29类版） 4" xfId="1627"/>
    <cellStyle name="好_108欧雅墙纸_2009年6月甲供材料模板（29类版） 4 2" xfId="1631"/>
    <cellStyle name="好_108欧雅墙纸_2009年6月甲供材料模板（29类版） 5" xfId="1633"/>
    <cellStyle name="好_108欧雅墙纸_2009年6月甲供材料模板（29类版） 5 2" xfId="20497"/>
    <cellStyle name="好_108欧雅墙纸_2009年6月甲供材料模板（29类版） 6" xfId="8451"/>
    <cellStyle name="好_108欧雅墙纸_2009年6月甲供材料模板（29类版）_聊城样板房工程量计算稿" xfId="25424"/>
    <cellStyle name="好_108欧雅墙纸_2009年6月甲供材料模板（29类版）_终板 潍坊翡翠华庭样板房清单" xfId="29565"/>
    <cellStyle name="好_108欧雅墙纸_聊城样板房工程量计算稿" xfId="29566"/>
    <cellStyle name="好_108欧雅墙纸_终板 潍坊翡翠华庭样板房清单" xfId="9984"/>
    <cellStyle name="好_109吸顶灯" xfId="23359"/>
    <cellStyle name="好_109吸顶灯 2" xfId="29567"/>
    <cellStyle name="好_109吸顶灯 2 2" xfId="11192"/>
    <cellStyle name="好_109吸顶灯 2 2 2" xfId="11194"/>
    <cellStyle name="好_109吸顶灯 2 3" xfId="11196"/>
    <cellStyle name="好_109吸顶灯 2 3 2" xfId="11199"/>
    <cellStyle name="好_109吸顶灯 2 4" xfId="11201"/>
    <cellStyle name="好_109吸顶灯 2 4 2" xfId="29568"/>
    <cellStyle name="好_109吸顶灯 2 5" xfId="19625"/>
    <cellStyle name="好_109吸顶灯 2_聊城样板房工程量计算稿" xfId="29570"/>
    <cellStyle name="好_109吸顶灯 2_终板 潍坊翡翠华庭样板房清单" xfId="29571"/>
    <cellStyle name="好_109吸顶灯 3" xfId="29572"/>
    <cellStyle name="好_109吸顶灯 3 2" xfId="11208"/>
    <cellStyle name="好_109吸顶灯 3 2 2" xfId="11210"/>
    <cellStyle name="好_109吸顶灯 3 3" xfId="11212"/>
    <cellStyle name="好_109吸顶灯 3 3 2" xfId="29573"/>
    <cellStyle name="好_109吸顶灯 3 4" xfId="29574"/>
    <cellStyle name="好_109吸顶灯 3 4 2" xfId="29575"/>
    <cellStyle name="好_109吸顶灯 3 5" xfId="19630"/>
    <cellStyle name="好_109吸顶灯 4" xfId="25667"/>
    <cellStyle name="好_109吸顶灯 4 2" xfId="25697"/>
    <cellStyle name="好_109吸顶灯 5" xfId="25699"/>
    <cellStyle name="好_109吸顶灯 5 2" xfId="25701"/>
    <cellStyle name="好_109吸顶灯 6" xfId="25703"/>
    <cellStyle name="好_109吸顶灯 6 2" xfId="29576"/>
    <cellStyle name="好_109吸顶灯 7" xfId="28168"/>
    <cellStyle name="好_109吸顶灯 7 2" xfId="29577"/>
    <cellStyle name="好_109吸顶灯 8" xfId="29579"/>
    <cellStyle name="好_109吸顶灯_1" xfId="29580"/>
    <cellStyle name="好_109吸顶灯_1 2" xfId="5099"/>
    <cellStyle name="好_109吸顶灯_1 2 2" xfId="29581"/>
    <cellStyle name="好_109吸顶灯_1 3" xfId="2593"/>
    <cellStyle name="好_109吸顶灯_1 3 2" xfId="16524"/>
    <cellStyle name="好_109吸顶灯_1 4" xfId="29582"/>
    <cellStyle name="好_109吸顶灯_1 4 2" xfId="16538"/>
    <cellStyle name="好_109吸顶灯_1 5" xfId="29583"/>
    <cellStyle name="好_109吸顶灯_1 5 2" xfId="29584"/>
    <cellStyle name="好_109吸顶灯_1 6" xfId="29585"/>
    <cellStyle name="好_109吸顶灯_1_聊城样板房工程量计算稿" xfId="16301"/>
    <cellStyle name="好_109吸顶灯_1_终板 潍坊翡翠华庭样板房清单" xfId="8366"/>
    <cellStyle name="好_109吸顶灯_102洁具-陶瓷" xfId="29586"/>
    <cellStyle name="好_109吸顶灯_102洁具-陶瓷 2" xfId="29587"/>
    <cellStyle name="好_109吸顶灯_102洁具-陶瓷 2 2" xfId="29588"/>
    <cellStyle name="好_109吸顶灯_102洁具-陶瓷 3" xfId="29589"/>
    <cellStyle name="好_109吸顶灯_102洁具-陶瓷 3 2" xfId="29590"/>
    <cellStyle name="好_109吸顶灯_102洁具-陶瓷 4" xfId="29591"/>
    <cellStyle name="好_109吸顶灯_102洁具-陶瓷 4 2" xfId="29592"/>
    <cellStyle name="好_109吸顶灯_102洁具-陶瓷 5" xfId="29593"/>
    <cellStyle name="好_109吸顶灯_102洁具-陶瓷 5 2" xfId="29594"/>
    <cellStyle name="好_109吸顶灯_102洁具-陶瓷 6" xfId="29595"/>
    <cellStyle name="好_109吸顶灯_102洁具-陶瓷_聊城样板房工程量计算稿" xfId="5467"/>
    <cellStyle name="好_109吸顶灯_102洁具-陶瓷_终板 潍坊翡翠华庭样板房清单" xfId="29596"/>
    <cellStyle name="好_109吸顶灯_105瓷片 " xfId="29597"/>
    <cellStyle name="好_109吸顶灯_105瓷片  2" xfId="29598"/>
    <cellStyle name="好_109吸顶灯_105瓷片  2 2" xfId="29599"/>
    <cellStyle name="好_109吸顶灯_105瓷片  3" xfId="29600"/>
    <cellStyle name="好_109吸顶灯_105瓷片  3 2" xfId="29601"/>
    <cellStyle name="好_109吸顶灯_105瓷片  4" xfId="29602"/>
    <cellStyle name="好_109吸顶灯_105瓷片  4 2" xfId="29603"/>
    <cellStyle name="好_109吸顶灯_105瓷片  5" xfId="29604"/>
    <cellStyle name="好_109吸顶灯_105瓷片  5 2" xfId="15619"/>
    <cellStyle name="好_109吸顶灯_105瓷片  6" xfId="29605"/>
    <cellStyle name="好_109吸顶灯_105瓷片 _聊城样板房工程量计算稿" xfId="1803"/>
    <cellStyle name="好_109吸顶灯_105瓷片 _终板 潍坊翡翠华庭样板房清单" xfId="29609"/>
    <cellStyle name="好_109吸顶灯_109吸顶灯" xfId="17994"/>
    <cellStyle name="好_109吸顶灯_109吸顶灯 2" xfId="6966"/>
    <cellStyle name="好_109吸顶灯_109吸顶灯 2 2" xfId="5145"/>
    <cellStyle name="好_109吸顶灯_109吸顶灯 3" xfId="29610"/>
    <cellStyle name="好_109吸顶灯_109吸顶灯 3 2" xfId="5156"/>
    <cellStyle name="好_109吸顶灯_109吸顶灯 4" xfId="29611"/>
    <cellStyle name="好_109吸顶灯_109吸顶灯 4 2" xfId="5169"/>
    <cellStyle name="好_109吸顶灯_109吸顶灯 5" xfId="29612"/>
    <cellStyle name="好_109吸顶灯_109吸顶灯 5 2" xfId="29613"/>
    <cellStyle name="好_109吸顶灯_109吸顶灯 6" xfId="29614"/>
    <cellStyle name="好_109吸顶灯_109吸顶灯_聊城样板房工程量计算稿" xfId="29617"/>
    <cellStyle name="好_109吸顶灯_109吸顶灯_终板 潍坊翡翠华庭样板房清单" xfId="6059"/>
    <cellStyle name="好_109吸顶灯_110水晶灯" xfId="29619"/>
    <cellStyle name="好_109吸顶灯_110水晶灯 2" xfId="29621"/>
    <cellStyle name="好_109吸顶灯_110水晶灯 2 2" xfId="29622"/>
    <cellStyle name="好_109吸顶灯_110水晶灯 3" xfId="13163"/>
    <cellStyle name="好_109吸顶灯_110水晶灯 3 2" xfId="13166"/>
    <cellStyle name="好_109吸顶灯_110水晶灯 4" xfId="13169"/>
    <cellStyle name="好_109吸顶灯_110水晶灯 4 2" xfId="13172"/>
    <cellStyle name="好_109吸顶灯_110水晶灯 5" xfId="13175"/>
    <cellStyle name="好_109吸顶灯_110水晶灯 5 2" xfId="13179"/>
    <cellStyle name="好_109吸顶灯_110水晶灯 6" xfId="13182"/>
    <cellStyle name="好_109吸顶灯_110水晶灯_聊城样板房工程量计算稿" xfId="29623"/>
    <cellStyle name="好_109吸顶灯_110水晶灯_终板 潍坊翡翠华庭样板房清单" xfId="29624"/>
    <cellStyle name="好_109吸顶灯_118仿石砖" xfId="29626"/>
    <cellStyle name="好_109吸顶灯_118仿石砖 2" xfId="29629"/>
    <cellStyle name="好_109吸顶灯_118仿石砖 2 2" xfId="29630"/>
    <cellStyle name="好_109吸顶灯_118仿石砖 3" xfId="29631"/>
    <cellStyle name="好_109吸顶灯_118仿石砖 3 2" xfId="29632"/>
    <cellStyle name="好_109吸顶灯_118仿石砖 4" xfId="29633"/>
    <cellStyle name="好_109吸顶灯_118仿石砖 4 2" xfId="29634"/>
    <cellStyle name="好_109吸顶灯_118仿石砖 5" xfId="29635"/>
    <cellStyle name="好_109吸顶灯_118仿石砖 5 2" xfId="21743"/>
    <cellStyle name="好_109吸顶灯_118仿石砖 6" xfId="17908"/>
    <cellStyle name="好_109吸顶灯_118仿石砖_聊城样板房工程量计算稿" xfId="29636"/>
    <cellStyle name="好_109吸顶灯_118仿石砖_终板 潍坊翡翠华庭样板房清单" xfId="1717"/>
    <cellStyle name="好_109吸顶灯_119仿古砖" xfId="12749"/>
    <cellStyle name="好_109吸顶灯_119仿古砖 2" xfId="12751"/>
    <cellStyle name="好_109吸顶灯_119仿古砖 2 2" xfId="29638"/>
    <cellStyle name="好_109吸顶灯_119仿古砖 3" xfId="19374"/>
    <cellStyle name="好_109吸顶灯_119仿古砖 3 2" xfId="29640"/>
    <cellStyle name="好_109吸顶灯_119仿古砖 4" xfId="29641"/>
    <cellStyle name="好_109吸顶灯_119仿古砖 4 2" xfId="29643"/>
    <cellStyle name="好_109吸顶灯_119仿古砖 5" xfId="8729"/>
    <cellStyle name="好_109吸顶灯_119仿古砖 5 2" xfId="29644"/>
    <cellStyle name="好_109吸顶灯_119仿古砖 6" xfId="29645"/>
    <cellStyle name="好_109吸顶灯_119仿古砖_聊城样板房工程量计算稿" xfId="29646"/>
    <cellStyle name="好_109吸顶灯_119仿古砖_终板 潍坊翡翠华庭样板房清单" xfId="29649"/>
    <cellStyle name="好_109吸顶灯_2009年6月甲供材料模板（29类版）" xfId="4259"/>
    <cellStyle name="好_109吸顶灯_2009年6月甲供材料模板（29类版） 2" xfId="29650"/>
    <cellStyle name="好_109吸顶灯_2009年6月甲供材料模板（29类版） 2 2" xfId="29651"/>
    <cellStyle name="好_109吸顶灯_2009年6月甲供材料模板（29类版） 3" xfId="29652"/>
    <cellStyle name="好_109吸顶灯_2009年6月甲供材料模板（29类版） 3 2" xfId="29653"/>
    <cellStyle name="好_109吸顶灯_2009年6月甲供材料模板（29类版） 4" xfId="6763"/>
    <cellStyle name="好_109吸顶灯_2009年6月甲供材料模板（29类版） 4 2" xfId="29654"/>
    <cellStyle name="好_109吸顶灯_2009年6月甲供材料模板（29类版） 5" xfId="27184"/>
    <cellStyle name="好_109吸顶灯_2009年6月甲供材料模板（29类版） 5 2" xfId="29655"/>
    <cellStyle name="好_109吸顶灯_2009年6月甲供材料模板（29类版） 6" xfId="27186"/>
    <cellStyle name="好_109吸顶灯_2009年6月甲供材料模板（29类版）_聊城样板房工程量计算稿" xfId="24697"/>
    <cellStyle name="好_109吸顶灯_2009年6月甲供材料模板（29类版）_终板 潍坊翡翠华庭样板房清单" xfId="23630"/>
    <cellStyle name="好_109吸顶灯_聊城样板房工程量计算稿" xfId="18191"/>
    <cellStyle name="好_109吸顶灯_终板 潍坊翡翠华庭样板房清单" xfId="29656"/>
    <cellStyle name="好_110水晶灯" xfId="30"/>
    <cellStyle name="好_110水晶灯 2" xfId="954"/>
    <cellStyle name="好_110水晶灯 2 2" xfId="29657"/>
    <cellStyle name="好_110水晶灯 2 2 2" xfId="19685"/>
    <cellStyle name="好_110水晶灯 2 3" xfId="9408"/>
    <cellStyle name="好_110水晶灯 2 3 2" xfId="26075"/>
    <cellStyle name="好_110水晶灯 2 4" xfId="26077"/>
    <cellStyle name="好_110水晶灯 2 4 2" xfId="17000"/>
    <cellStyle name="好_110水晶灯 2 5" xfId="24631"/>
    <cellStyle name="好_110水晶灯 2_聊城样板房工程量计算稿" xfId="209"/>
    <cellStyle name="好_110水晶灯 2_终板 潍坊翡翠华庭样板房清单" xfId="5807"/>
    <cellStyle name="好_110水晶灯 3" xfId="967"/>
    <cellStyle name="好_110水晶灯 3 2" xfId="25244"/>
    <cellStyle name="好_110水晶灯 3 2 2" xfId="29659"/>
    <cellStyle name="好_110水晶灯 3 3" xfId="26079"/>
    <cellStyle name="好_110水晶灯 3 3 2" xfId="26101"/>
    <cellStyle name="好_110水晶灯 3 4" xfId="26104"/>
    <cellStyle name="好_110水晶灯 3 4 2" xfId="26107"/>
    <cellStyle name="好_110水晶灯 3 5" xfId="24640"/>
    <cellStyle name="好_110水晶灯 4" xfId="1015"/>
    <cellStyle name="好_110水晶灯 4 2" xfId="25247"/>
    <cellStyle name="好_110水晶灯 5" xfId="25250"/>
    <cellStyle name="好_110水晶灯 5 2" xfId="27809"/>
    <cellStyle name="好_110水晶灯 6" xfId="19643"/>
    <cellStyle name="好_110水晶灯 6 2" xfId="8109"/>
    <cellStyle name="好_110水晶灯 7" xfId="27811"/>
    <cellStyle name="好_110水晶灯 7 2" xfId="8165"/>
    <cellStyle name="好_110水晶灯 8" xfId="27813"/>
    <cellStyle name="好_110水晶灯_1" xfId="28028"/>
    <cellStyle name="好_110水晶灯_1 2" xfId="6455"/>
    <cellStyle name="好_110水晶灯_1 2 2" xfId="6463"/>
    <cellStyle name="好_110水晶灯_1 3" xfId="4660"/>
    <cellStyle name="好_110水晶灯_1 3 2" xfId="29661"/>
    <cellStyle name="好_110水晶灯_1 4" xfId="29662"/>
    <cellStyle name="好_110水晶灯_1 4 2" xfId="29663"/>
    <cellStyle name="好_110水晶灯_1 5" xfId="29664"/>
    <cellStyle name="好_110水晶灯_1 5 2" xfId="20702"/>
    <cellStyle name="好_110水晶灯_1 6" xfId="29665"/>
    <cellStyle name="好_110水晶灯_1_聊城样板房工程量计算稿" xfId="18181"/>
    <cellStyle name="好_110水晶灯_1_终板 潍坊翡翠华庭样板房清单" xfId="29666"/>
    <cellStyle name="好_110水晶灯_102洁具-陶瓷" xfId="29206"/>
    <cellStyle name="好_110水晶灯_102洁具-陶瓷 2" xfId="28239"/>
    <cellStyle name="好_110水晶灯_102洁具-陶瓷 2 2" xfId="21254"/>
    <cellStyle name="好_110水晶灯_102洁具-陶瓷 3" xfId="29667"/>
    <cellStyle name="好_110水晶灯_102洁具-陶瓷 3 2" xfId="29668"/>
    <cellStyle name="好_110水晶灯_102洁具-陶瓷 4" xfId="29669"/>
    <cellStyle name="好_110水晶灯_102洁具-陶瓷 4 2" xfId="29670"/>
    <cellStyle name="好_110水晶灯_102洁具-陶瓷 5" xfId="9498"/>
    <cellStyle name="好_110水晶灯_102洁具-陶瓷 5 2" xfId="29671"/>
    <cellStyle name="好_110水晶灯_102洁具-陶瓷 6" xfId="10858"/>
    <cellStyle name="好_110水晶灯_102洁具-陶瓷_聊城样板房工程量计算稿" xfId="29672"/>
    <cellStyle name="好_110水晶灯_102洁具-陶瓷_终板 潍坊翡翠华庭样板房清单" xfId="29673"/>
    <cellStyle name="好_110水晶灯_105瓷片 " xfId="29674"/>
    <cellStyle name="好_110水晶灯_105瓷片  2" xfId="29675"/>
    <cellStyle name="好_110水晶灯_105瓷片  2 2" xfId="29676"/>
    <cellStyle name="好_110水晶灯_105瓷片  3" xfId="29677"/>
    <cellStyle name="好_110水晶灯_105瓷片  3 2" xfId="29678"/>
    <cellStyle name="好_110水晶灯_105瓷片  4" xfId="29679"/>
    <cellStyle name="好_110水晶灯_105瓷片  4 2" xfId="29680"/>
    <cellStyle name="好_110水晶灯_105瓷片  5" xfId="15216"/>
    <cellStyle name="好_110水晶灯_105瓷片  5 2" xfId="29681"/>
    <cellStyle name="好_110水晶灯_105瓷片  6" xfId="29682"/>
    <cellStyle name="好_110水晶灯_105瓷片 _聊城样板房工程量计算稿" xfId="16515"/>
    <cellStyle name="好_110水晶灯_105瓷片 _终板 潍坊翡翠华庭样板房清单" xfId="28489"/>
    <cellStyle name="好_110水晶灯_109吸顶灯" xfId="28079"/>
    <cellStyle name="好_110水晶灯_109吸顶灯 2" xfId="23384"/>
    <cellStyle name="好_110水晶灯_109吸顶灯 2 2" xfId="29683"/>
    <cellStyle name="好_110水晶灯_109吸顶灯 3" xfId="23386"/>
    <cellStyle name="好_110水晶灯_109吸顶灯 3 2" xfId="22564"/>
    <cellStyle name="好_110水晶灯_109吸顶灯 4" xfId="23388"/>
    <cellStyle name="好_110水晶灯_109吸顶灯 4 2" xfId="29684"/>
    <cellStyle name="好_110水晶灯_109吸顶灯 5" xfId="23390"/>
    <cellStyle name="好_110水晶灯_109吸顶灯 5 2" xfId="29685"/>
    <cellStyle name="好_110水晶灯_109吸顶灯 6" xfId="25520"/>
    <cellStyle name="好_110水晶灯_109吸顶灯_聊城样板房工程量计算稿" xfId="29686"/>
    <cellStyle name="好_110水晶灯_109吸顶灯_终板 潍坊翡翠华庭样板房清单" xfId="29687"/>
    <cellStyle name="好_110水晶灯_110水晶灯" xfId="29688"/>
    <cellStyle name="好_110水晶灯_110水晶灯 2" xfId="29689"/>
    <cellStyle name="好_110水晶灯_110水晶灯 2 2" xfId="9893"/>
    <cellStyle name="好_110水晶灯_110水晶灯 3" xfId="29690"/>
    <cellStyle name="好_110水晶灯_110水晶灯 3 2" xfId="9972"/>
    <cellStyle name="好_110水晶灯_110水晶灯 4" xfId="29691"/>
    <cellStyle name="好_110水晶灯_110水晶灯 4 2" xfId="10024"/>
    <cellStyle name="好_110水晶灯_110水晶灯 5" xfId="15925"/>
    <cellStyle name="好_110水晶灯_110水晶灯 5 2" xfId="5631"/>
    <cellStyle name="好_110水晶灯_110水晶灯 6" xfId="29692"/>
    <cellStyle name="好_110水晶灯_110水晶灯_聊城样板房工程量计算稿" xfId="23880"/>
    <cellStyle name="好_110水晶灯_110水晶灯_终板 潍坊翡翠华庭样板房清单" xfId="16455"/>
    <cellStyle name="好_110水晶灯_118仿石砖" xfId="29693"/>
    <cellStyle name="好_110水晶灯_118仿石砖 2" xfId="29694"/>
    <cellStyle name="好_110水晶灯_118仿石砖 2 2" xfId="14147"/>
    <cellStyle name="好_110水晶灯_118仿石砖 3" xfId="29695"/>
    <cellStyle name="好_110水晶灯_118仿石砖 3 2" xfId="29696"/>
    <cellStyle name="好_110水晶灯_118仿石砖 4" xfId="3670"/>
    <cellStyle name="好_110水晶灯_118仿石砖 4 2" xfId="3675"/>
    <cellStyle name="好_110水晶灯_118仿石砖 5" xfId="3682"/>
    <cellStyle name="好_110水晶灯_118仿石砖 5 2" xfId="3687"/>
    <cellStyle name="好_110水晶灯_118仿石砖 6" xfId="3695"/>
    <cellStyle name="好_110水晶灯_118仿石砖_聊城样板房工程量计算稿" xfId="29697"/>
    <cellStyle name="好_110水晶灯_118仿石砖_终板 潍坊翡翠华庭样板房清单" xfId="23110"/>
    <cellStyle name="好_110水晶灯_119仿古砖" xfId="26437"/>
    <cellStyle name="好_110水晶灯_119仿古砖 2" xfId="29698"/>
    <cellStyle name="好_110水晶灯_119仿古砖 2 2" xfId="29699"/>
    <cellStyle name="好_110水晶灯_119仿古砖 3" xfId="19495"/>
    <cellStyle name="好_110水晶灯_119仿古砖 3 2" xfId="22842"/>
    <cellStyle name="好_110水晶灯_119仿古砖 4" xfId="29700"/>
    <cellStyle name="好_110水晶灯_119仿古砖 4 2" xfId="29702"/>
    <cellStyle name="好_110水晶灯_119仿古砖 5" xfId="29704"/>
    <cellStyle name="好_110水晶灯_119仿古砖 5 2" xfId="29706"/>
    <cellStyle name="好_110水晶灯_119仿古砖 6" xfId="29708"/>
    <cellStyle name="好_110水晶灯_119仿古砖_聊城样板房工程量计算稿" xfId="9817"/>
    <cellStyle name="好_110水晶灯_119仿古砖_终板 潍坊翡翠华庭样板房清单" xfId="5444"/>
    <cellStyle name="好_110水晶灯_2009年6月甲供材料模板（29类版）" xfId="1805"/>
    <cellStyle name="好_110水晶灯_2009年6月甲供材料模板（29类版） 2" xfId="29710"/>
    <cellStyle name="好_110水晶灯_2009年6月甲供材料模板（29类版） 2 2" xfId="26959"/>
    <cellStyle name="好_110水晶灯_2009年6月甲供材料模板（29类版） 3" xfId="2667"/>
    <cellStyle name="好_110水晶灯_2009年6月甲供材料模板（29类版） 3 2" xfId="27044"/>
    <cellStyle name="好_110水晶灯_2009年6月甲供材料模板（29类版） 4" xfId="29711"/>
    <cellStyle name="好_110水晶灯_2009年6月甲供材料模板（29类版） 4 2" xfId="27062"/>
    <cellStyle name="好_110水晶灯_2009年6月甲供材料模板（29类版） 5" xfId="29712"/>
    <cellStyle name="好_110水晶灯_2009年6月甲供材料模板（29类版） 5 2" xfId="27075"/>
    <cellStyle name="好_110水晶灯_2009年6月甲供材料模板（29类版） 6" xfId="29714"/>
    <cellStyle name="好_110水晶灯_2009年6月甲供材料模板（29类版）_聊城样板房工程量计算稿" xfId="29715"/>
    <cellStyle name="好_110水晶灯_2009年6月甲供材料模板（29类版）_终板 潍坊翡翠华庭样板房清单" xfId="29716"/>
    <cellStyle name="好_110水晶灯_聊城样板房工程量计算稿" xfId="29717"/>
    <cellStyle name="好_110水晶灯_终板 潍坊翡翠华庭样板房清单" xfId="29718"/>
    <cellStyle name="好_111橱柜浴室柜" xfId="10602"/>
    <cellStyle name="好_111橱柜浴室柜 2" xfId="26649"/>
    <cellStyle name="好_111橱柜浴室柜 2 2" xfId="26652"/>
    <cellStyle name="好_111橱柜浴室柜 2 2 2" xfId="27489"/>
    <cellStyle name="好_111橱柜浴室柜 2 3" xfId="26655"/>
    <cellStyle name="好_111橱柜浴室柜 2 3 2" xfId="29719"/>
    <cellStyle name="好_111橱柜浴室柜 2 4" xfId="29720"/>
    <cellStyle name="好_111橱柜浴室柜 2 4 2" xfId="29721"/>
    <cellStyle name="好_111橱柜浴室柜 2 5" xfId="29722"/>
    <cellStyle name="好_111橱柜浴室柜 2_聊城样板房工程量计算稿" xfId="29723"/>
    <cellStyle name="好_111橱柜浴室柜 2_终板 潍坊翡翠华庭样板房清单" xfId="3654"/>
    <cellStyle name="好_111橱柜浴室柜 3" xfId="26658"/>
    <cellStyle name="好_111橱柜浴室柜 3 2" xfId="26661"/>
    <cellStyle name="好_111橱柜浴室柜 3 2 2" xfId="29430"/>
    <cellStyle name="好_111橱柜浴室柜 3 3" xfId="26664"/>
    <cellStyle name="好_111橱柜浴室柜 3 3 2" xfId="29724"/>
    <cellStyle name="好_111橱柜浴室柜 3 4" xfId="29725"/>
    <cellStyle name="好_111橱柜浴室柜 3 4 2" xfId="29726"/>
    <cellStyle name="好_111橱柜浴室柜 3 5" xfId="29727"/>
    <cellStyle name="好_111橱柜浴室柜 4" xfId="26676"/>
    <cellStyle name="好_111橱柜浴室柜 4 2" xfId="11215"/>
    <cellStyle name="好_111橱柜浴室柜 5" xfId="7287"/>
    <cellStyle name="好_111橱柜浴室柜 5 2" xfId="7291"/>
    <cellStyle name="好_111橱柜浴室柜 6" xfId="7296"/>
    <cellStyle name="好_111橱柜浴室柜 6 2" xfId="7300"/>
    <cellStyle name="好_111橱柜浴室柜 7" xfId="7306"/>
    <cellStyle name="好_111橱柜浴室柜 7 2" xfId="7311"/>
    <cellStyle name="好_111橱柜浴室柜 8" xfId="7317"/>
    <cellStyle name="好_111橱柜浴室柜_102洁具-陶瓷" xfId="29728"/>
    <cellStyle name="好_111橱柜浴室柜_102洁具-陶瓷 2" xfId="29729"/>
    <cellStyle name="好_111橱柜浴室柜_102洁具-陶瓷 2 2" xfId="18671"/>
    <cellStyle name="好_111橱柜浴室柜_102洁具-陶瓷 3" xfId="16363"/>
    <cellStyle name="好_111橱柜浴室柜_102洁具-陶瓷 3 2" xfId="8878"/>
    <cellStyle name="好_111橱柜浴室柜_102洁具-陶瓷 4" xfId="29730"/>
    <cellStyle name="好_111橱柜浴室柜_102洁具-陶瓷 4 2" xfId="8944"/>
    <cellStyle name="好_111橱柜浴室柜_102洁具-陶瓷 5" xfId="29731"/>
    <cellStyle name="好_111橱柜浴室柜_102洁具-陶瓷 5 2" xfId="8978"/>
    <cellStyle name="好_111橱柜浴室柜_102洁具-陶瓷 6" xfId="651"/>
    <cellStyle name="好_111橱柜浴室柜_102洁具-陶瓷_聊城样板房工程量计算稿" xfId="29732"/>
    <cellStyle name="好_111橱柜浴室柜_102洁具-陶瓷_终板 潍坊翡翠华庭样板房清单" xfId="16593"/>
    <cellStyle name="好_111橱柜浴室柜_105瓷片 " xfId="12533"/>
    <cellStyle name="好_111橱柜浴室柜_105瓷片  2" xfId="16684"/>
    <cellStyle name="好_111橱柜浴室柜_105瓷片  2 2" xfId="16686"/>
    <cellStyle name="好_111橱柜浴室柜_105瓷片  3" xfId="16697"/>
    <cellStyle name="好_111橱柜浴室柜_105瓷片  3 2" xfId="16699"/>
    <cellStyle name="好_111橱柜浴室柜_105瓷片  4" xfId="16706"/>
    <cellStyle name="好_111橱柜浴室柜_105瓷片  4 2" xfId="16708"/>
    <cellStyle name="好_111橱柜浴室柜_105瓷片  5" xfId="16710"/>
    <cellStyle name="好_111橱柜浴室柜_105瓷片  5 2" xfId="29733"/>
    <cellStyle name="好_111橱柜浴室柜_105瓷片  6" xfId="16712"/>
    <cellStyle name="好_111橱柜浴室柜_105瓷片 _聊城样板房工程量计算稿" xfId="15714"/>
    <cellStyle name="好_111橱柜浴室柜_105瓷片 _终板 潍坊翡翠华庭样板房清单" xfId="29735"/>
    <cellStyle name="好_111橱柜浴室柜_109吸顶灯" xfId="13534"/>
    <cellStyle name="好_111橱柜浴室柜_109吸顶灯 2" xfId="13539"/>
    <cellStyle name="好_111橱柜浴室柜_109吸顶灯 2 2" xfId="29736"/>
    <cellStyle name="好_111橱柜浴室柜_109吸顶灯 3" xfId="19773"/>
    <cellStyle name="好_111橱柜浴室柜_109吸顶灯 3 2" xfId="29737"/>
    <cellStyle name="好_111橱柜浴室柜_109吸顶灯 4" xfId="29738"/>
    <cellStyle name="好_111橱柜浴室柜_109吸顶灯 4 2" xfId="29739"/>
    <cellStyle name="好_111橱柜浴室柜_109吸顶灯 5" xfId="29740"/>
    <cellStyle name="好_111橱柜浴室柜_109吸顶灯 5 2" xfId="29742"/>
    <cellStyle name="好_111橱柜浴室柜_109吸顶灯 6" xfId="29744"/>
    <cellStyle name="好_111橱柜浴室柜_109吸顶灯_聊城样板房工程量计算稿" xfId="8219"/>
    <cellStyle name="好_111橱柜浴室柜_109吸顶灯_终板 潍坊翡翠华庭样板房清单" xfId="721"/>
    <cellStyle name="好_111橱柜浴室柜_110水晶灯" xfId="17172"/>
    <cellStyle name="好_111橱柜浴室柜_110水晶灯 2" xfId="19681"/>
    <cellStyle name="好_111橱柜浴室柜_110水晶灯 2 2" xfId="29745"/>
    <cellStyle name="好_111橱柜浴室柜_110水晶灯 3" xfId="29746"/>
    <cellStyle name="好_111橱柜浴室柜_110水晶灯 3 2" xfId="29747"/>
    <cellStyle name="好_111橱柜浴室柜_110水晶灯 4" xfId="29748"/>
    <cellStyle name="好_111橱柜浴室柜_110水晶灯 4 2" xfId="29750"/>
    <cellStyle name="好_111橱柜浴室柜_110水晶灯 5" xfId="29751"/>
    <cellStyle name="好_111橱柜浴室柜_110水晶灯 5 2" xfId="29752"/>
    <cellStyle name="好_111橱柜浴室柜_110水晶灯 6" xfId="20579"/>
    <cellStyle name="好_111橱柜浴室柜_110水晶灯_聊城样板房工程量计算稿" xfId="29755"/>
    <cellStyle name="好_111橱柜浴室柜_110水晶灯_终板 潍坊翡翠华庭样板房清单" xfId="29756"/>
    <cellStyle name="好_111橱柜浴室柜_118仿石砖" xfId="29757"/>
    <cellStyle name="好_111橱柜浴室柜_118仿石砖 2" xfId="10061"/>
    <cellStyle name="好_111橱柜浴室柜_118仿石砖 2 2" xfId="10063"/>
    <cellStyle name="好_111橱柜浴室柜_118仿石砖 3" xfId="10074"/>
    <cellStyle name="好_111橱柜浴室柜_118仿石砖 3 2" xfId="10076"/>
    <cellStyle name="好_111橱柜浴室柜_118仿石砖 4" xfId="29758"/>
    <cellStyle name="好_111橱柜浴室柜_118仿石砖 4 2" xfId="10693"/>
    <cellStyle name="好_111橱柜浴室柜_118仿石砖 5" xfId="24763"/>
    <cellStyle name="好_111橱柜浴室柜_118仿石砖 5 2" xfId="29760"/>
    <cellStyle name="好_111橱柜浴室柜_118仿石砖 6" xfId="24766"/>
    <cellStyle name="好_111橱柜浴室柜_118仿石砖_聊城样板房工程量计算稿" xfId="27951"/>
    <cellStyle name="好_111橱柜浴室柜_118仿石砖_终板 潍坊翡翠华庭样板房清单" xfId="29761"/>
    <cellStyle name="好_111橱柜浴室柜_119仿古砖" xfId="29762"/>
    <cellStyle name="好_111橱柜浴室柜_119仿古砖 2" xfId="29763"/>
    <cellStyle name="好_111橱柜浴室柜_119仿古砖 2 2" xfId="20709"/>
    <cellStyle name="好_111橱柜浴室柜_119仿古砖 3" xfId="29764"/>
    <cellStyle name="好_111橱柜浴室柜_119仿古砖 3 2" xfId="29765"/>
    <cellStyle name="好_111橱柜浴室柜_119仿古砖 4" xfId="21452"/>
    <cellStyle name="好_111橱柜浴室柜_119仿古砖 4 2" xfId="29766"/>
    <cellStyle name="好_111橱柜浴室柜_119仿古砖 5" xfId="29767"/>
    <cellStyle name="好_111橱柜浴室柜_119仿古砖 5 2" xfId="29768"/>
    <cellStyle name="好_111橱柜浴室柜_119仿古砖 6" xfId="29769"/>
    <cellStyle name="好_111橱柜浴室柜_119仿古砖_聊城样板房工程量计算稿" xfId="29771"/>
    <cellStyle name="好_111橱柜浴室柜_119仿古砖_终板 潍坊翡翠华庭样板房清单" xfId="29774"/>
    <cellStyle name="好_111橱柜浴室柜_2009年6月甲供材料模板（29类版）" xfId="29776"/>
    <cellStyle name="好_111橱柜浴室柜_2009年6月甲供材料模板（29类版） 2" xfId="27840"/>
    <cellStyle name="好_111橱柜浴室柜_2009年6月甲供材料模板（29类版） 2 2" xfId="20682"/>
    <cellStyle name="好_111橱柜浴室柜_2009年6月甲供材料模板（29类版） 3" xfId="27843"/>
    <cellStyle name="好_111橱柜浴室柜_2009年6月甲供材料模板（29类版） 3 2" xfId="29151"/>
    <cellStyle name="好_111橱柜浴室柜_2009年6月甲供材料模板（29类版） 4" xfId="27846"/>
    <cellStyle name="好_111橱柜浴室柜_2009年6月甲供材料模板（29类版） 4 2" xfId="29153"/>
    <cellStyle name="好_111橱柜浴室柜_2009年6月甲供材料模板（29类版） 5" xfId="27850"/>
    <cellStyle name="好_111橱柜浴室柜_2009年6月甲供材料模板（29类版） 5 2" xfId="29777"/>
    <cellStyle name="好_111橱柜浴室柜_2009年6月甲供材料模板（29类版） 6" xfId="22357"/>
    <cellStyle name="好_111橱柜浴室柜_2009年6月甲供材料模板（29类版）_聊城样板房工程量计算稿" xfId="10903"/>
    <cellStyle name="好_111橱柜浴室柜_2009年6月甲供材料模板（29类版）_终板 潍坊翡翠华庭样板房清单" xfId="1033"/>
    <cellStyle name="好_111橱柜浴室柜_聊城样板房工程量计算稿" xfId="29778"/>
    <cellStyle name="好_111橱柜浴室柜_终板 潍坊翡翠华庭样板房清单" xfId="19243"/>
    <cellStyle name="好_112淋浴间隔" xfId="29779"/>
    <cellStyle name="好_112淋浴间隔 2" xfId="29780"/>
    <cellStyle name="好_112淋浴间隔 2 2" xfId="29781"/>
    <cellStyle name="好_112淋浴间隔 2 2 2" xfId="19538"/>
    <cellStyle name="好_112淋浴间隔 2 3" xfId="1710"/>
    <cellStyle name="好_112淋浴间隔 2 3 2" xfId="29782"/>
    <cellStyle name="好_112淋浴间隔 2 4" xfId="29783"/>
    <cellStyle name="好_112淋浴间隔 2 4 2" xfId="29784"/>
    <cellStyle name="好_112淋浴间隔 2 5" xfId="29785"/>
    <cellStyle name="好_112淋浴间隔 2_聊城样板房工程量计算稿" xfId="6211"/>
    <cellStyle name="好_112淋浴间隔 2_终板 潍坊翡翠华庭样板房清单" xfId="29786"/>
    <cellStyle name="好_112淋浴间隔 3" xfId="29787"/>
    <cellStyle name="好_112淋浴间隔 3 2" xfId="29788"/>
    <cellStyle name="好_112淋浴间隔 3 2 2" xfId="29789"/>
    <cellStyle name="好_112淋浴间隔 3 3" xfId="29790"/>
    <cellStyle name="好_112淋浴间隔 3 3 2" xfId="29792"/>
    <cellStyle name="好_112淋浴间隔 3 4" xfId="29793"/>
    <cellStyle name="好_112淋浴间隔 3 4 2" xfId="29794"/>
    <cellStyle name="好_112淋浴间隔 3 5" xfId="29795"/>
    <cellStyle name="好_112淋浴间隔 4" xfId="29796"/>
    <cellStyle name="好_112淋浴间隔 4 2" xfId="29797"/>
    <cellStyle name="好_112淋浴间隔 5" xfId="29798"/>
    <cellStyle name="好_112淋浴间隔 5 2" xfId="29799"/>
    <cellStyle name="好_112淋浴间隔 6" xfId="29800"/>
    <cellStyle name="好_112淋浴间隔 6 2" xfId="29801"/>
    <cellStyle name="好_112淋浴间隔 7" xfId="29802"/>
    <cellStyle name="好_112淋浴间隔 7 2" xfId="29803"/>
    <cellStyle name="好_112淋浴间隔 8" xfId="18464"/>
    <cellStyle name="好_112淋浴间隔_102洁具-陶瓷" xfId="29805"/>
    <cellStyle name="好_112淋浴间隔_102洁具-陶瓷 2" xfId="29807"/>
    <cellStyle name="好_112淋浴间隔_102洁具-陶瓷 2 2" xfId="29809"/>
    <cellStyle name="好_112淋浴间隔_102洁具-陶瓷 3" xfId="23966"/>
    <cellStyle name="好_112淋浴间隔_102洁具-陶瓷 3 2" xfId="23968"/>
    <cellStyle name="好_112淋浴间隔_102洁具-陶瓷 4" xfId="23970"/>
    <cellStyle name="好_112淋浴间隔_102洁具-陶瓷 4 2" xfId="23972"/>
    <cellStyle name="好_112淋浴间隔_102洁具-陶瓷 5" xfId="23974"/>
    <cellStyle name="好_112淋浴间隔_102洁具-陶瓷 5 2" xfId="29810"/>
    <cellStyle name="好_112淋浴间隔_102洁具-陶瓷 6" xfId="29811"/>
    <cellStyle name="好_112淋浴间隔_102洁具-陶瓷_聊城样板房工程量计算稿" xfId="29812"/>
    <cellStyle name="好_112淋浴间隔_102洁具-陶瓷_终板 潍坊翡翠华庭样板房清单" xfId="29815"/>
    <cellStyle name="好_112淋浴间隔_105瓷片 " xfId="26638"/>
    <cellStyle name="好_112淋浴间隔_105瓷片  2" xfId="2309"/>
    <cellStyle name="好_112淋浴间隔_105瓷片  2 2" xfId="2313"/>
    <cellStyle name="好_112淋浴间隔_105瓷片  3" xfId="2347"/>
    <cellStyle name="好_112淋浴间隔_105瓷片  3 2" xfId="2353"/>
    <cellStyle name="好_112淋浴间隔_105瓷片  4" xfId="2369"/>
    <cellStyle name="好_112淋浴间隔_105瓷片  4 2" xfId="2372"/>
    <cellStyle name="好_112淋浴间隔_105瓷片  5" xfId="2376"/>
    <cellStyle name="好_112淋浴间隔_105瓷片  5 2" xfId="29816"/>
    <cellStyle name="好_112淋浴间隔_105瓷片  6" xfId="22873"/>
    <cellStyle name="好_112淋浴间隔_105瓷片 _聊城样板房工程量计算稿" xfId="29817"/>
    <cellStyle name="好_112淋浴间隔_105瓷片 _终板 潍坊翡翠华庭样板房清单" xfId="29818"/>
    <cellStyle name="好_112淋浴间隔_109吸顶灯" xfId="11453"/>
    <cellStyle name="好_112淋浴间隔_109吸顶灯 2" xfId="29819"/>
    <cellStyle name="好_112淋浴间隔_109吸顶灯 2 2" xfId="29821"/>
    <cellStyle name="好_112淋浴间隔_109吸顶灯 3" xfId="29822"/>
    <cellStyle name="好_112淋浴间隔_109吸顶灯 3 2" xfId="29823"/>
    <cellStyle name="好_112淋浴间隔_109吸顶灯 4" xfId="26998"/>
    <cellStyle name="好_112淋浴间隔_109吸顶灯 4 2" xfId="27001"/>
    <cellStyle name="好_112淋浴间隔_109吸顶灯 5" xfId="27003"/>
    <cellStyle name="好_112淋浴间隔_109吸顶灯 5 2" xfId="27005"/>
    <cellStyle name="好_112淋浴间隔_109吸顶灯 6" xfId="27007"/>
    <cellStyle name="好_112淋浴间隔_109吸顶灯_聊城样板房工程量计算稿" xfId="29824"/>
    <cellStyle name="好_112淋浴间隔_109吸顶灯_终板 潍坊翡翠华庭样板房清单" xfId="13457"/>
    <cellStyle name="好_112淋浴间隔_110水晶灯" xfId="26329"/>
    <cellStyle name="好_112淋浴间隔_110水晶灯 2" xfId="13764"/>
    <cellStyle name="好_112淋浴间隔_110水晶灯 2 2" xfId="13767"/>
    <cellStyle name="好_112淋浴间隔_110水晶灯 3" xfId="13769"/>
    <cellStyle name="好_112淋浴间隔_110水晶灯 3 2" xfId="29825"/>
    <cellStyle name="好_112淋浴间隔_110水晶灯 4" xfId="29826"/>
    <cellStyle name="好_112淋浴间隔_110水晶灯 4 2" xfId="29827"/>
    <cellStyle name="好_112淋浴间隔_110水晶灯 5" xfId="15266"/>
    <cellStyle name="好_112淋浴间隔_110水晶灯 5 2" xfId="29828"/>
    <cellStyle name="好_112淋浴间隔_110水晶灯 6" xfId="29829"/>
    <cellStyle name="好_112淋浴间隔_110水晶灯_聊城样板房工程量计算稿" xfId="29830"/>
    <cellStyle name="好_112淋浴间隔_110水晶灯_终板 潍坊翡翠华庭样板房清单" xfId="29831"/>
    <cellStyle name="好_112淋浴间隔_118仿石砖" xfId="27659"/>
    <cellStyle name="好_112淋浴间隔_118仿石砖 2" xfId="24899"/>
    <cellStyle name="好_112淋浴间隔_118仿石砖 2 2" xfId="17335"/>
    <cellStyle name="好_112淋浴间隔_118仿石砖 3" xfId="19332"/>
    <cellStyle name="好_112淋浴间隔_118仿石砖 3 2" xfId="17341"/>
    <cellStyle name="好_112淋浴间隔_118仿石砖 4" xfId="21274"/>
    <cellStyle name="好_112淋浴间隔_118仿石砖 4 2" xfId="21278"/>
    <cellStyle name="好_112淋浴间隔_118仿石砖 5" xfId="21282"/>
    <cellStyle name="好_112淋浴间隔_118仿石砖 5 2" xfId="21286"/>
    <cellStyle name="好_112淋浴间隔_118仿石砖 6" xfId="21290"/>
    <cellStyle name="好_112淋浴间隔_118仿石砖_聊城样板房工程量计算稿" xfId="873"/>
    <cellStyle name="好_112淋浴间隔_118仿石砖_终板 潍坊翡翠华庭样板房清单" xfId="17089"/>
    <cellStyle name="好_112淋浴间隔_119仿古砖" xfId="11754"/>
    <cellStyle name="好_112淋浴间隔_119仿古砖 2" xfId="11757"/>
    <cellStyle name="好_112淋浴间隔_119仿古砖 2 2" xfId="29832"/>
    <cellStyle name="好_112淋浴间隔_119仿古砖 3" xfId="12444"/>
    <cellStyle name="好_112淋浴间隔_119仿古砖 3 2" xfId="29833"/>
    <cellStyle name="好_112淋浴间隔_119仿古砖 4" xfId="29834"/>
    <cellStyle name="好_112淋浴间隔_119仿古砖 4 2" xfId="29835"/>
    <cellStyle name="好_112淋浴间隔_119仿古砖 5" xfId="29836"/>
    <cellStyle name="好_112淋浴间隔_119仿古砖 5 2" xfId="29837"/>
    <cellStyle name="好_112淋浴间隔_119仿古砖 6" xfId="10032"/>
    <cellStyle name="好_112淋浴间隔_119仿古砖_聊城样板房工程量计算稿" xfId="29838"/>
    <cellStyle name="好_112淋浴间隔_119仿古砖_终板 潍坊翡翠华庭样板房清单" xfId="29839"/>
    <cellStyle name="好_112淋浴间隔_2009年6月甲供材料模板（29类版）" xfId="13287"/>
    <cellStyle name="好_112淋浴间隔_2009年6月甲供材料模板（29类版） 2" xfId="29840"/>
    <cellStyle name="好_112淋浴间隔_2009年6月甲供材料模板（29类版） 2 2" xfId="29841"/>
    <cellStyle name="好_112淋浴间隔_2009年6月甲供材料模板（29类版） 3" xfId="29843"/>
    <cellStyle name="好_112淋浴间隔_2009年6月甲供材料模板（29类版） 3 2" xfId="29844"/>
    <cellStyle name="好_112淋浴间隔_2009年6月甲供材料模板（29类版） 4" xfId="29845"/>
    <cellStyle name="好_112淋浴间隔_2009年6月甲供材料模板（29类版） 4 2" xfId="29847"/>
    <cellStyle name="好_112淋浴间隔_2009年6月甲供材料模板（29类版） 5" xfId="29848"/>
    <cellStyle name="好_112淋浴间隔_2009年6月甲供材料模板（29类版） 5 2" xfId="29849"/>
    <cellStyle name="好_112淋浴间隔_2009年6月甲供材料模板（29类版） 6" xfId="29537"/>
    <cellStyle name="好_112淋浴间隔_2009年6月甲供材料模板（29类版）_聊城样板房工程量计算稿" xfId="29850"/>
    <cellStyle name="好_112淋浴间隔_2009年6月甲供材料模板（29类版）_终板 潍坊翡翠华庭样板房清单" xfId="29852"/>
    <cellStyle name="好_112淋浴间隔_聊城样板房工程量计算稿" xfId="29854"/>
    <cellStyle name="好_112淋浴间隔_终板 潍坊翡翠华庭样板房清单" xfId="29856"/>
    <cellStyle name="好_114门锁五金" xfId="29857"/>
    <cellStyle name="好_114门锁五金 2" xfId="16052"/>
    <cellStyle name="好_114门锁五金 2 2" xfId="16054"/>
    <cellStyle name="好_114门锁五金 2 2 2" xfId="24115"/>
    <cellStyle name="好_114门锁五金 2 3" xfId="29858"/>
    <cellStyle name="好_114门锁五金 2 3 2" xfId="20205"/>
    <cellStyle name="好_114门锁五金 2 4" xfId="29859"/>
    <cellStyle name="好_114门锁五金 2 4 2" xfId="20216"/>
    <cellStyle name="好_114门锁五金 2 5" xfId="29860"/>
    <cellStyle name="好_114门锁五金 2_聊城样板房工程量计算稿" xfId="29861"/>
    <cellStyle name="好_114门锁五金 2_终板 潍坊翡翠华庭样板房清单" xfId="29862"/>
    <cellStyle name="好_114门锁五金 3" xfId="3382"/>
    <cellStyle name="好_114门锁五金 3 2" xfId="3502"/>
    <cellStyle name="好_114门锁五金 3 2 2" xfId="3504"/>
    <cellStyle name="好_114门锁五金 3 3" xfId="2531"/>
    <cellStyle name="好_114门锁五金 3 3 2" xfId="3515"/>
    <cellStyle name="好_114门锁五金 3 4" xfId="3527"/>
    <cellStyle name="好_114门锁五金 3 4 2" xfId="3530"/>
    <cellStyle name="好_114门锁五金 3 5" xfId="3534"/>
    <cellStyle name="好_114门锁五金 4" xfId="3536"/>
    <cellStyle name="好_114门锁五金 4 2" xfId="3539"/>
    <cellStyle name="好_114门锁五金 5" xfId="3558"/>
    <cellStyle name="好_114门锁五金 5 2" xfId="3560"/>
    <cellStyle name="好_114门锁五金 6" xfId="3580"/>
    <cellStyle name="好_114门锁五金 6 2" xfId="3586"/>
    <cellStyle name="好_114门锁五金 7" xfId="3588"/>
    <cellStyle name="好_114门锁五金 7 2" xfId="27796"/>
    <cellStyle name="好_114门锁五金 8" xfId="29864"/>
    <cellStyle name="好_114门锁五金_102洁具-陶瓷" xfId="27250"/>
    <cellStyle name="好_114门锁五金_102洁具-陶瓷 2" xfId="21093"/>
    <cellStyle name="好_114门锁五金_102洁具-陶瓷 2 2" xfId="29865"/>
    <cellStyle name="好_114门锁五金_102洁具-陶瓷 3" xfId="26931"/>
    <cellStyle name="好_114门锁五金_102洁具-陶瓷 3 2" xfId="29866"/>
    <cellStyle name="好_114门锁五金_102洁具-陶瓷 4" xfId="26934"/>
    <cellStyle name="好_114门锁五金_102洁具-陶瓷 4 2" xfId="29867"/>
    <cellStyle name="好_114门锁五金_102洁具-陶瓷 5" xfId="29868"/>
    <cellStyle name="好_114门锁五金_102洁具-陶瓷 5 2" xfId="29869"/>
    <cellStyle name="好_114门锁五金_102洁具-陶瓷 6" xfId="29870"/>
    <cellStyle name="好_114门锁五金_102洁具-陶瓷_聊城样板房工程量计算稿" xfId="29871"/>
    <cellStyle name="好_114门锁五金_102洁具-陶瓷_终板 潍坊翡翠华庭样板房清单" xfId="29872"/>
    <cellStyle name="好_114门锁五金_105瓷片 " xfId="29873"/>
    <cellStyle name="好_114门锁五金_105瓷片  2" xfId="29874"/>
    <cellStyle name="好_114门锁五金_105瓷片  2 2" xfId="29875"/>
    <cellStyle name="好_114门锁五金_105瓷片  3" xfId="29876"/>
    <cellStyle name="好_114门锁五金_105瓷片  3 2" xfId="29877"/>
    <cellStyle name="好_114门锁五金_105瓷片  4" xfId="29878"/>
    <cellStyle name="好_114门锁五金_105瓷片  4 2" xfId="29879"/>
    <cellStyle name="好_114门锁五金_105瓷片  5" xfId="29880"/>
    <cellStyle name="好_114门锁五金_105瓷片  5 2" xfId="29881"/>
    <cellStyle name="好_114门锁五金_105瓷片  6" xfId="29770"/>
    <cellStyle name="好_114门锁五金_105瓷片 _聊城样板房工程量计算稿" xfId="29882"/>
    <cellStyle name="好_114门锁五金_105瓷片 _终板 潍坊翡翠华庭样板房清单" xfId="25591"/>
    <cellStyle name="好_114门锁五金_109吸顶灯" xfId="1911"/>
    <cellStyle name="好_114门锁五金_109吸顶灯 2" xfId="1915"/>
    <cellStyle name="好_114门锁五金_109吸顶灯 2 2" xfId="1918"/>
    <cellStyle name="好_114门锁五金_109吸顶灯 3" xfId="1951"/>
    <cellStyle name="好_114门锁五金_109吸顶灯 3 2" xfId="1953"/>
    <cellStyle name="好_114门锁五金_109吸顶灯 4" xfId="1965"/>
    <cellStyle name="好_114门锁五金_109吸顶灯 4 2" xfId="1968"/>
    <cellStyle name="好_114门锁五金_109吸顶灯 5" xfId="1984"/>
    <cellStyle name="好_114门锁五金_109吸顶灯 5 2" xfId="1988"/>
    <cellStyle name="好_114门锁五金_109吸顶灯 6" xfId="1991"/>
    <cellStyle name="好_114门锁五金_109吸顶灯_聊城样板房工程量计算稿" xfId="9603"/>
    <cellStyle name="好_114门锁五金_109吸顶灯_终板 潍坊翡翠华庭样板房清单" xfId="6488"/>
    <cellStyle name="好_114门锁五金_110水晶灯" xfId="22480"/>
    <cellStyle name="好_114门锁五金_110水晶灯 2" xfId="22484"/>
    <cellStyle name="好_114门锁五金_110水晶灯 2 2" xfId="29883"/>
    <cellStyle name="好_114门锁五金_110水晶灯 3" xfId="27772"/>
    <cellStyle name="好_114门锁五金_110水晶灯 3 2" xfId="29884"/>
    <cellStyle name="好_114门锁五金_110水晶灯 4" xfId="27775"/>
    <cellStyle name="好_114门锁五金_110水晶灯 4 2" xfId="29885"/>
    <cellStyle name="好_114门锁五金_110水晶灯 5" xfId="29887"/>
    <cellStyle name="好_114门锁五金_110水晶灯 5 2" xfId="20111"/>
    <cellStyle name="好_114门锁五金_110水晶灯 6" xfId="29888"/>
    <cellStyle name="好_114门锁五金_110水晶灯_聊城样板房工程量计算稿" xfId="27171"/>
    <cellStyle name="好_114门锁五金_110水晶灯_终板 潍坊翡翠华庭样板房清单" xfId="16788"/>
    <cellStyle name="好_114门锁五金_118仿石砖" xfId="29889"/>
    <cellStyle name="好_114门锁五金_118仿石砖 2" xfId="29804"/>
    <cellStyle name="好_114门锁五金_118仿石砖 2 2" xfId="29806"/>
    <cellStyle name="好_114门锁五金_118仿石砖 3" xfId="29890"/>
    <cellStyle name="好_114门锁五金_118仿石砖 3 2" xfId="29891"/>
    <cellStyle name="好_114门锁五金_118仿石砖 4" xfId="29892"/>
    <cellStyle name="好_114门锁五金_118仿石砖 4 2" xfId="29893"/>
    <cellStyle name="好_114门锁五金_118仿石砖 5" xfId="29894"/>
    <cellStyle name="好_114门锁五金_118仿石砖 5 2" xfId="29895"/>
    <cellStyle name="好_114门锁五金_118仿石砖 6" xfId="29897"/>
    <cellStyle name="好_114门锁五金_118仿石砖_聊城样板房工程量计算稿" xfId="20321"/>
    <cellStyle name="好_114门锁五金_118仿石砖_终板 潍坊翡翠华庭样板房清单" xfId="16412"/>
    <cellStyle name="好_114门锁五金_119仿古砖" xfId="17808"/>
    <cellStyle name="好_114门锁五金_119仿古砖 2" xfId="17810"/>
    <cellStyle name="好_114门锁五金_119仿古砖 2 2" xfId="29898"/>
    <cellStyle name="好_114门锁五金_119仿古砖 3" xfId="17813"/>
    <cellStyle name="好_114门锁五金_119仿古砖 3 2" xfId="29899"/>
    <cellStyle name="好_114门锁五金_119仿古砖 4" xfId="17816"/>
    <cellStyle name="好_114门锁五金_119仿古砖 4 2" xfId="29900"/>
    <cellStyle name="好_114门锁五金_119仿古砖 5" xfId="17818"/>
    <cellStyle name="好_114门锁五金_119仿古砖 5 2" xfId="29901"/>
    <cellStyle name="好_114门锁五金_119仿古砖 6" xfId="17820"/>
    <cellStyle name="好_114门锁五金_119仿古砖_聊城样板房工程量计算稿" xfId="27152"/>
    <cellStyle name="好_114门锁五金_119仿古砖_终板 潍坊翡翠华庭样板房清单" xfId="16557"/>
    <cellStyle name="好_114门锁五金_2009年6月甲供材料模板（29类版）" xfId="15236"/>
    <cellStyle name="好_114门锁五金_2009年6月甲供材料模板（29类版） 2" xfId="22355"/>
    <cellStyle name="好_114门锁五金_2009年6月甲供材料模板（29类版） 2 2" xfId="18075"/>
    <cellStyle name="好_114门锁五金_2009年6月甲供材料模板（29类版） 3" xfId="29902"/>
    <cellStyle name="好_114门锁五金_2009年6月甲供材料模板（29类版） 3 2" xfId="18667"/>
    <cellStyle name="好_114门锁五金_2009年6月甲供材料模板（29类版） 4" xfId="29903"/>
    <cellStyle name="好_114门锁五金_2009年6月甲供材料模板（29类版） 4 2" xfId="29904"/>
    <cellStyle name="好_114门锁五金_2009年6月甲供材料模板（29类版） 5" xfId="19379"/>
    <cellStyle name="好_114门锁五金_2009年6月甲供材料模板（29类版） 5 2" xfId="29905"/>
    <cellStyle name="好_114门锁五金_2009年6月甲供材料模板（29类版） 6" xfId="29906"/>
    <cellStyle name="好_114门锁五金_2009年6月甲供材料模板（29类版）_聊城样板房工程量计算稿" xfId="29908"/>
    <cellStyle name="好_114门锁五金_2009年6月甲供材料模板（29类版）_终板 潍坊翡翠华庭样板房清单" xfId="29909"/>
    <cellStyle name="好_114门锁五金_聊城样板房工程量计算稿" xfId="29910"/>
    <cellStyle name="好_114门锁五金_终板 潍坊翡翠华庭样板房清单" xfId="26746"/>
    <cellStyle name="好_115木地板" xfId="29911"/>
    <cellStyle name="好_115木地板 2" xfId="29912"/>
    <cellStyle name="好_115木地板 2 2" xfId="29913"/>
    <cellStyle name="好_115木地板 2 2 2" xfId="19423"/>
    <cellStyle name="好_115木地板 2 3" xfId="29914"/>
    <cellStyle name="好_115木地板 2 3 2" xfId="29916"/>
    <cellStyle name="好_115木地板 2 4" xfId="29918"/>
    <cellStyle name="好_115木地板 2 4 2" xfId="29919"/>
    <cellStyle name="好_115木地板 2 5" xfId="11390"/>
    <cellStyle name="好_115木地板 2_聊城样板房工程量计算稿" xfId="29920"/>
    <cellStyle name="好_115木地板 2_终板 潍坊翡翠华庭样板房清单" xfId="29921"/>
    <cellStyle name="好_115木地板 3" xfId="29923"/>
    <cellStyle name="好_115木地板 3 2" xfId="29924"/>
    <cellStyle name="好_115木地板 3 2 2" xfId="29925"/>
    <cellStyle name="好_115木地板 3 3" xfId="29926"/>
    <cellStyle name="好_115木地板 3 3 2" xfId="29927"/>
    <cellStyle name="好_115木地板 3 4" xfId="29928"/>
    <cellStyle name="好_115木地板 3 4 2" xfId="29929"/>
    <cellStyle name="好_115木地板 3 5" xfId="11393"/>
    <cellStyle name="好_115木地板 4" xfId="29930"/>
    <cellStyle name="好_115木地板 4 2" xfId="29931"/>
    <cellStyle name="好_115木地板 5" xfId="29932"/>
    <cellStyle name="好_115木地板 5 2" xfId="29933"/>
    <cellStyle name="好_115木地板 6" xfId="29934"/>
    <cellStyle name="好_115木地板 6 2" xfId="29935"/>
    <cellStyle name="好_115木地板 7" xfId="29936"/>
    <cellStyle name="好_115木地板 7 2" xfId="29937"/>
    <cellStyle name="好_115木地板 8" xfId="28459"/>
    <cellStyle name="好_115木地板_102洁具-陶瓷" xfId="15960"/>
    <cellStyle name="好_115木地板_102洁具-陶瓷 2" xfId="15962"/>
    <cellStyle name="好_115木地板_102洁具-陶瓷 2 2" xfId="1859"/>
    <cellStyle name="好_115木地板_102洁具-陶瓷 3" xfId="29938"/>
    <cellStyle name="好_115木地板_102洁具-陶瓷 3 2" xfId="29939"/>
    <cellStyle name="好_115木地板_102洁具-陶瓷 4" xfId="29940"/>
    <cellStyle name="好_115木地板_102洁具-陶瓷 4 2" xfId="29941"/>
    <cellStyle name="好_115木地板_102洁具-陶瓷 5" xfId="29942"/>
    <cellStyle name="好_115木地板_102洁具-陶瓷 5 2" xfId="29943"/>
    <cellStyle name="好_115木地板_102洁具-陶瓷 6" xfId="29944"/>
    <cellStyle name="好_115木地板_102洁具-陶瓷_聊城样板房工程量计算稿" xfId="5927"/>
    <cellStyle name="好_115木地板_102洁具-陶瓷_终板 潍坊翡翠华庭样板房清单" xfId="21876"/>
    <cellStyle name="好_115木地板_105瓷片 " xfId="29945"/>
    <cellStyle name="好_115木地板_105瓷片  2" xfId="29946"/>
    <cellStyle name="好_115木地板_105瓷片  2 2" xfId="5655"/>
    <cellStyle name="好_115木地板_105瓷片  3" xfId="29947"/>
    <cellStyle name="好_115木地板_105瓷片  3 2" xfId="6266"/>
    <cellStyle name="好_115木地板_105瓷片  4" xfId="29948"/>
    <cellStyle name="好_115木地板_105瓷片  4 2" xfId="6291"/>
    <cellStyle name="好_115木地板_105瓷片  5" xfId="22011"/>
    <cellStyle name="好_115木地板_105瓷片  5 2" xfId="29949"/>
    <cellStyle name="好_115木地板_105瓷片  6" xfId="29791"/>
    <cellStyle name="好_115木地板_105瓷片 _聊城样板房工程量计算稿" xfId="29950"/>
    <cellStyle name="好_115木地板_105瓷片 _终板 潍坊翡翠华庭样板房清单" xfId="29952"/>
    <cellStyle name="好_115木地板_109吸顶灯" xfId="17912"/>
    <cellStyle name="好_115木地板_109吸顶灯 2" xfId="17914"/>
    <cellStyle name="好_115木地板_109吸顶灯 2 2" xfId="29954"/>
    <cellStyle name="好_115木地板_109吸顶灯 3" xfId="29955"/>
    <cellStyle name="好_115木地板_109吸顶灯 3 2" xfId="26132"/>
    <cellStyle name="好_115木地板_109吸顶灯 4" xfId="29956"/>
    <cellStyle name="好_115木地板_109吸顶灯 4 2" xfId="29957"/>
    <cellStyle name="好_115木地板_109吸顶灯 5" xfId="13236"/>
    <cellStyle name="好_115木地板_109吸顶灯 5 2" xfId="13238"/>
    <cellStyle name="好_115木地板_109吸顶灯 6" xfId="13251"/>
    <cellStyle name="好_115木地板_109吸顶灯_聊城样板房工程量计算稿" xfId="29108"/>
    <cellStyle name="好_115木地板_109吸顶灯_终板 潍坊翡翠华庭样板房清单" xfId="29959"/>
    <cellStyle name="好_115木地板_110水晶灯" xfId="29516"/>
    <cellStyle name="好_115木地板_110水晶灯 2" xfId="29518"/>
    <cellStyle name="好_115木地板_110水晶灯 2 2" xfId="29960"/>
    <cellStyle name="好_115木地板_110水晶灯 3" xfId="29961"/>
    <cellStyle name="好_115木地板_110水晶灯 3 2" xfId="29962"/>
    <cellStyle name="好_115木地板_110水晶灯 4" xfId="19262"/>
    <cellStyle name="好_115木地板_110水晶灯 4 2" xfId="19264"/>
    <cellStyle name="好_115木地板_110水晶灯 5" xfId="19266"/>
    <cellStyle name="好_115木地板_110水晶灯 5 2" xfId="7304"/>
    <cellStyle name="好_115木地板_110水晶灯 6" xfId="19268"/>
    <cellStyle name="好_115木地板_110水晶灯_聊城样板房工程量计算稿" xfId="29963"/>
    <cellStyle name="好_115木地板_110水晶灯_终板 潍坊翡翠华庭样板房清单" xfId="8843"/>
    <cellStyle name="好_115木地板_118仿石砖" xfId="29965"/>
    <cellStyle name="好_115木地板_118仿石砖 2" xfId="16291"/>
    <cellStyle name="好_115木地板_118仿石砖 2 2" xfId="16293"/>
    <cellStyle name="好_115木地板_118仿石砖 3" xfId="16295"/>
    <cellStyle name="好_115木地板_118仿石砖 3 2" xfId="16297"/>
    <cellStyle name="好_115木地板_118仿石砖 4" xfId="513"/>
    <cellStyle name="好_115木地板_118仿石砖 4 2" xfId="524"/>
    <cellStyle name="好_115木地板_118仿石砖 5" xfId="489"/>
    <cellStyle name="好_115木地板_118仿石砖 5 2" xfId="545"/>
    <cellStyle name="好_115木地板_118仿石砖 6" xfId="7"/>
    <cellStyle name="好_115木地板_118仿石砖_聊城样板房工程量计算稿" xfId="29966"/>
    <cellStyle name="好_115木地板_118仿石砖_终板 潍坊翡翠华庭样板房清单" xfId="29967"/>
    <cellStyle name="好_115木地板_119仿古砖" xfId="29968"/>
    <cellStyle name="好_115木地板_119仿古砖 2" xfId="29969"/>
    <cellStyle name="好_115木地板_119仿古砖 2 2" xfId="29970"/>
    <cellStyle name="好_115木地板_119仿古砖 3" xfId="22831"/>
    <cellStyle name="好_115木地板_119仿古砖 3 2" xfId="23135"/>
    <cellStyle name="好_115木地板_119仿古砖 4" xfId="12103"/>
    <cellStyle name="好_115木地板_119仿古砖 4 2" xfId="23146"/>
    <cellStyle name="好_115木地板_119仿古砖 5" xfId="29972"/>
    <cellStyle name="好_115木地板_119仿古砖 5 2" xfId="23148"/>
    <cellStyle name="好_115木地板_119仿古砖 6" xfId="29973"/>
    <cellStyle name="好_115木地板_119仿古砖_聊城样板房工程量计算稿" xfId="29974"/>
    <cellStyle name="好_115木地板_119仿古砖_终板 潍坊翡翠华庭样板房清单" xfId="11162"/>
    <cellStyle name="好_115木地板_2009年6月甲供材料模板（29类版）" xfId="29975"/>
    <cellStyle name="好_115木地板_2009年6月甲供材料模板（29类版） 2" xfId="11795"/>
    <cellStyle name="好_115木地板_2009年6月甲供材料模板（29类版） 2 2" xfId="29976"/>
    <cellStyle name="好_115木地板_2009年6月甲供材料模板（29类版） 3" xfId="29977"/>
    <cellStyle name="好_115木地板_2009年6月甲供材料模板（29类版） 3 2" xfId="29978"/>
    <cellStyle name="好_115木地板_2009年6月甲供材料模板（29类版） 4" xfId="29979"/>
    <cellStyle name="好_115木地板_2009年6月甲供材料模板（29类版） 4 2" xfId="19698"/>
    <cellStyle name="好_115木地板_2009年6月甲供材料模板（29类版） 5" xfId="29980"/>
    <cellStyle name="好_115木地板_2009年6月甲供材料模板（29类版） 5 2" xfId="29981"/>
    <cellStyle name="好_115木地板_2009年6月甲供材料模板（29类版） 6" xfId="24677"/>
    <cellStyle name="好_115木地板_2009年6月甲供材料模板（29类版）_聊城样板房工程量计算稿" xfId="29982"/>
    <cellStyle name="好_115木地板_2009年6月甲供材料模板（29类版）_终板 潍坊翡翠华庭样板房清单" xfId="212"/>
    <cellStyle name="好_115木地板_聊城样板房工程量计算稿" xfId="29985"/>
    <cellStyle name="好_115木地板_终板 潍坊翡翠华庭样板房清单" xfId="29986"/>
    <cellStyle name="好_118仿石砖" xfId="29987"/>
    <cellStyle name="好_118仿石砖 2" xfId="26334"/>
    <cellStyle name="好_118仿石砖 2 2" xfId="25679"/>
    <cellStyle name="好_118仿石砖 3" xfId="26336"/>
    <cellStyle name="好_118仿石砖 3 2" xfId="25803"/>
    <cellStyle name="好_118仿石砖 4" xfId="26340"/>
    <cellStyle name="好_118仿石砖 4 2" xfId="7552"/>
    <cellStyle name="好_118仿石砖 5" xfId="26343"/>
    <cellStyle name="好_118仿石砖 5 2" xfId="7573"/>
    <cellStyle name="好_118仿石砖 6" xfId="26346"/>
    <cellStyle name="好_118仿石砖_聊城样板房工程量计算稿" xfId="10182"/>
    <cellStyle name="好_118仿石砖_终板 潍坊翡翠华庭样板房清单" xfId="22111"/>
    <cellStyle name="好_119仿古砖" xfId="27434"/>
    <cellStyle name="好_119仿古砖 2" xfId="27439"/>
    <cellStyle name="好_119仿古砖 2 2" xfId="29989"/>
    <cellStyle name="好_119仿古砖 2 2 2" xfId="2740"/>
    <cellStyle name="好_119仿古砖 2 3" xfId="29990"/>
    <cellStyle name="好_119仿古砖 2 3 2" xfId="29991"/>
    <cellStyle name="好_119仿古砖 2 4" xfId="29992"/>
    <cellStyle name="好_119仿古砖 2 4 2" xfId="29993"/>
    <cellStyle name="好_119仿古砖 2 5" xfId="29995"/>
    <cellStyle name="好_119仿古砖 2_聊城样板房工程量计算稿" xfId="29996"/>
    <cellStyle name="好_119仿古砖 2_终板 潍坊翡翠华庭样板房清单" xfId="11323"/>
    <cellStyle name="好_119仿古砖 3" xfId="27441"/>
    <cellStyle name="好_119仿古砖 3 2" xfId="29997"/>
    <cellStyle name="好_119仿古砖 3 2 2" xfId="29998"/>
    <cellStyle name="好_119仿古砖 3 3" xfId="29999"/>
    <cellStyle name="好_119仿古砖 3 3 2" xfId="30000"/>
    <cellStyle name="好_119仿古砖 3 4" xfId="30001"/>
    <cellStyle name="好_119仿古砖 3 4 2" xfId="30002"/>
    <cellStyle name="好_119仿古砖 3 5" xfId="8457"/>
    <cellStyle name="好_119仿古砖 4" xfId="30003"/>
    <cellStyle name="好_119仿古砖 4 2" xfId="30004"/>
    <cellStyle name="好_119仿古砖 5" xfId="8937"/>
    <cellStyle name="好_119仿古砖 5 2" xfId="30005"/>
    <cellStyle name="好_119仿古砖 6" xfId="30006"/>
    <cellStyle name="好_119仿古砖 6 2" xfId="28780"/>
    <cellStyle name="好_119仿古砖 7" xfId="30007"/>
    <cellStyle name="好_119仿古砖 7 2" xfId="30008"/>
    <cellStyle name="好_119仿古砖 8" xfId="30009"/>
    <cellStyle name="好_119仿古砖_1" xfId="30010"/>
    <cellStyle name="好_119仿古砖_1 2" xfId="18095"/>
    <cellStyle name="好_119仿古砖_1 2 2" xfId="30011"/>
    <cellStyle name="好_119仿古砖_1 3" xfId="18097"/>
    <cellStyle name="好_119仿古砖_1 3 2" xfId="22925"/>
    <cellStyle name="好_119仿古砖_1 4" xfId="18099"/>
    <cellStyle name="好_119仿古砖_1 4 2" xfId="30012"/>
    <cellStyle name="好_119仿古砖_1 5" xfId="9516"/>
    <cellStyle name="好_119仿古砖_1 5 2" xfId="15905"/>
    <cellStyle name="好_119仿古砖_1 6" xfId="18101"/>
    <cellStyle name="好_119仿古砖_1_聊城样板房工程量计算稿" xfId="30013"/>
    <cellStyle name="好_119仿古砖_1_终板 潍坊翡翠华庭样板房清单" xfId="2202"/>
    <cellStyle name="好_119仿古砖_102洁具-陶瓷" xfId="27743"/>
    <cellStyle name="好_119仿古砖_102洁具-陶瓷 2" xfId="27750"/>
    <cellStyle name="好_119仿古砖_102洁具-陶瓷 2 2" xfId="30015"/>
    <cellStyle name="好_119仿古砖_102洁具-陶瓷 3" xfId="27752"/>
    <cellStyle name="好_119仿古砖_102洁具-陶瓷 3 2" xfId="30017"/>
    <cellStyle name="好_119仿古砖_102洁具-陶瓷 4" xfId="8383"/>
    <cellStyle name="好_119仿古砖_102洁具-陶瓷 4 2" xfId="30018"/>
    <cellStyle name="好_119仿古砖_102洁具-陶瓷 5" xfId="27754"/>
    <cellStyle name="好_119仿古砖_102洁具-陶瓷 5 2" xfId="30019"/>
    <cellStyle name="好_119仿古砖_102洁具-陶瓷 6" xfId="27756"/>
    <cellStyle name="好_119仿古砖_102洁具-陶瓷_聊城样板房工程量计算稿" xfId="30020"/>
    <cellStyle name="好_119仿古砖_102洁具-陶瓷_终板 潍坊翡翠华庭样板房清单" xfId="29076"/>
    <cellStyle name="好_119仿古砖_105瓷片 " xfId="30021"/>
    <cellStyle name="好_119仿古砖_105瓷片  2" xfId="30022"/>
    <cellStyle name="好_119仿古砖_105瓷片  2 2" xfId="30023"/>
    <cellStyle name="好_119仿古砖_105瓷片  3" xfId="30024"/>
    <cellStyle name="好_119仿古砖_105瓷片  3 2" xfId="30025"/>
    <cellStyle name="好_119仿古砖_105瓷片  4" xfId="30026"/>
    <cellStyle name="好_119仿古砖_105瓷片  4 2" xfId="30027"/>
    <cellStyle name="好_119仿古砖_105瓷片  5" xfId="25149"/>
    <cellStyle name="好_119仿古砖_105瓷片  5 2" xfId="27482"/>
    <cellStyle name="好_119仿古砖_105瓷片  6" xfId="25657"/>
    <cellStyle name="好_119仿古砖_105瓷片 _聊城样板房工程量计算稿" xfId="22059"/>
    <cellStyle name="好_119仿古砖_105瓷片 _终板 潍坊翡翠华庭样板房清单" xfId="30028"/>
    <cellStyle name="好_119仿古砖_109吸顶灯" xfId="30029"/>
    <cellStyle name="好_119仿古砖_109吸顶灯 2" xfId="30030"/>
    <cellStyle name="好_119仿古砖_109吸顶灯 2 2" xfId="1279"/>
    <cellStyle name="好_119仿古砖_109吸顶灯 3" xfId="2032"/>
    <cellStyle name="好_119仿古砖_109吸顶灯 3 2" xfId="1296"/>
    <cellStyle name="好_119仿古砖_109吸顶灯 4" xfId="30031"/>
    <cellStyle name="好_119仿古砖_109吸顶灯 4 2" xfId="1305"/>
    <cellStyle name="好_119仿古砖_109吸顶灯 5" xfId="30032"/>
    <cellStyle name="好_119仿古砖_109吸顶灯 5 2" xfId="443"/>
    <cellStyle name="好_119仿古砖_109吸顶灯 6" xfId="30033"/>
    <cellStyle name="好_119仿古砖_109吸顶灯_聊城样板房工程量计算稿" xfId="30034"/>
    <cellStyle name="好_119仿古砖_109吸顶灯_终板 潍坊翡翠华庭样板房清单" xfId="22183"/>
    <cellStyle name="好_119仿古砖_110水晶灯" xfId="30035"/>
    <cellStyle name="好_119仿古砖_110水晶灯 2" xfId="30036"/>
    <cellStyle name="好_119仿古砖_110水晶灯 2 2" xfId="30038"/>
    <cellStyle name="好_119仿古砖_110水晶灯 3" xfId="30040"/>
    <cellStyle name="好_119仿古砖_110水晶灯 3 2" xfId="30042"/>
    <cellStyle name="好_119仿古砖_110水晶灯 4" xfId="30044"/>
    <cellStyle name="好_119仿古砖_110水晶灯 4 2" xfId="30046"/>
    <cellStyle name="好_119仿古砖_110水晶灯 5" xfId="22241"/>
    <cellStyle name="好_119仿古砖_110水晶灯 5 2" xfId="22244"/>
    <cellStyle name="好_119仿古砖_110水晶灯 6" xfId="1389"/>
    <cellStyle name="好_119仿古砖_110水晶灯_聊城样板房工程量计算稿" xfId="30047"/>
    <cellStyle name="好_119仿古砖_110水晶灯_终板 潍坊翡翠华庭样板房清单" xfId="30048"/>
    <cellStyle name="好_119仿古砖_118仿石砖" xfId="22096"/>
    <cellStyle name="好_119仿古砖_118仿石砖 2" xfId="22099"/>
    <cellStyle name="好_119仿古砖_118仿石砖 2 2" xfId="30049"/>
    <cellStyle name="好_119仿古砖_118仿石砖 3" xfId="30050"/>
    <cellStyle name="好_119仿古砖_118仿石砖 3 2" xfId="30051"/>
    <cellStyle name="好_119仿古砖_118仿石砖 4" xfId="30052"/>
    <cellStyle name="好_119仿古砖_118仿石砖 4 2" xfId="20691"/>
    <cellStyle name="好_119仿古砖_118仿石砖 5" xfId="30053"/>
    <cellStyle name="好_119仿古砖_118仿石砖 5 2" xfId="30054"/>
    <cellStyle name="好_119仿古砖_118仿石砖 6" xfId="30055"/>
    <cellStyle name="好_119仿古砖_118仿石砖_聊城样板房工程量计算稿" xfId="28399"/>
    <cellStyle name="好_119仿古砖_118仿石砖_终板 潍坊翡翠华庭样板房清单" xfId="30056"/>
    <cellStyle name="好_119仿古砖_119仿古砖" xfId="30057"/>
    <cellStyle name="好_119仿古砖_119仿古砖 2" xfId="30058"/>
    <cellStyle name="好_119仿古砖_119仿古砖 2 2" xfId="30059"/>
    <cellStyle name="好_119仿古砖_119仿古砖 3" xfId="6891"/>
    <cellStyle name="好_119仿古砖_119仿古砖 3 2" xfId="19949"/>
    <cellStyle name="好_119仿古砖_119仿古砖 4" xfId="30060"/>
    <cellStyle name="好_119仿古砖_119仿古砖 4 2" xfId="28160"/>
    <cellStyle name="好_119仿古砖_119仿古砖 5" xfId="30061"/>
    <cellStyle name="好_119仿古砖_119仿古砖 5 2" xfId="30062"/>
    <cellStyle name="好_119仿古砖_119仿古砖 6" xfId="30063"/>
    <cellStyle name="好_119仿古砖_119仿古砖_聊城样板房工程量计算稿" xfId="19102"/>
    <cellStyle name="好_119仿古砖_119仿古砖_终板 潍坊翡翠华庭样板房清单" xfId="13605"/>
    <cellStyle name="好_119仿古砖_2009年6月甲供材料模板（29类版）" xfId="11396"/>
    <cellStyle name="好_119仿古砖_2009年6月甲供材料模板（29类版） 2" xfId="30064"/>
    <cellStyle name="好_119仿古砖_2009年6月甲供材料模板（29类版） 2 2" xfId="30065"/>
    <cellStyle name="好_119仿古砖_2009年6月甲供材料模板（29类版） 3" xfId="30066"/>
    <cellStyle name="好_119仿古砖_2009年6月甲供材料模板（29类版） 3 2" xfId="28052"/>
    <cellStyle name="好_119仿古砖_2009年6月甲供材料模板（29类版） 4" xfId="30067"/>
    <cellStyle name="好_119仿古砖_2009年6月甲供材料模板（29类版） 4 2" xfId="30068"/>
    <cellStyle name="好_119仿古砖_2009年6月甲供材料模板（29类版） 5" xfId="30069"/>
    <cellStyle name="好_119仿古砖_2009年6月甲供材料模板（29类版） 5 2" xfId="30070"/>
    <cellStyle name="好_119仿古砖_2009年6月甲供材料模板（29类版） 6" xfId="30071"/>
    <cellStyle name="好_119仿古砖_2009年6月甲供材料模板（29类版）_聊城样板房工程量计算稿" xfId="511"/>
    <cellStyle name="好_119仿古砖_2009年6月甲供材料模板（29类版）_终板 潍坊翡翠华庭样板房清单" xfId="30072"/>
    <cellStyle name="好_119仿古砖_聊城样板房工程量计算稿" xfId="6265"/>
    <cellStyle name="好_119仿古砖_终板 潍坊翡翠华庭样板房清单" xfId="30074"/>
    <cellStyle name="好_12#A、B、C户型云浮二期样板房装修20111028" xfId="25407"/>
    <cellStyle name="好_12#A、B、C户型云浮二期样板房装修20111028 2" xfId="25410"/>
    <cellStyle name="好_12#A、B、C户型云浮二期样板房装修20111028_聊城样板房工程量计算稿" xfId="28546"/>
    <cellStyle name="好_12.22济南恒大城运动中心室内外装修工程清单" xfId="16905"/>
    <cellStyle name="好_2009年6月甲供材料模板（29类版）" xfId="30075"/>
    <cellStyle name="好_2009年6月甲供材料模板（29类版） 2" xfId="25863"/>
    <cellStyle name="好_2009年6月甲供材料模板（29类版） 2 2" xfId="30076"/>
    <cellStyle name="好_2009年6月甲供材料模板（29类版） 3" xfId="30077"/>
    <cellStyle name="好_2009年6月甲供材料模板（29类版） 3 2" xfId="30078"/>
    <cellStyle name="好_2009年6月甲供材料模板（29类版） 4" xfId="30079"/>
    <cellStyle name="好_2009年6月甲供材料模板（29类版） 4 2" xfId="30080"/>
    <cellStyle name="好_2009年6月甲供材料模板（29类版） 5" xfId="30082"/>
    <cellStyle name="好_2009年6月甲供材料模板（29类版） 5 2" xfId="20244"/>
    <cellStyle name="好_2009年6月甲供材料模板（29类版） 6" xfId="30083"/>
    <cellStyle name="好_2009年6月甲供材料模板（29类版）_聊城样板房工程量计算稿" xfId="30084"/>
    <cellStyle name="好_2009年6月甲供材料模板（29类版）_终板 潍坊翡翠华庭样板房清单" xfId="30085"/>
    <cellStyle name="好_203 西瓦" xfId="30086"/>
    <cellStyle name="好_203 西瓦 2" xfId="30087"/>
    <cellStyle name="好_203 西瓦 2 2" xfId="30088"/>
    <cellStyle name="好_203 西瓦 3" xfId="627"/>
    <cellStyle name="好_203 西瓦 3 2" xfId="20671"/>
    <cellStyle name="好_203 西瓦 4" xfId="636"/>
    <cellStyle name="好_203 西瓦 4 2" xfId="30089"/>
    <cellStyle name="好_203 西瓦 5" xfId="30090"/>
    <cellStyle name="好_203 西瓦 5 2" xfId="30091"/>
    <cellStyle name="好_203 西瓦 6" xfId="30092"/>
    <cellStyle name="好_203 西瓦_聊城样板房工程量计算稿" xfId="30093"/>
    <cellStyle name="好_203 西瓦_终板 潍坊翡翠华庭样板房清单" xfId="28070"/>
    <cellStyle name="好_212给排水管" xfId="30094"/>
    <cellStyle name="好_212给排水管 2" xfId="15581"/>
    <cellStyle name="好_212给排水管 2 2" xfId="15583"/>
    <cellStyle name="好_212给排水管 3" xfId="15586"/>
    <cellStyle name="好_212给排水管 3 2" xfId="15588"/>
    <cellStyle name="好_212给排水管 4" xfId="15591"/>
    <cellStyle name="好_212给排水管 4 2" xfId="30095"/>
    <cellStyle name="好_212给排水管 5" xfId="30096"/>
    <cellStyle name="好_212给排水管 5 2" xfId="30097"/>
    <cellStyle name="好_212给排水管 6" xfId="30098"/>
    <cellStyle name="好_212给排水管_聊城样板房工程量计算稿" xfId="30099"/>
    <cellStyle name="好_212给排水管_终板 潍坊翡翠华庭样板房清单" xfId="26385"/>
    <cellStyle name="好_405厨房电器" xfId="2957"/>
    <cellStyle name="好_405厨房电器 2" xfId="25773"/>
    <cellStyle name="好_405厨房电器 2 2" xfId="29113"/>
    <cellStyle name="好_405厨房电器 2 2 2" xfId="28626"/>
    <cellStyle name="好_405厨房电器 2 3" xfId="12325"/>
    <cellStyle name="好_405厨房电器 2 3 2" xfId="28633"/>
    <cellStyle name="好_405厨房电器 2 4" xfId="30100"/>
    <cellStyle name="好_405厨房电器 2 4 2" xfId="28640"/>
    <cellStyle name="好_405厨房电器 2 5" xfId="30102"/>
    <cellStyle name="好_405厨房电器 2_聊城样板房工程量计算稿" xfId="25574"/>
    <cellStyle name="好_405厨房电器 2_终板 潍坊翡翠华庭样板房清单" xfId="29504"/>
    <cellStyle name="好_405厨房电器 3" xfId="28204"/>
    <cellStyle name="好_405厨房电器 3 2" xfId="30103"/>
    <cellStyle name="好_405厨房电器 3 2 2" xfId="30104"/>
    <cellStyle name="好_405厨房电器 3 3" xfId="27181"/>
    <cellStyle name="好_405厨房电器 3 3 2" xfId="30105"/>
    <cellStyle name="好_405厨房电器 3 4" xfId="30106"/>
    <cellStyle name="好_405厨房电器 3 4 2" xfId="30107"/>
    <cellStyle name="好_405厨房电器 3 5" xfId="30109"/>
    <cellStyle name="好_405厨房电器 4" xfId="30110"/>
    <cellStyle name="好_405厨房电器 4 2" xfId="30111"/>
    <cellStyle name="好_405厨房电器 5" xfId="30113"/>
    <cellStyle name="好_405厨房电器 5 2" xfId="30114"/>
    <cellStyle name="好_405厨房电器 6" xfId="30115"/>
    <cellStyle name="好_405厨房电器 6 2" xfId="30116"/>
    <cellStyle name="好_405厨房电器 7" xfId="30117"/>
    <cellStyle name="好_405厨房电器 7 2" xfId="30118"/>
    <cellStyle name="好_405厨房电器 8" xfId="4339"/>
    <cellStyle name="好_405厨房电器_102洁具-陶瓷" xfId="30119"/>
    <cellStyle name="好_405厨房电器_102洁具-陶瓷 2" xfId="30120"/>
    <cellStyle name="好_405厨房电器_102洁具-陶瓷 2 2" xfId="30121"/>
    <cellStyle name="好_405厨房电器_102洁具-陶瓷 3" xfId="30122"/>
    <cellStyle name="好_405厨房电器_102洁具-陶瓷 3 2" xfId="30123"/>
    <cellStyle name="好_405厨房电器_102洁具-陶瓷 4" xfId="30124"/>
    <cellStyle name="好_405厨房电器_102洁具-陶瓷 4 2" xfId="29578"/>
    <cellStyle name="好_405厨房电器_102洁具-陶瓷 5" xfId="30125"/>
    <cellStyle name="好_405厨房电器_102洁具-陶瓷 5 2" xfId="30126"/>
    <cellStyle name="好_405厨房电器_102洁具-陶瓷 6" xfId="30128"/>
    <cellStyle name="好_405厨房电器_102洁具-陶瓷_聊城样板房工程量计算稿" xfId="30129"/>
    <cellStyle name="好_405厨房电器_102洁具-陶瓷_终板 潍坊翡翠华庭样板房清单" xfId="30130"/>
    <cellStyle name="好_405厨房电器_105瓷片 " xfId="30131"/>
    <cellStyle name="好_405厨房电器_105瓷片  2" xfId="28066"/>
    <cellStyle name="好_405厨房电器_105瓷片  2 2" xfId="30133"/>
    <cellStyle name="好_405厨房电器_105瓷片  3" xfId="14467"/>
    <cellStyle name="好_405厨房电器_105瓷片  3 2" xfId="14471"/>
    <cellStyle name="好_405厨房电器_105瓷片  4" xfId="14473"/>
    <cellStyle name="好_405厨房电器_105瓷片  4 2" xfId="14477"/>
    <cellStyle name="好_405厨房电器_105瓷片  5" xfId="14481"/>
    <cellStyle name="好_405厨房电器_105瓷片  5 2" xfId="19072"/>
    <cellStyle name="好_405厨房电器_105瓷片  6" xfId="3945"/>
    <cellStyle name="好_405厨房电器_105瓷片 _聊城样板房工程量计算稿" xfId="30135"/>
    <cellStyle name="好_405厨房电器_105瓷片 _终板 潍坊翡翠华庭样板房清单" xfId="22876"/>
    <cellStyle name="好_405厨房电器_109吸顶灯" xfId="30136"/>
    <cellStyle name="好_405厨房电器_109吸顶灯 2" xfId="30137"/>
    <cellStyle name="好_405厨房电器_109吸顶灯 2 2" xfId="30138"/>
    <cellStyle name="好_405厨房电器_109吸顶灯 3" xfId="2540"/>
    <cellStyle name="好_405厨房电器_109吸顶灯 3 2" xfId="3567"/>
    <cellStyle name="好_405厨房电器_109吸顶灯 4" xfId="5249"/>
    <cellStyle name="好_405厨房电器_109吸顶灯 4 2" xfId="5255"/>
    <cellStyle name="好_405厨房电器_109吸顶灯 5" xfId="5158"/>
    <cellStyle name="好_405厨房电器_109吸顶灯 5 2" xfId="30139"/>
    <cellStyle name="好_405厨房电器_109吸顶灯 6" xfId="30140"/>
    <cellStyle name="好_405厨房电器_109吸顶灯_聊城样板房工程量计算稿" xfId="19014"/>
    <cellStyle name="好_405厨房电器_109吸顶灯_终板 潍坊翡翠华庭样板房清单" xfId="30141"/>
    <cellStyle name="好_405厨房电器_110水晶灯" xfId="23731"/>
    <cellStyle name="好_405厨房电器_110水晶灯 2" xfId="23734"/>
    <cellStyle name="好_405厨房电器_110水晶灯 2 2" xfId="30142"/>
    <cellStyle name="好_405厨房电器_110水晶灯 3" xfId="23736"/>
    <cellStyle name="好_405厨房电器_110水晶灯 3 2" xfId="30143"/>
    <cellStyle name="好_405厨房电器_110水晶灯 4" xfId="30144"/>
    <cellStyle name="好_405厨房电器_110水晶灯 4 2" xfId="30145"/>
    <cellStyle name="好_405厨房电器_110水晶灯 5" xfId="30146"/>
    <cellStyle name="好_405厨房电器_110水晶灯 5 2" xfId="30147"/>
    <cellStyle name="好_405厨房电器_110水晶灯 6" xfId="30148"/>
    <cellStyle name="好_405厨房电器_110水晶灯_聊城样板房工程量计算稿" xfId="30149"/>
    <cellStyle name="好_405厨房电器_110水晶灯_终板 潍坊翡翠华庭样板房清单" xfId="30151"/>
    <cellStyle name="好_405厨房电器_118仿石砖" xfId="14976"/>
    <cellStyle name="好_405厨房电器_118仿石砖 2" xfId="30155"/>
    <cellStyle name="好_405厨房电器_118仿石砖 2 2" xfId="28102"/>
    <cellStyle name="好_405厨房电器_118仿石砖 3" xfId="30158"/>
    <cellStyle name="好_405厨房电器_118仿石砖 3 2" xfId="30160"/>
    <cellStyle name="好_405厨房电器_118仿石砖 4" xfId="30162"/>
    <cellStyle name="好_405厨房电器_118仿石砖 4 2" xfId="22728"/>
    <cellStyle name="好_405厨房电器_118仿石砖 5" xfId="30165"/>
    <cellStyle name="好_405厨房电器_118仿石砖 5 2" xfId="30167"/>
    <cellStyle name="好_405厨房电器_118仿石砖 6" xfId="30169"/>
    <cellStyle name="好_405厨房电器_118仿石砖_聊城样板房工程量计算稿" xfId="6195"/>
    <cellStyle name="好_405厨房电器_118仿石砖_终板 潍坊翡翠华庭样板房清单" xfId="22962"/>
    <cellStyle name="好_405厨房电器_119仿古砖" xfId="29743"/>
    <cellStyle name="好_405厨房电器_119仿古砖 2" xfId="30170"/>
    <cellStyle name="好_405厨房电器_119仿古砖 2 2" xfId="2124"/>
    <cellStyle name="好_405厨房电器_119仿古砖 3" xfId="30171"/>
    <cellStyle name="好_405厨房电器_119仿古砖 3 2" xfId="2132"/>
    <cellStyle name="好_405厨房电器_119仿古砖 4" xfId="30172"/>
    <cellStyle name="好_405厨房电器_119仿古砖 4 2" xfId="2151"/>
    <cellStyle name="好_405厨房电器_119仿古砖 5" xfId="25304"/>
    <cellStyle name="好_405厨房电器_119仿古砖 5 2" xfId="25307"/>
    <cellStyle name="好_405厨房电器_119仿古砖 6" xfId="25312"/>
    <cellStyle name="好_405厨房电器_119仿古砖_聊城样板房工程量计算稿" xfId="13352"/>
    <cellStyle name="好_405厨房电器_119仿古砖_终板 潍坊翡翠华庭样板房清单" xfId="30173"/>
    <cellStyle name="好_405厨房电器_2009年6月甲供材料模板（29类版）" xfId="30174"/>
    <cellStyle name="好_405厨房电器_2009年6月甲供材料模板（29类版） 2" xfId="24683"/>
    <cellStyle name="好_405厨房电器_2009年6月甲供材料模板（29类版） 2 2" xfId="30175"/>
    <cellStyle name="好_405厨房电器_2009年6月甲供材料模板（29类版） 3" xfId="24686"/>
    <cellStyle name="好_405厨房电器_2009年6月甲供材料模板（29类版） 3 2" xfId="30177"/>
    <cellStyle name="好_405厨房电器_2009年6月甲供材料模板（29类版） 4" xfId="24688"/>
    <cellStyle name="好_405厨房电器_2009年6月甲供材料模板（29类版） 4 2" xfId="30178"/>
    <cellStyle name="好_405厨房电器_2009年6月甲供材料模板（29类版） 5" xfId="24690"/>
    <cellStyle name="好_405厨房电器_2009年6月甲供材料模板（29类版） 5 2" xfId="30179"/>
    <cellStyle name="好_405厨房电器_2009年6月甲供材料模板（29类版） 6" xfId="2746"/>
    <cellStyle name="好_405厨房电器_2009年6月甲供材料模板（29类版）_聊城样板房工程量计算稿" xfId="30180"/>
    <cellStyle name="好_405厨房电器_2009年6月甲供材料模板（29类版）_终板 潍坊翡翠华庭样板房清单" xfId="30181"/>
    <cellStyle name="好_405厨房电器_编码细则" xfId="30183"/>
    <cellStyle name="好_405厨房电器_编码细则 2" xfId="30186"/>
    <cellStyle name="好_405厨房电器_编码细则 2 2" xfId="30190"/>
    <cellStyle name="好_405厨房电器_编码细则 3" xfId="30194"/>
    <cellStyle name="好_405厨房电器_编码细则 3 2" xfId="30197"/>
    <cellStyle name="好_405厨房电器_编码细则 4" xfId="30199"/>
    <cellStyle name="好_405厨房电器_编码细则 4 2" xfId="30201"/>
    <cellStyle name="好_405厨房电器_编码细则 5" xfId="30202"/>
    <cellStyle name="好_405厨房电器_编码细则 5 2" xfId="30204"/>
    <cellStyle name="好_405厨房电器_编码细则 6" xfId="30205"/>
    <cellStyle name="好_405厨房电器_编码细则_聊城样板房工程量计算稿" xfId="30206"/>
    <cellStyle name="好_405厨房电器_编码细则_终板 潍坊翡翠华庭样板房清单" xfId="30208"/>
    <cellStyle name="好_405厨房电器_聊城样板房工程量计算稿" xfId="29527"/>
    <cellStyle name="好_405厨房电器_终板 潍坊翡翠华庭样板房清单" xfId="30209"/>
    <cellStyle name="好_MEMO1" xfId="30212"/>
    <cellStyle name="好_MEMO1_1" xfId="30213"/>
    <cellStyle name="好_MEMO1_1 2" xfId="30214"/>
    <cellStyle name="好_Sheet1" xfId="30215"/>
    <cellStyle name="好_Sheet1 2" xfId="13851"/>
    <cellStyle name="好_Sheet1 2 2" xfId="645"/>
    <cellStyle name="好_Sheet1 3" xfId="13854"/>
    <cellStyle name="好_Sheet1 3 2" xfId="1499"/>
    <cellStyle name="好_Sheet1 4" xfId="13857"/>
    <cellStyle name="好_Sheet1 4 2" xfId="29863"/>
    <cellStyle name="好_Sheet1 5" xfId="30216"/>
    <cellStyle name="好_Sheet1 5 2" xfId="30217"/>
    <cellStyle name="好_Sheet1 6" xfId="23605"/>
    <cellStyle name="好_Sheet1_101卫浴五金" xfId="29181"/>
    <cellStyle name="好_Sheet1_101卫浴五金 2" xfId="15253"/>
    <cellStyle name="好_Sheet1_101卫浴五金 2 2" xfId="29183"/>
    <cellStyle name="好_Sheet1_101卫浴五金 2 2 2" xfId="25534"/>
    <cellStyle name="好_Sheet1_101卫浴五金 2 3" xfId="19651"/>
    <cellStyle name="好_Sheet1_101卫浴五金 2 3 2" xfId="19655"/>
    <cellStyle name="好_Sheet1_101卫浴五金 2 4" xfId="19659"/>
    <cellStyle name="好_Sheet1_101卫浴五金 2 4 2" xfId="19663"/>
    <cellStyle name="好_Sheet1_101卫浴五金 2 5" xfId="19666"/>
    <cellStyle name="好_Sheet1_101卫浴五金 2_聊城样板房工程量计算稿" xfId="29186"/>
    <cellStyle name="好_Sheet1_101卫浴五金 2_终板 潍坊翡翠华庭样板房清单" xfId="29188"/>
    <cellStyle name="好_Sheet1_101卫浴五金 3" xfId="29190"/>
    <cellStyle name="好_Sheet1_101卫浴五金 3 2" xfId="29193"/>
    <cellStyle name="好_Sheet1_101卫浴五金 3 2 2" xfId="29196"/>
    <cellStyle name="好_Sheet1_101卫浴五金 3 3" xfId="29198"/>
    <cellStyle name="好_Sheet1_101卫浴五金 3 3 2" xfId="29201"/>
    <cellStyle name="好_Sheet1_101卫浴五金 3 4" xfId="29203"/>
    <cellStyle name="好_Sheet1_101卫浴五金 3 4 2" xfId="28235"/>
    <cellStyle name="好_Sheet1_101卫浴五金 3 5" xfId="29205"/>
    <cellStyle name="好_Sheet1_101卫浴五金 4" xfId="29208"/>
    <cellStyle name="好_Sheet1_101卫浴五金 4 2" xfId="29210"/>
    <cellStyle name="好_Sheet1_101卫浴五金 5" xfId="29212"/>
    <cellStyle name="好_Sheet1_101卫浴五金 5 2" xfId="29214"/>
    <cellStyle name="好_Sheet1_101卫浴五金 6" xfId="29216"/>
    <cellStyle name="好_Sheet1_101卫浴五金 6 2" xfId="29218"/>
    <cellStyle name="好_Sheet1_101卫浴五金 7" xfId="29220"/>
    <cellStyle name="好_Sheet1_101卫浴五金 7 2" xfId="29222"/>
    <cellStyle name="好_Sheet1_101卫浴五金 8" xfId="29224"/>
    <cellStyle name="好_Sheet1_101卫浴五金_102洁具-陶瓷" xfId="29238"/>
    <cellStyle name="好_Sheet1_101卫浴五金_102洁具-陶瓷 2" xfId="29240"/>
    <cellStyle name="好_Sheet1_101卫浴五金_102洁具-陶瓷 2 2" xfId="29242"/>
    <cellStyle name="好_Sheet1_101卫浴五金_102洁具-陶瓷 3" xfId="29244"/>
    <cellStyle name="好_Sheet1_101卫浴五金_102洁具-陶瓷 3 2" xfId="29246"/>
    <cellStyle name="好_Sheet1_101卫浴五金_102洁具-陶瓷 4" xfId="29248"/>
    <cellStyle name="好_Sheet1_101卫浴五金_102洁具-陶瓷 4 2" xfId="5466"/>
    <cellStyle name="好_Sheet1_101卫浴五金_102洁具-陶瓷 5" xfId="17348"/>
    <cellStyle name="好_Sheet1_101卫浴五金_102洁具-陶瓷 5 2" xfId="29250"/>
    <cellStyle name="好_Sheet1_101卫浴五金_102洁具-陶瓷 6" xfId="29254"/>
    <cellStyle name="好_Sheet1_101卫浴五金_102洁具-陶瓷_聊城样板房工程量计算稿" xfId="29257"/>
    <cellStyle name="好_Sheet1_101卫浴五金_102洁具-陶瓷_终板 潍坊翡翠华庭样板房清单" xfId="5909"/>
    <cellStyle name="好_Sheet1_101卫浴五金_105瓷片 " xfId="29259"/>
    <cellStyle name="好_Sheet1_101卫浴五金_105瓷片  2" xfId="25996"/>
    <cellStyle name="好_Sheet1_101卫浴五金_105瓷片  2 2" xfId="26001"/>
    <cellStyle name="好_Sheet1_101卫浴五金_105瓷片  3" xfId="26006"/>
    <cellStyle name="好_Sheet1_101卫浴五金_105瓷片  3 2" xfId="22817"/>
    <cellStyle name="好_Sheet1_101卫浴五金_105瓷片  4" xfId="26047"/>
    <cellStyle name="好_Sheet1_101卫浴五金_105瓷片  4 2" xfId="16645"/>
    <cellStyle name="好_Sheet1_101卫浴五金_105瓷片  5" xfId="26052"/>
    <cellStyle name="好_Sheet1_101卫浴五金_105瓷片  5 2" xfId="26057"/>
    <cellStyle name="好_Sheet1_101卫浴五金_105瓷片  6" xfId="26061"/>
    <cellStyle name="好_Sheet1_101卫浴五金_105瓷片 _聊城样板房工程量计算稿" xfId="29261"/>
    <cellStyle name="好_Sheet1_101卫浴五金_105瓷片 _终板 潍坊翡翠华庭样板房清单" xfId="29264"/>
    <cellStyle name="好_Sheet1_101卫浴五金_109吸顶灯" xfId="8763"/>
    <cellStyle name="好_Sheet1_101卫浴五金_109吸顶灯 2" xfId="20470"/>
    <cellStyle name="好_Sheet1_101卫浴五金_109吸顶灯 2 2" xfId="25132"/>
    <cellStyle name="好_Sheet1_101卫浴五金_109吸顶灯 3" xfId="29266"/>
    <cellStyle name="好_Sheet1_101卫浴五金_109吸顶灯 3 2" xfId="25145"/>
    <cellStyle name="好_Sheet1_101卫浴五金_109吸顶灯 4" xfId="29270"/>
    <cellStyle name="好_Sheet1_101卫浴五金_109吸顶灯 4 2" xfId="25207"/>
    <cellStyle name="好_Sheet1_101卫浴五金_109吸顶灯 5" xfId="21842"/>
    <cellStyle name="好_Sheet1_101卫浴五金_109吸顶灯 5 2" xfId="21847"/>
    <cellStyle name="好_Sheet1_101卫浴五金_109吸顶灯 6" xfId="21852"/>
    <cellStyle name="好_Sheet1_101卫浴五金_109吸顶灯_聊城样板房工程量计算稿" xfId="18752"/>
    <cellStyle name="好_Sheet1_101卫浴五金_109吸顶灯_终板 潍坊翡翠华庭样板房清单" xfId="4701"/>
    <cellStyle name="好_Sheet1_101卫浴五金_110水晶灯" xfId="29272"/>
    <cellStyle name="好_Sheet1_101卫浴五金_110水晶灯 2" xfId="29274"/>
    <cellStyle name="好_Sheet1_101卫浴五金_110水晶灯 2 2" xfId="29276"/>
    <cellStyle name="好_Sheet1_101卫浴五金_110水晶灯 3" xfId="29278"/>
    <cellStyle name="好_Sheet1_101卫浴五金_110水晶灯 3 2" xfId="8426"/>
    <cellStyle name="好_Sheet1_101卫浴五金_110水晶灯 4" xfId="20487"/>
    <cellStyle name="好_Sheet1_101卫浴五金_110水晶灯 4 2" xfId="20492"/>
    <cellStyle name="好_Sheet1_101卫浴五金_110水晶灯 5" xfId="20495"/>
    <cellStyle name="好_Sheet1_101卫浴五金_110水晶灯 5 2" xfId="20500"/>
    <cellStyle name="好_Sheet1_101卫浴五金_110水晶灯 6" xfId="20504"/>
    <cellStyle name="好_Sheet1_101卫浴五金_110水晶灯_聊城样板房工程量计算稿" xfId="15653"/>
    <cellStyle name="好_Sheet1_101卫浴五金_110水晶灯_终板 潍坊翡翠华庭样板房清单" xfId="20856"/>
    <cellStyle name="好_Sheet1_101卫浴五金_118仿石砖" xfId="29280"/>
    <cellStyle name="好_Sheet1_101卫浴五金_118仿石砖 2" xfId="29282"/>
    <cellStyle name="好_Sheet1_101卫浴五金_118仿石砖 2 2" xfId="9992"/>
    <cellStyle name="好_Sheet1_101卫浴五金_118仿石砖 3" xfId="29284"/>
    <cellStyle name="好_Sheet1_101卫浴五金_118仿石砖 3 2" xfId="19436"/>
    <cellStyle name="好_Sheet1_101卫浴五金_118仿石砖 4" xfId="29286"/>
    <cellStyle name="好_Sheet1_101卫浴五金_118仿石砖 4 2" xfId="5640"/>
    <cellStyle name="好_Sheet1_101卫浴五金_118仿石砖 5" xfId="29288"/>
    <cellStyle name="好_Sheet1_101卫浴五金_118仿石砖 5 2" xfId="29290"/>
    <cellStyle name="好_Sheet1_101卫浴五金_118仿石砖 6" xfId="29292"/>
    <cellStyle name="好_Sheet1_101卫浴五金_118仿石砖_聊城样板房工程量计算稿" xfId="26317"/>
    <cellStyle name="好_Sheet1_101卫浴五金_118仿石砖_终板 潍坊翡翠华庭样板房清单" xfId="29294"/>
    <cellStyle name="好_Sheet1_101卫浴五金_119仿古砖" xfId="18892"/>
    <cellStyle name="好_Sheet1_101卫浴五金_119仿古砖 2" xfId="29296"/>
    <cellStyle name="好_Sheet1_101卫浴五金_119仿古砖 2 2" xfId="29298"/>
    <cellStyle name="好_Sheet1_101卫浴五金_119仿古砖 3" xfId="29300"/>
    <cellStyle name="好_Sheet1_101卫浴五金_119仿古砖 3 2" xfId="29302"/>
    <cellStyle name="好_Sheet1_101卫浴五金_119仿古砖 4" xfId="29305"/>
    <cellStyle name="好_Sheet1_101卫浴五金_119仿古砖 4 2" xfId="23718"/>
    <cellStyle name="好_Sheet1_101卫浴五金_119仿古砖 5" xfId="16694"/>
    <cellStyle name="好_Sheet1_101卫浴五金_119仿古砖 5 2" xfId="29307"/>
    <cellStyle name="好_Sheet1_101卫浴五金_119仿古砖 6" xfId="29309"/>
    <cellStyle name="好_Sheet1_101卫浴五金_119仿古砖_聊城样板房工程量计算稿" xfId="8046"/>
    <cellStyle name="好_Sheet1_101卫浴五金_119仿古砖_终板 潍坊翡翠华庭样板房清单" xfId="29311"/>
    <cellStyle name="好_Sheet1_101卫浴五金_2009年6月甲供材料模板（29类版）" xfId="29313"/>
    <cellStyle name="好_Sheet1_101卫浴五金_2009年6月甲供材料模板（29类版） 2" xfId="29315"/>
    <cellStyle name="好_Sheet1_101卫浴五金_2009年6月甲供材料模板（29类版） 2 2" xfId="22211"/>
    <cellStyle name="好_Sheet1_101卫浴五金_2009年6月甲供材料模板（29类版） 3" xfId="29317"/>
    <cellStyle name="好_Sheet1_101卫浴五金_2009年6月甲供材料模板（29类版） 3 2" xfId="29319"/>
    <cellStyle name="好_Sheet1_101卫浴五金_2009年6月甲供材料模板（29类版） 4" xfId="29321"/>
    <cellStyle name="好_Sheet1_101卫浴五金_2009年6月甲供材料模板（29类版） 4 2" xfId="29323"/>
    <cellStyle name="好_Sheet1_101卫浴五金_2009年6月甲供材料模板（29类版） 5" xfId="29325"/>
    <cellStyle name="好_Sheet1_101卫浴五金_2009年6月甲供材料模板（29类版） 5 2" xfId="29328"/>
    <cellStyle name="好_Sheet1_101卫浴五金_2009年6月甲供材料模板（29类版） 6" xfId="1972"/>
    <cellStyle name="好_Sheet1_101卫浴五金_2009年6月甲供材料模板（29类版）_聊城样板房工程量计算稿" xfId="18738"/>
    <cellStyle name="好_Sheet1_101卫浴五金_2009年6月甲供材料模板（29类版）_终板 潍坊翡翠华庭样板房清单" xfId="6969"/>
    <cellStyle name="好_Sheet1_101卫浴五金_聊城样板房工程量计算稿" xfId="29346"/>
    <cellStyle name="好_Sheet1_101卫浴五金_终板 潍坊翡翠华庭样板房清单" xfId="13908"/>
    <cellStyle name="好_Sheet1_102洁具-陶瓷" xfId="30219"/>
    <cellStyle name="好_Sheet1_102洁具-陶瓷 2" xfId="30220"/>
    <cellStyle name="好_Sheet1_102洁具-陶瓷 2 2" xfId="1262"/>
    <cellStyle name="好_Sheet1_102洁具-陶瓷 2 2 2" xfId="1271"/>
    <cellStyle name="好_Sheet1_102洁具-陶瓷 2 3" xfId="1310"/>
    <cellStyle name="好_Sheet1_102洁具-陶瓷 2 3 2" xfId="23281"/>
    <cellStyle name="好_Sheet1_102洁具-陶瓷 2 4" xfId="30221"/>
    <cellStyle name="好_Sheet1_102洁具-陶瓷 2 4 2" xfId="26871"/>
    <cellStyle name="好_Sheet1_102洁具-陶瓷 2 5" xfId="30222"/>
    <cellStyle name="好_Sheet1_102洁具-陶瓷 2_聊城样板房工程量计算稿" xfId="30224"/>
    <cellStyle name="好_Sheet1_102洁具-陶瓷 2_终板 潍坊翡翠华庭样板房清单" xfId="30225"/>
    <cellStyle name="好_Sheet1_102洁具-陶瓷 3" xfId="22050"/>
    <cellStyle name="好_Sheet1_102洁具-陶瓷 3 2" xfId="66"/>
    <cellStyle name="好_Sheet1_102洁具-陶瓷 3 2 2" xfId="27687"/>
    <cellStyle name="好_Sheet1_102洁具-陶瓷 3 3" xfId="9323"/>
    <cellStyle name="好_Sheet1_102洁具-陶瓷 3 3 2" xfId="28973"/>
    <cellStyle name="好_Sheet1_102洁具-陶瓷 3 4" xfId="29255"/>
    <cellStyle name="好_Sheet1_102洁具-陶瓷 3 4 2" xfId="28493"/>
    <cellStyle name="好_Sheet1_102洁具-陶瓷 3 5" xfId="30226"/>
    <cellStyle name="好_Sheet1_102洁具-陶瓷 4" xfId="30227"/>
    <cellStyle name="好_Sheet1_102洁具-陶瓷 4 2" xfId="27703"/>
    <cellStyle name="好_Sheet1_102洁具-陶瓷 5" xfId="30228"/>
    <cellStyle name="好_Sheet1_102洁具-陶瓷 5 2" xfId="12367"/>
    <cellStyle name="好_Sheet1_102洁具-陶瓷 6" xfId="30229"/>
    <cellStyle name="好_Sheet1_102洁具-陶瓷 6 2" xfId="12949"/>
    <cellStyle name="好_Sheet1_102洁具-陶瓷 7" xfId="30230"/>
    <cellStyle name="好_Sheet1_102洁具-陶瓷 7 2" xfId="13381"/>
    <cellStyle name="好_Sheet1_102洁具-陶瓷 8" xfId="12777"/>
    <cellStyle name="好_Sheet1_102洁具-陶瓷_102洁具-陶瓷" xfId="7363"/>
    <cellStyle name="好_Sheet1_102洁具-陶瓷_102洁具-陶瓷 2" xfId="30231"/>
    <cellStyle name="好_Sheet1_102洁具-陶瓷_102洁具-陶瓷 2 2" xfId="30232"/>
    <cellStyle name="好_Sheet1_102洁具-陶瓷_102洁具-陶瓷 3" xfId="30233"/>
    <cellStyle name="好_Sheet1_102洁具-陶瓷_102洁具-陶瓷 3 2" xfId="30234"/>
    <cellStyle name="好_Sheet1_102洁具-陶瓷_102洁具-陶瓷 4" xfId="30235"/>
    <cellStyle name="好_Sheet1_102洁具-陶瓷_102洁具-陶瓷 4 2" xfId="27188"/>
    <cellStyle name="好_Sheet1_102洁具-陶瓷_102洁具-陶瓷 5" xfId="30236"/>
    <cellStyle name="好_Sheet1_102洁具-陶瓷_102洁具-陶瓷 5 2" xfId="30237"/>
    <cellStyle name="好_Sheet1_102洁具-陶瓷_102洁具-陶瓷 6" xfId="30239"/>
    <cellStyle name="好_Sheet1_102洁具-陶瓷_102洁具-陶瓷_聊城样板房工程量计算稿" xfId="6740"/>
    <cellStyle name="好_Sheet1_102洁具-陶瓷_102洁具-陶瓷_终板 潍坊翡翠华庭样板房清单" xfId="8494"/>
    <cellStyle name="好_Sheet1_102洁具-陶瓷_105瓷片 " xfId="25293"/>
    <cellStyle name="好_Sheet1_102洁具-陶瓷_105瓷片  2" xfId="25296"/>
    <cellStyle name="好_Sheet1_102洁具-陶瓷_105瓷片  2 2" xfId="6919"/>
    <cellStyle name="好_Sheet1_102洁具-陶瓷_105瓷片  3" xfId="30240"/>
    <cellStyle name="好_Sheet1_102洁具-陶瓷_105瓷片  3 2" xfId="6929"/>
    <cellStyle name="好_Sheet1_102洁具-陶瓷_105瓷片  4" xfId="6406"/>
    <cellStyle name="好_Sheet1_102洁具-陶瓷_105瓷片  4 2" xfId="30241"/>
    <cellStyle name="好_Sheet1_102洁具-陶瓷_105瓷片  5" xfId="3144"/>
    <cellStyle name="好_Sheet1_102洁具-陶瓷_105瓷片  5 2" xfId="30242"/>
    <cellStyle name="好_Sheet1_102洁具-陶瓷_105瓷片  6" xfId="30243"/>
    <cellStyle name="好_Sheet1_102洁具-陶瓷_105瓷片 _聊城样板房工程量计算稿" xfId="30244"/>
    <cellStyle name="好_Sheet1_102洁具-陶瓷_105瓷片 _终板 潍坊翡翠华庭样板房清单" xfId="10448"/>
    <cellStyle name="好_Sheet1_102洁具-陶瓷_109吸顶灯" xfId="30245"/>
    <cellStyle name="好_Sheet1_102洁具-陶瓷_109吸顶灯 2" xfId="30246"/>
    <cellStyle name="好_Sheet1_102洁具-陶瓷_109吸顶灯 2 2" xfId="30247"/>
    <cellStyle name="好_Sheet1_102洁具-陶瓷_109吸顶灯 3" xfId="30248"/>
    <cellStyle name="好_Sheet1_102洁具-陶瓷_109吸顶灯 3 2" xfId="30249"/>
    <cellStyle name="好_Sheet1_102洁具-陶瓷_109吸顶灯 4" xfId="4854"/>
    <cellStyle name="好_Sheet1_102洁具-陶瓷_109吸顶灯 4 2" xfId="30250"/>
    <cellStyle name="好_Sheet1_102洁具-陶瓷_109吸顶灯 5" xfId="797"/>
    <cellStyle name="好_Sheet1_102洁具-陶瓷_109吸顶灯 5 2" xfId="30251"/>
    <cellStyle name="好_Sheet1_102洁具-陶瓷_109吸顶灯 6" xfId="4525"/>
    <cellStyle name="好_Sheet1_102洁具-陶瓷_109吸顶灯_聊城样板房工程量计算稿" xfId="30252"/>
    <cellStyle name="好_Sheet1_102洁具-陶瓷_109吸顶灯_终板 潍坊翡翠华庭样板房清单" xfId="30253"/>
    <cellStyle name="好_Sheet1_102洁具-陶瓷_110水晶灯" xfId="30255"/>
    <cellStyle name="好_Sheet1_102洁具-陶瓷_110水晶灯 2" xfId="30257"/>
    <cellStyle name="好_Sheet1_102洁具-陶瓷_110水晶灯 2 2" xfId="26233"/>
    <cellStyle name="好_Sheet1_102洁具-陶瓷_110水晶灯 3" xfId="15625"/>
    <cellStyle name="好_Sheet1_102洁具-陶瓷_110水晶灯 3 2" xfId="21060"/>
    <cellStyle name="好_Sheet1_102洁具-陶瓷_110水晶灯 4" xfId="204"/>
    <cellStyle name="好_Sheet1_102洁具-陶瓷_110水晶灯 4 2" xfId="30258"/>
    <cellStyle name="好_Sheet1_102洁具-陶瓷_110水晶灯 5" xfId="30259"/>
    <cellStyle name="好_Sheet1_102洁具-陶瓷_110水晶灯 5 2" xfId="29734"/>
    <cellStyle name="好_Sheet1_102洁具-陶瓷_110水晶灯 6" xfId="30260"/>
    <cellStyle name="好_Sheet1_102洁具-陶瓷_110水晶灯_聊城样板房工程量计算稿" xfId="13502"/>
    <cellStyle name="好_Sheet1_102洁具-陶瓷_110水晶灯_终板 潍坊翡翠华庭样板房清单" xfId="30261"/>
    <cellStyle name="好_Sheet1_102洁具-陶瓷_118仿石砖" xfId="30262"/>
    <cellStyle name="好_Sheet1_102洁具-陶瓷_118仿石砖 2" xfId="30263"/>
    <cellStyle name="好_Sheet1_102洁具-陶瓷_118仿石砖 2 2" xfId="30264"/>
    <cellStyle name="好_Sheet1_102洁具-陶瓷_118仿石砖 3" xfId="30265"/>
    <cellStyle name="好_Sheet1_102洁具-陶瓷_118仿石砖 3 2" xfId="30266"/>
    <cellStyle name="好_Sheet1_102洁具-陶瓷_118仿石砖 4" xfId="30268"/>
    <cellStyle name="好_Sheet1_102洁具-陶瓷_118仿石砖 4 2" xfId="30270"/>
    <cellStyle name="好_Sheet1_102洁具-陶瓷_118仿石砖 5" xfId="10814"/>
    <cellStyle name="好_Sheet1_102洁具-陶瓷_118仿石砖 5 2" xfId="30273"/>
    <cellStyle name="好_Sheet1_102洁具-陶瓷_118仿石砖 6" xfId="30276"/>
    <cellStyle name="好_Sheet1_102洁具-陶瓷_118仿石砖_聊城样板房工程量计算稿" xfId="7090"/>
    <cellStyle name="好_Sheet1_102洁具-陶瓷_118仿石砖_终板 潍坊翡翠华庭样板房清单" xfId="29616"/>
    <cellStyle name="好_Sheet1_102洁具-陶瓷_119仿古砖" xfId="30278"/>
    <cellStyle name="好_Sheet1_102洁具-陶瓷_119仿古砖 2" xfId="30279"/>
    <cellStyle name="好_Sheet1_102洁具-陶瓷_119仿古砖 2 2" xfId="30280"/>
    <cellStyle name="好_Sheet1_102洁具-陶瓷_119仿古砖 3" xfId="30282"/>
    <cellStyle name="好_Sheet1_102洁具-陶瓷_119仿古砖 3 2" xfId="21914"/>
    <cellStyle name="好_Sheet1_102洁具-陶瓷_119仿古砖 4" xfId="30284"/>
    <cellStyle name="好_Sheet1_102洁具-陶瓷_119仿古砖 4 2" xfId="23162"/>
    <cellStyle name="好_Sheet1_102洁具-陶瓷_119仿古砖 5" xfId="30286"/>
    <cellStyle name="好_Sheet1_102洁具-陶瓷_119仿古砖 5 2" xfId="30287"/>
    <cellStyle name="好_Sheet1_102洁具-陶瓷_119仿古砖 6" xfId="2167"/>
    <cellStyle name="好_Sheet1_102洁具-陶瓷_119仿古砖_聊城样板房工程量计算稿" xfId="30289"/>
    <cellStyle name="好_Sheet1_102洁具-陶瓷_119仿古砖_终板 潍坊翡翠华庭样板房清单" xfId="5084"/>
    <cellStyle name="好_Sheet1_102洁具-陶瓷_2009年6月甲供材料模板（29类版）" xfId="30290"/>
    <cellStyle name="好_Sheet1_102洁具-陶瓷_2009年6月甲供材料模板（29类版） 2" xfId="30291"/>
    <cellStyle name="好_Sheet1_102洁具-陶瓷_2009年6月甲供材料模板（29类版） 2 2" xfId="30292"/>
    <cellStyle name="好_Sheet1_102洁具-陶瓷_2009年6月甲供材料模板（29类版） 3" xfId="3981"/>
    <cellStyle name="好_Sheet1_102洁具-陶瓷_2009年6月甲供材料模板（29类版） 3 2" xfId="22181"/>
    <cellStyle name="好_Sheet1_102洁具-陶瓷_2009年6月甲供材料模板（29类版） 4" xfId="30294"/>
    <cellStyle name="好_Sheet1_102洁具-陶瓷_2009年6月甲供材料模板（29类版） 4 2" xfId="30296"/>
    <cellStyle name="好_Sheet1_102洁具-陶瓷_2009年6月甲供材料模板（29类版） 5" xfId="30298"/>
    <cellStyle name="好_Sheet1_102洁具-陶瓷_2009年6月甲供材料模板（29类版） 5 2" xfId="30299"/>
    <cellStyle name="好_Sheet1_102洁具-陶瓷_2009年6月甲供材料模板（29类版） 6" xfId="30300"/>
    <cellStyle name="好_Sheet1_102洁具-陶瓷_2009年6月甲供材料模板（29类版）_聊城样板房工程量计算稿" xfId="30301"/>
    <cellStyle name="好_Sheet1_102洁具-陶瓷_2009年6月甲供材料模板（29类版）_终板 潍坊翡翠华庭样板房清单" xfId="6383"/>
    <cellStyle name="好_Sheet1_102洁具-陶瓷_聊城样板房工程量计算稿" xfId="30303"/>
    <cellStyle name="好_Sheet1_102洁具-陶瓷_终板 潍坊翡翠华庭样板房清单" xfId="30304"/>
    <cellStyle name="好_Sheet1_103洁具-龙头 " xfId="24001"/>
    <cellStyle name="好_Sheet1_103洁具-龙头  2" xfId="28087"/>
    <cellStyle name="好_Sheet1_103洁具-龙头  2 2" xfId="30305"/>
    <cellStyle name="好_Sheet1_103洁具-龙头  2 2 2" xfId="30306"/>
    <cellStyle name="好_Sheet1_103洁具-龙头  2 3" xfId="19610"/>
    <cellStyle name="好_Sheet1_103洁具-龙头  2 3 2" xfId="19613"/>
    <cellStyle name="好_Sheet1_103洁具-龙头  2 4" xfId="14524"/>
    <cellStyle name="好_Sheet1_103洁具-龙头  2 4 2" xfId="29503"/>
    <cellStyle name="好_Sheet1_103洁具-龙头  2 5" xfId="29509"/>
    <cellStyle name="好_Sheet1_103洁具-龙头  2_聊城样板房工程量计算稿" xfId="30307"/>
    <cellStyle name="好_Sheet1_103洁具-龙头  2_终板 潍坊翡翠华庭样板房清单" xfId="30308"/>
    <cellStyle name="好_Sheet1_103洁具-龙头  3" xfId="28089"/>
    <cellStyle name="好_Sheet1_103洁具-龙头  3 2" xfId="9108"/>
    <cellStyle name="好_Sheet1_103洁具-龙头  3 2 2" xfId="20558"/>
    <cellStyle name="好_Sheet1_103洁具-龙头  3 3" xfId="30310"/>
    <cellStyle name="好_Sheet1_103洁具-龙头  3 3 2" xfId="26424"/>
    <cellStyle name="好_Sheet1_103洁具-龙头  3 4" xfId="26964"/>
    <cellStyle name="好_Sheet1_103洁具-龙头  3 4 2" xfId="26967"/>
    <cellStyle name="好_Sheet1_103洁具-龙头  3 5" xfId="26971"/>
    <cellStyle name="好_Sheet1_103洁具-龙头  4" xfId="28091"/>
    <cellStyle name="好_Sheet1_103洁具-龙头  4 2" xfId="30311"/>
    <cellStyle name="好_Sheet1_103洁具-龙头  5" xfId="28093"/>
    <cellStyle name="好_Sheet1_103洁具-龙头  5 2" xfId="30312"/>
    <cellStyle name="好_Sheet1_103洁具-龙头  6" xfId="20475"/>
    <cellStyle name="好_Sheet1_103洁具-龙头  6 2" xfId="20482"/>
    <cellStyle name="好_Sheet1_103洁具-龙头  7" xfId="28095"/>
    <cellStyle name="好_Sheet1_103洁具-龙头  7 2" xfId="30313"/>
    <cellStyle name="好_Sheet1_103洁具-龙头  8" xfId="28010"/>
    <cellStyle name="好_Sheet1_103洁具-龙头 _102洁具-陶瓷" xfId="6128"/>
    <cellStyle name="好_Sheet1_103洁具-龙头 _102洁具-陶瓷 2" xfId="30314"/>
    <cellStyle name="好_Sheet1_103洁具-龙头 _102洁具-陶瓷 2 2" xfId="30316"/>
    <cellStyle name="好_Sheet1_103洁具-龙头 _102洁具-陶瓷 3" xfId="30317"/>
    <cellStyle name="好_Sheet1_103洁具-龙头 _102洁具-陶瓷 3 2" xfId="21628"/>
    <cellStyle name="好_Sheet1_103洁具-龙头 _102洁具-陶瓷 4" xfId="30318"/>
    <cellStyle name="好_Sheet1_103洁具-龙头 _102洁具-陶瓷 4 2" xfId="30319"/>
    <cellStyle name="好_Sheet1_103洁具-龙头 _102洁具-陶瓷 5" xfId="30320"/>
    <cellStyle name="好_Sheet1_103洁具-龙头 _102洁具-陶瓷 5 2" xfId="30321"/>
    <cellStyle name="好_Sheet1_103洁具-龙头 _102洁具-陶瓷 6" xfId="8908"/>
    <cellStyle name="好_Sheet1_103洁具-龙头 _102洁具-陶瓷_聊城样板房工程量计算稿" xfId="30323"/>
    <cellStyle name="好_Sheet1_103洁具-龙头 _102洁具-陶瓷_终板 潍坊翡翠华庭样板房清单" xfId="30324"/>
    <cellStyle name="好_Sheet1_103洁具-龙头 _105瓷片 " xfId="6716"/>
    <cellStyle name="好_Sheet1_103洁具-龙头 _105瓷片  2" xfId="30326"/>
    <cellStyle name="好_Sheet1_103洁具-龙头 _105瓷片  2 2" xfId="16246"/>
    <cellStyle name="好_Sheet1_103洁具-龙头 _105瓷片  3" xfId="16793"/>
    <cellStyle name="好_Sheet1_103洁具-龙头 _105瓷片  3 2" xfId="30327"/>
    <cellStyle name="好_Sheet1_103洁具-龙头 _105瓷片  4" xfId="6309"/>
    <cellStyle name="好_Sheet1_103洁具-龙头 _105瓷片  4 2" xfId="30328"/>
    <cellStyle name="好_Sheet1_103洁具-龙头 _105瓷片  5" xfId="30329"/>
    <cellStyle name="好_Sheet1_103洁具-龙头 _105瓷片  5 2" xfId="30330"/>
    <cellStyle name="好_Sheet1_103洁具-龙头 _105瓷片  6" xfId="30331"/>
    <cellStyle name="好_Sheet1_103洁具-龙头 _105瓷片 _聊城样板房工程量计算稿" xfId="30332"/>
    <cellStyle name="好_Sheet1_103洁具-龙头 _105瓷片 _终板 潍坊翡翠华庭样板房清单" xfId="21101"/>
    <cellStyle name="好_Sheet1_103洁具-龙头 _109吸顶灯" xfId="7673"/>
    <cellStyle name="好_Sheet1_103洁具-龙头 _109吸顶灯 2" xfId="7675"/>
    <cellStyle name="好_Sheet1_103洁具-龙头 _109吸顶灯 2 2" xfId="7677"/>
    <cellStyle name="好_Sheet1_103洁具-龙头 _109吸顶灯 3" xfId="7688"/>
    <cellStyle name="好_Sheet1_103洁具-龙头 _109吸顶灯 3 2" xfId="7690"/>
    <cellStyle name="好_Sheet1_103洁具-龙头 _109吸顶灯 4" xfId="7699"/>
    <cellStyle name="好_Sheet1_103洁具-龙头 _109吸顶灯 4 2" xfId="7701"/>
    <cellStyle name="好_Sheet1_103洁具-龙头 _109吸顶灯 5" xfId="7703"/>
    <cellStyle name="好_Sheet1_103洁具-龙头 _109吸顶灯 5 2" xfId="30333"/>
    <cellStyle name="好_Sheet1_103洁具-龙头 _109吸顶灯 6" xfId="30334"/>
    <cellStyle name="好_Sheet1_103洁具-龙头 _109吸顶灯_聊城样板房工程量计算稿" xfId="17063"/>
    <cellStyle name="好_Sheet1_103洁具-龙头 _109吸顶灯_终板 潍坊翡翠华庭样板房清单" xfId="24885"/>
    <cellStyle name="好_Sheet1_103洁具-龙头 _110水晶灯" xfId="30335"/>
    <cellStyle name="好_Sheet1_103洁具-龙头 _110水晶灯 2" xfId="30336"/>
    <cellStyle name="好_Sheet1_103洁具-龙头 _110水晶灯 2 2" xfId="30337"/>
    <cellStyle name="好_Sheet1_103洁具-龙头 _110水晶灯 3" xfId="6886"/>
    <cellStyle name="好_Sheet1_103洁具-龙头 _110水晶灯 3 2" xfId="6889"/>
    <cellStyle name="好_Sheet1_103洁具-龙头 _110水晶灯 4" xfId="6892"/>
    <cellStyle name="好_Sheet1_103洁具-龙头 _110水晶灯 4 2" xfId="6894"/>
    <cellStyle name="好_Sheet1_103洁具-龙头 _110水晶灯 5" xfId="5288"/>
    <cellStyle name="好_Sheet1_103洁具-龙头 _110水晶灯 5 2" xfId="5381"/>
    <cellStyle name="好_Sheet1_103洁具-龙头 _110水晶灯 6" xfId="6896"/>
    <cellStyle name="好_Sheet1_103洁具-龙头 _110水晶灯_聊城样板房工程量计算稿" xfId="30338"/>
    <cellStyle name="好_Sheet1_103洁具-龙头 _110水晶灯_终板 潍坊翡翠华庭样板房清单" xfId="26814"/>
    <cellStyle name="好_Sheet1_103洁具-龙头 _118仿石砖" xfId="7592"/>
    <cellStyle name="好_Sheet1_103洁具-龙头 _118仿石砖 2" xfId="7594"/>
    <cellStyle name="好_Sheet1_103洁具-龙头 _118仿石砖 2 2" xfId="20313"/>
    <cellStyle name="好_Sheet1_103洁具-龙头 _118仿石砖 3" xfId="30339"/>
    <cellStyle name="好_Sheet1_103洁具-龙头 _118仿石砖 3 2" xfId="23977"/>
    <cellStyle name="好_Sheet1_103洁具-龙头 _118仿石砖 4" xfId="9467"/>
    <cellStyle name="好_Sheet1_103洁具-龙头 _118仿石砖 4 2" xfId="23392"/>
    <cellStyle name="好_Sheet1_103洁具-龙头 _118仿石砖 5" xfId="30340"/>
    <cellStyle name="好_Sheet1_103洁具-龙头 _118仿石砖 5 2" xfId="20140"/>
    <cellStyle name="好_Sheet1_103洁具-龙头 _118仿石砖 6" xfId="30341"/>
    <cellStyle name="好_Sheet1_103洁具-龙头 _118仿石砖_聊城样板房工程量计算稿" xfId="16465"/>
    <cellStyle name="好_Sheet1_103洁具-龙头 _118仿石砖_终板 潍坊翡翠华庭样板房清单" xfId="9588"/>
    <cellStyle name="好_Sheet1_103洁具-龙头 _119仿古砖" xfId="22851"/>
    <cellStyle name="好_Sheet1_103洁具-龙头 _119仿古砖 2" xfId="30343"/>
    <cellStyle name="好_Sheet1_103洁具-龙头 _119仿古砖 2 2" xfId="30285"/>
    <cellStyle name="好_Sheet1_103洁具-龙头 _119仿古砖 3" xfId="30345"/>
    <cellStyle name="好_Sheet1_103洁具-龙头 _119仿古砖 3 2" xfId="30346"/>
    <cellStyle name="好_Sheet1_103洁具-龙头 _119仿古砖 4" xfId="30347"/>
    <cellStyle name="好_Sheet1_103洁具-龙头 _119仿古砖 4 2" xfId="17078"/>
    <cellStyle name="好_Sheet1_103洁具-龙头 _119仿古砖 5" xfId="30348"/>
    <cellStyle name="好_Sheet1_103洁具-龙头 _119仿古砖 5 2" xfId="21491"/>
    <cellStyle name="好_Sheet1_103洁具-龙头 _119仿古砖 6" xfId="30349"/>
    <cellStyle name="好_Sheet1_103洁具-龙头 _119仿古砖_聊城样板房工程量计算稿" xfId="501"/>
    <cellStyle name="好_Sheet1_103洁具-龙头 _119仿古砖_终板 潍坊翡翠华庭样板房清单" xfId="30350"/>
    <cellStyle name="好_Sheet1_103洁具-龙头 _2009年6月甲供材料模板（29类版）" xfId="23087"/>
    <cellStyle name="好_Sheet1_103洁具-龙头 _2009年6月甲供材料模板（29类版） 2" xfId="18295"/>
    <cellStyle name="好_Sheet1_103洁具-龙头 _2009年6月甲供材料模板（29类版） 2 2" xfId="24604"/>
    <cellStyle name="好_Sheet1_103洁具-龙头 _2009年6月甲供材料模板（29类版） 3" xfId="18298"/>
    <cellStyle name="好_Sheet1_103洁具-龙头 _2009年6月甲供材料模板（29类版） 3 2" xfId="24773"/>
    <cellStyle name="好_Sheet1_103洁具-龙头 _2009年6月甲供材料模板（29类版） 4" xfId="18300"/>
    <cellStyle name="好_Sheet1_103洁具-龙头 _2009年6月甲供材料模板（29类版） 4 2" xfId="24877"/>
    <cellStyle name="好_Sheet1_103洁具-龙头 _2009年6月甲供材料模板（29类版） 5" xfId="18302"/>
    <cellStyle name="好_Sheet1_103洁具-龙头 _2009年6月甲供材料模板（29类版） 5 2" xfId="24958"/>
    <cellStyle name="好_Sheet1_103洁具-龙头 _2009年6月甲供材料模板（29类版） 6" xfId="30351"/>
    <cellStyle name="好_Sheet1_103洁具-龙头 _2009年6月甲供材料模板（29类版）_聊城样板房工程量计算稿" xfId="29846"/>
    <cellStyle name="好_Sheet1_103洁具-龙头 _2009年6月甲供材料模板（29类版）_终板 潍坊翡翠华庭样板房清单" xfId="24666"/>
    <cellStyle name="好_Sheet1_103洁具-龙头 _聊城样板房工程量计算稿" xfId="9375"/>
    <cellStyle name="好_Sheet1_103洁具-龙头 _终板 潍坊翡翠华庭样板房清单" xfId="30352"/>
    <cellStyle name="好_Sheet1_104抛光砖" xfId="20549"/>
    <cellStyle name="好_Sheet1_104抛光砖 2" xfId="30353"/>
    <cellStyle name="好_Sheet1_104抛光砖 2 2" xfId="30354"/>
    <cellStyle name="好_Sheet1_104抛光砖 2 2 2" xfId="30355"/>
    <cellStyle name="好_Sheet1_104抛光砖 2 3" xfId="30356"/>
    <cellStyle name="好_Sheet1_104抛光砖 2 3 2" xfId="1643"/>
    <cellStyle name="好_Sheet1_104抛光砖 2 4" xfId="30357"/>
    <cellStyle name="好_Sheet1_104抛光砖 2 4 2" xfId="1660"/>
    <cellStyle name="好_Sheet1_104抛光砖 2 5" xfId="29326"/>
    <cellStyle name="好_Sheet1_104抛光砖 2_聊城样板房工程量计算稿" xfId="9021"/>
    <cellStyle name="好_Sheet1_104抛光砖 2_终板 潍坊翡翠华庭样板房清单" xfId="30358"/>
    <cellStyle name="好_Sheet1_104抛光砖 3" xfId="30359"/>
    <cellStyle name="好_Sheet1_104抛光砖 3 2" xfId="30360"/>
    <cellStyle name="好_Sheet1_104抛光砖 3 2 2" xfId="30361"/>
    <cellStyle name="好_Sheet1_104抛光砖 3 3" xfId="30362"/>
    <cellStyle name="好_Sheet1_104抛光砖 3 3 2" xfId="30363"/>
    <cellStyle name="好_Sheet1_104抛光砖 3 4" xfId="30364"/>
    <cellStyle name="好_Sheet1_104抛光砖 3 4 2" xfId="30365"/>
    <cellStyle name="好_Sheet1_104抛光砖 3 5" xfId="30366"/>
    <cellStyle name="好_Sheet1_104抛光砖 4" xfId="30367"/>
    <cellStyle name="好_Sheet1_104抛光砖 4 2" xfId="30368"/>
    <cellStyle name="好_Sheet1_104抛光砖 5" xfId="30369"/>
    <cellStyle name="好_Sheet1_104抛光砖 5 2" xfId="30370"/>
    <cellStyle name="好_Sheet1_104抛光砖 6" xfId="30371"/>
    <cellStyle name="好_Sheet1_104抛光砖 6 2" xfId="30372"/>
    <cellStyle name="好_Sheet1_104抛光砖 7" xfId="30374"/>
    <cellStyle name="好_Sheet1_104抛光砖 7 2" xfId="30376"/>
    <cellStyle name="好_Sheet1_104抛光砖 8" xfId="30378"/>
    <cellStyle name="好_Sheet1_104抛光砖_102洁具-陶瓷" xfId="30379"/>
    <cellStyle name="好_Sheet1_104抛光砖_102洁具-陶瓷 2" xfId="30380"/>
    <cellStyle name="好_Sheet1_104抛光砖_102洁具-陶瓷 2 2" xfId="30381"/>
    <cellStyle name="好_Sheet1_104抛光砖_102洁具-陶瓷 3" xfId="30382"/>
    <cellStyle name="好_Sheet1_104抛光砖_102洁具-陶瓷 3 2" xfId="30383"/>
    <cellStyle name="好_Sheet1_104抛光砖_102洁具-陶瓷 4" xfId="30384"/>
    <cellStyle name="好_Sheet1_104抛光砖_102洁具-陶瓷 4 2" xfId="30385"/>
    <cellStyle name="好_Sheet1_104抛光砖_102洁具-陶瓷 5" xfId="28232"/>
    <cellStyle name="好_Sheet1_104抛光砖_102洁具-陶瓷 5 2" xfId="30386"/>
    <cellStyle name="好_Sheet1_104抛光砖_102洁具-陶瓷 6" xfId="30387"/>
    <cellStyle name="好_Sheet1_104抛光砖_102洁具-陶瓷_聊城样板房工程量计算稿" xfId="30388"/>
    <cellStyle name="好_Sheet1_104抛光砖_102洁具-陶瓷_终板 潍坊翡翠华庭样板房清单" xfId="14687"/>
    <cellStyle name="好_Sheet1_104抛光砖_105瓷片 " xfId="1961"/>
    <cellStyle name="好_Sheet1_104抛光砖_105瓷片  2" xfId="30390"/>
    <cellStyle name="好_Sheet1_104抛光砖_105瓷片  2 2" xfId="30392"/>
    <cellStyle name="好_Sheet1_104抛光砖_105瓷片  3" xfId="30393"/>
    <cellStyle name="好_Sheet1_104抛光砖_105瓷片  3 2" xfId="30394"/>
    <cellStyle name="好_Sheet1_104抛光砖_105瓷片  4" xfId="30395"/>
    <cellStyle name="好_Sheet1_104抛光砖_105瓷片  4 2" xfId="30396"/>
    <cellStyle name="好_Sheet1_104抛光砖_105瓷片  5" xfId="23019"/>
    <cellStyle name="好_Sheet1_104抛光砖_105瓷片  5 2" xfId="27837"/>
    <cellStyle name="好_Sheet1_104抛光砖_105瓷片  6" xfId="30397"/>
    <cellStyle name="好_Sheet1_104抛光砖_105瓷片 _聊城样板房工程量计算稿" xfId="30399"/>
    <cellStyle name="好_Sheet1_104抛光砖_105瓷片 _终板 潍坊翡翠华庭样板房清单" xfId="30400"/>
    <cellStyle name="好_Sheet1_104抛光砖_109吸顶灯" xfId="2279"/>
    <cellStyle name="好_Sheet1_104抛光砖_109吸顶灯 2" xfId="1658"/>
    <cellStyle name="好_Sheet1_104抛光砖_109吸顶灯 2 2" xfId="14508"/>
    <cellStyle name="好_Sheet1_104抛光砖_109吸顶灯 3" xfId="15570"/>
    <cellStyle name="好_Sheet1_104抛光砖_109吸顶灯 3 2" xfId="30401"/>
    <cellStyle name="好_Sheet1_104抛光砖_109吸顶灯 4" xfId="30402"/>
    <cellStyle name="好_Sheet1_104抛光砖_109吸顶灯 4 2" xfId="29515"/>
    <cellStyle name="好_Sheet1_104抛光砖_109吸顶灯 5" xfId="30403"/>
    <cellStyle name="好_Sheet1_104抛光砖_109吸顶灯 5 2" xfId="8537"/>
    <cellStyle name="好_Sheet1_104抛光砖_109吸顶灯 6" xfId="30404"/>
    <cellStyle name="好_Sheet1_104抛光砖_109吸顶灯_聊城样板房工程量计算稿" xfId="30405"/>
    <cellStyle name="好_Sheet1_104抛光砖_109吸顶灯_终板 潍坊翡翠华庭样板房清单" xfId="22641"/>
    <cellStyle name="好_Sheet1_104抛光砖_110水晶灯" xfId="30406"/>
    <cellStyle name="好_Sheet1_104抛光砖_110水晶灯 2" xfId="30407"/>
    <cellStyle name="好_Sheet1_104抛光砖_110水晶灯 2 2" xfId="13214"/>
    <cellStyle name="好_Sheet1_104抛光砖_110水晶灯 3" xfId="30408"/>
    <cellStyle name="好_Sheet1_104抛光砖_110水晶灯 3 2" xfId="6142"/>
    <cellStyle name="好_Sheet1_104抛光砖_110水晶灯 4" xfId="15108"/>
    <cellStyle name="好_Sheet1_104抛光砖_110水晶灯 4 2" xfId="6153"/>
    <cellStyle name="好_Sheet1_104抛光砖_110水晶灯 5" xfId="30150"/>
    <cellStyle name="好_Sheet1_104抛光砖_110水晶灯 5 2" xfId="8520"/>
    <cellStyle name="好_Sheet1_104抛光砖_110水晶灯 6" xfId="6666"/>
    <cellStyle name="好_Sheet1_104抛光砖_110水晶灯_聊城样板房工程量计算稿" xfId="30409"/>
    <cellStyle name="好_Sheet1_104抛光砖_110水晶灯_终板 潍坊翡翠华庭样板房清单" xfId="3948"/>
    <cellStyle name="好_Sheet1_104抛光砖_118仿石砖" xfId="15832"/>
    <cellStyle name="好_Sheet1_104抛光砖_118仿石砖 2" xfId="21763"/>
    <cellStyle name="好_Sheet1_104抛光砖_118仿石砖 2 2" xfId="30411"/>
    <cellStyle name="好_Sheet1_104抛光砖_118仿石砖 3" xfId="16084"/>
    <cellStyle name="好_Sheet1_104抛光砖_118仿石砖 3 2" xfId="30413"/>
    <cellStyle name="好_Sheet1_104抛光砖_118仿石砖 4" xfId="30415"/>
    <cellStyle name="好_Sheet1_104抛光砖_118仿石砖 4 2" xfId="682"/>
    <cellStyle name="好_Sheet1_104抛光砖_118仿石砖 5" xfId="12183"/>
    <cellStyle name="好_Sheet1_104抛光砖_118仿石砖 5 2" xfId="30416"/>
    <cellStyle name="好_Sheet1_104抛光砖_118仿石砖 6" xfId="30417"/>
    <cellStyle name="好_Sheet1_104抛光砖_118仿石砖_聊城样板房工程量计算稿" xfId="20139"/>
    <cellStyle name="好_Sheet1_104抛光砖_118仿石砖_终板 潍坊翡翠华庭样板房清单" xfId="30419"/>
    <cellStyle name="好_Sheet1_104抛光砖_119仿古砖" xfId="13553"/>
    <cellStyle name="好_Sheet1_104抛光砖_119仿古砖 2" xfId="13556"/>
    <cellStyle name="好_Sheet1_104抛光砖_119仿古砖 2 2" xfId="30420"/>
    <cellStyle name="好_Sheet1_104抛光砖_119仿古砖 3" xfId="26042"/>
    <cellStyle name="好_Sheet1_104抛光砖_119仿古砖 3 2" xfId="30421"/>
    <cellStyle name="好_Sheet1_104抛光砖_119仿古砖 4" xfId="30422"/>
    <cellStyle name="好_Sheet1_104抛光砖_119仿古砖 4 2" xfId="30423"/>
    <cellStyle name="好_Sheet1_104抛光砖_119仿古砖 5" xfId="18241"/>
    <cellStyle name="好_Sheet1_104抛光砖_119仿古砖 5 2" xfId="28199"/>
    <cellStyle name="好_Sheet1_104抛光砖_119仿古砖 6" xfId="18245"/>
    <cellStyle name="好_Sheet1_104抛光砖_119仿古砖_聊城样板房工程量计算稿" xfId="861"/>
    <cellStyle name="好_Sheet1_104抛光砖_119仿古砖_终板 潍坊翡翠华庭样板房清单" xfId="30424"/>
    <cellStyle name="好_Sheet1_104抛光砖_2009年6月甲供材料模板（29类版）" xfId="18337"/>
    <cellStyle name="好_Sheet1_104抛光砖_2009年6月甲供材料模板（29类版） 2" xfId="30425"/>
    <cellStyle name="好_Sheet1_104抛光砖_2009年6月甲供材料模板（29类版） 2 2" xfId="30426"/>
    <cellStyle name="好_Sheet1_104抛光砖_2009年6月甲供材料模板（29类版） 3" xfId="30427"/>
    <cellStyle name="好_Sheet1_104抛光砖_2009年6月甲供材料模板（29类版） 3 2" xfId="28261"/>
    <cellStyle name="好_Sheet1_104抛光砖_2009年6月甲供材料模板（29类版） 4" xfId="30428"/>
    <cellStyle name="好_Sheet1_104抛光砖_2009年6月甲供材料模板（29类版） 4 2" xfId="25861"/>
    <cellStyle name="好_Sheet1_104抛光砖_2009年6月甲供材料模板（29类版） 5" xfId="22339"/>
    <cellStyle name="好_Sheet1_104抛光砖_2009年6月甲供材料模板（29类版） 5 2" xfId="30429"/>
    <cellStyle name="好_Sheet1_104抛光砖_2009年6月甲供材料模板（29类版） 6" xfId="30430"/>
    <cellStyle name="好_Sheet1_104抛光砖_2009年6月甲供材料模板（29类版）_聊城样板房工程量计算稿" xfId="14816"/>
    <cellStyle name="好_Sheet1_104抛光砖_2009年6月甲供材料模板（29类版）_终板 潍坊翡翠华庭样板房清单" xfId="30431"/>
    <cellStyle name="好_Sheet1_104抛光砖_聊城样板房工程量计算稿" xfId="30433"/>
    <cellStyle name="好_Sheet1_104抛光砖_终板 潍坊翡翠华庭样板房清单" xfId="8456"/>
    <cellStyle name="好_Sheet1_105瓷片 " xfId="30434"/>
    <cellStyle name="好_Sheet1_105瓷片  2" xfId="30435"/>
    <cellStyle name="好_Sheet1_105瓷片  2 2" xfId="30436"/>
    <cellStyle name="好_Sheet1_105瓷片  2 2 2" xfId="29140"/>
    <cellStyle name="好_Sheet1_105瓷片  2 3" xfId="30438"/>
    <cellStyle name="好_Sheet1_105瓷片  2 3 2" xfId="30439"/>
    <cellStyle name="好_Sheet1_105瓷片  2 4" xfId="30440"/>
    <cellStyle name="好_Sheet1_105瓷片  2 4 2" xfId="30441"/>
    <cellStyle name="好_Sheet1_105瓷片  2 5" xfId="30442"/>
    <cellStyle name="好_Sheet1_105瓷片  2_聊城样板房工程量计算稿" xfId="30443"/>
    <cellStyle name="好_Sheet1_105瓷片  2_终板 潍坊翡翠华庭样板房清单" xfId="26208"/>
    <cellStyle name="好_Sheet1_105瓷片  3" xfId="30444"/>
    <cellStyle name="好_Sheet1_105瓷片  3 2" xfId="30445"/>
    <cellStyle name="好_Sheet1_105瓷片  3 2 2" xfId="30446"/>
    <cellStyle name="好_Sheet1_105瓷片  3 3" xfId="30447"/>
    <cellStyle name="好_Sheet1_105瓷片  3 3 2" xfId="30448"/>
    <cellStyle name="好_Sheet1_105瓷片  3 4" xfId="30449"/>
    <cellStyle name="好_Sheet1_105瓷片  3 4 2" xfId="30450"/>
    <cellStyle name="好_Sheet1_105瓷片  3 5" xfId="30451"/>
    <cellStyle name="好_Sheet1_105瓷片  4" xfId="30452"/>
    <cellStyle name="好_Sheet1_105瓷片  4 2" xfId="30453"/>
    <cellStyle name="好_Sheet1_105瓷片  5" xfId="30454"/>
    <cellStyle name="好_Sheet1_105瓷片  5 2" xfId="30455"/>
    <cellStyle name="好_Sheet1_105瓷片  6" xfId="30456"/>
    <cellStyle name="好_Sheet1_105瓷片  6 2" xfId="30457"/>
    <cellStyle name="好_Sheet1_105瓷片  7" xfId="30458"/>
    <cellStyle name="好_Sheet1_105瓷片  7 2" xfId="30460"/>
    <cellStyle name="好_Sheet1_105瓷片  8" xfId="30461"/>
    <cellStyle name="好_Sheet1_105瓷片 _102洁具-陶瓷" xfId="30462"/>
    <cellStyle name="好_Sheet1_105瓷片 _102洁具-陶瓷 2" xfId="30463"/>
    <cellStyle name="好_Sheet1_105瓷片 _102洁具-陶瓷 2 2" xfId="8511"/>
    <cellStyle name="好_Sheet1_105瓷片 _102洁具-陶瓷 3" xfId="21239"/>
    <cellStyle name="好_Sheet1_105瓷片 _102洁具-陶瓷 3 2" xfId="30464"/>
    <cellStyle name="好_Sheet1_105瓷片 _102洁具-陶瓷 4" xfId="30466"/>
    <cellStyle name="好_Sheet1_105瓷片 _102洁具-陶瓷 4 2" xfId="30468"/>
    <cellStyle name="好_Sheet1_105瓷片 _102洁具-陶瓷 5" xfId="30471"/>
    <cellStyle name="好_Sheet1_105瓷片 _102洁具-陶瓷 5 2" xfId="30473"/>
    <cellStyle name="好_Sheet1_105瓷片 _102洁具-陶瓷 6" xfId="30211"/>
    <cellStyle name="好_Sheet1_105瓷片 _102洁具-陶瓷_聊城样板房工程量计算稿" xfId="14696"/>
    <cellStyle name="好_Sheet1_105瓷片 _102洁具-陶瓷_终板 潍坊翡翠华庭样板房清单" xfId="30474"/>
    <cellStyle name="好_Sheet1_105瓷片 _105瓷片 " xfId="2413"/>
    <cellStyle name="好_Sheet1_105瓷片 _105瓷片  2" xfId="2416"/>
    <cellStyle name="好_Sheet1_105瓷片 _105瓷片  2 2" xfId="27344"/>
    <cellStyle name="好_Sheet1_105瓷片 _105瓷片  3" xfId="30475"/>
    <cellStyle name="好_Sheet1_105瓷片 _105瓷片  3 2" xfId="20816"/>
    <cellStyle name="好_Sheet1_105瓷片 _105瓷片  4" xfId="30476"/>
    <cellStyle name="好_Sheet1_105瓷片 _105瓷片  4 2" xfId="30477"/>
    <cellStyle name="好_Sheet1_105瓷片 _105瓷片  5" xfId="29618"/>
    <cellStyle name="好_Sheet1_105瓷片 _105瓷片  5 2" xfId="29620"/>
    <cellStyle name="好_Sheet1_105瓷片 _105瓷片  6" xfId="11940"/>
    <cellStyle name="好_Sheet1_105瓷片 _105瓷片 _聊城样板房工程量计算稿" xfId="30478"/>
    <cellStyle name="好_Sheet1_105瓷片 _105瓷片 _终板 潍坊翡翠华庭样板房清单" xfId="30479"/>
    <cellStyle name="好_Sheet1_105瓷片 _109吸顶灯" xfId="21299"/>
    <cellStyle name="好_Sheet1_105瓷片 _109吸顶灯 2" xfId="21302"/>
    <cellStyle name="好_Sheet1_105瓷片 _109吸顶灯 2 2" xfId="21305"/>
    <cellStyle name="好_Sheet1_105瓷片 _109吸顶灯 3" xfId="21308"/>
    <cellStyle name="好_Sheet1_105瓷片 _109吸顶灯 3 2" xfId="21311"/>
    <cellStyle name="好_Sheet1_105瓷片 _109吸顶灯 4" xfId="21313"/>
    <cellStyle name="好_Sheet1_105瓷片 _109吸顶灯 4 2" xfId="21315"/>
    <cellStyle name="好_Sheet1_105瓷片 _109吸顶灯 5" xfId="21317"/>
    <cellStyle name="好_Sheet1_105瓷片 _109吸顶灯 5 2" xfId="30480"/>
    <cellStyle name="好_Sheet1_105瓷片 _109吸顶灯 6" xfId="30481"/>
    <cellStyle name="好_Sheet1_105瓷片 _109吸顶灯_聊城样板房工程量计算稿" xfId="3057"/>
    <cellStyle name="好_Sheet1_105瓷片 _109吸顶灯_终板 潍坊翡翠华庭样板房清单" xfId="30483"/>
    <cellStyle name="好_Sheet1_105瓷片 _110水晶灯" xfId="29044"/>
    <cellStyle name="好_Sheet1_105瓷片 _110水晶灯 2" xfId="27032"/>
    <cellStyle name="好_Sheet1_105瓷片 _110水晶灯 2 2" xfId="19959"/>
    <cellStyle name="好_Sheet1_105瓷片 _110水晶灯 3" xfId="27037"/>
    <cellStyle name="好_Sheet1_105瓷片 _110水晶灯 3 2" xfId="4438"/>
    <cellStyle name="好_Sheet1_105瓷片 _110水晶灯 4" xfId="22700"/>
    <cellStyle name="好_Sheet1_105瓷片 _110水晶灯 4 2" xfId="18755"/>
    <cellStyle name="好_Sheet1_105瓷片 _110水晶灯 5" xfId="30484"/>
    <cellStyle name="好_Sheet1_105瓷片 _110水晶灯 5 2" xfId="30485"/>
    <cellStyle name="好_Sheet1_105瓷片 _110水晶灯 6" xfId="30486"/>
    <cellStyle name="好_Sheet1_105瓷片 _110水晶灯_聊城样板房工程量计算稿" xfId="30487"/>
    <cellStyle name="好_Sheet1_105瓷片 _110水晶灯_终板 潍坊翡翠华庭样板房清单" xfId="16222"/>
    <cellStyle name="好_Sheet1_105瓷片 _118仿石砖" xfId="30488"/>
    <cellStyle name="好_Sheet1_105瓷片 _118仿石砖 2" xfId="20626"/>
    <cellStyle name="好_Sheet1_105瓷片 _118仿石砖 2 2" xfId="20628"/>
    <cellStyle name="好_Sheet1_105瓷片 _118仿石砖 3" xfId="118"/>
    <cellStyle name="好_Sheet1_105瓷片 _118仿石砖 3 2" xfId="20630"/>
    <cellStyle name="好_Sheet1_105瓷片 _118仿石砖 4" xfId="145"/>
    <cellStyle name="好_Sheet1_105瓷片 _118仿石砖 4 2" xfId="27587"/>
    <cellStyle name="好_Sheet1_105瓷片 _118仿石砖 5" xfId="30489"/>
    <cellStyle name="好_Sheet1_105瓷片 _118仿石砖 5 2" xfId="30490"/>
    <cellStyle name="好_Sheet1_105瓷片 _118仿石砖 6" xfId="3780"/>
    <cellStyle name="好_Sheet1_105瓷片 _118仿石砖_聊城样板房工程量计算稿" xfId="10914"/>
    <cellStyle name="好_Sheet1_105瓷片 _118仿石砖_终板 潍坊翡翠华庭样板房清单" xfId="14337"/>
    <cellStyle name="好_Sheet1_105瓷片 _119仿古砖" xfId="408"/>
    <cellStyle name="好_Sheet1_105瓷片 _119仿古砖 2" xfId="420"/>
    <cellStyle name="好_Sheet1_105瓷片 _119仿古砖 2 2" xfId="2874"/>
    <cellStyle name="好_Sheet1_105瓷片 _119仿古砖 3" xfId="429"/>
    <cellStyle name="好_Sheet1_105瓷片 _119仿古砖 3 2" xfId="7219"/>
    <cellStyle name="好_Sheet1_105瓷片 _119仿古砖 4" xfId="7148"/>
    <cellStyle name="好_Sheet1_105瓷片 _119仿古砖 4 2" xfId="7011"/>
    <cellStyle name="好_Sheet1_105瓷片 _119仿古砖 5" xfId="765"/>
    <cellStyle name="好_Sheet1_105瓷片 _119仿古砖 5 2" xfId="25652"/>
    <cellStyle name="好_Sheet1_105瓷片 _119仿古砖 6" xfId="27016"/>
    <cellStyle name="好_Sheet1_105瓷片 _119仿古砖_聊城样板房工程量计算稿" xfId="30491"/>
    <cellStyle name="好_Sheet1_105瓷片 _119仿古砖_终板 潍坊翡翠华庭样板房清单" xfId="7147"/>
    <cellStyle name="好_Sheet1_105瓷片 _2009年6月甲供材料模板（29类版）" xfId="3895"/>
    <cellStyle name="好_Sheet1_105瓷片 _2009年6月甲供材料模板（29类版） 2" xfId="7234"/>
    <cellStyle name="好_Sheet1_105瓷片 _2009年6月甲供材料模板（29类版） 2 2" xfId="30492"/>
    <cellStyle name="好_Sheet1_105瓷片 _2009年6月甲供材料模板（29类版） 3" xfId="27856"/>
    <cellStyle name="好_Sheet1_105瓷片 _2009年6月甲供材料模板（29类版） 3 2" xfId="15902"/>
    <cellStyle name="好_Sheet1_105瓷片 _2009年6月甲供材料模板（29类版） 4" xfId="27877"/>
    <cellStyle name="好_Sheet1_105瓷片 _2009年6月甲供材料模板（29类版） 4 2" xfId="30493"/>
    <cellStyle name="好_Sheet1_105瓷片 _2009年6月甲供材料模板（29类版） 5" xfId="27879"/>
    <cellStyle name="好_Sheet1_105瓷片 _2009年6月甲供材料模板（29类版） 5 2" xfId="30494"/>
    <cellStyle name="好_Sheet1_105瓷片 _2009年6月甲供材料模板（29类版） 6" xfId="27881"/>
    <cellStyle name="好_Sheet1_105瓷片 _2009年6月甲供材料模板（29类版）_聊城样板房工程量计算稿" xfId="16863"/>
    <cellStyle name="好_Sheet1_105瓷片 _2009年6月甲供材料模板（29类版）_终板 潍坊翡翠华庭样板房清单" xfId="16289"/>
    <cellStyle name="好_Sheet1_105瓷片 _聊城样板房工程量计算稿" xfId="17025"/>
    <cellStyle name="好_Sheet1_105瓷片 _终板 潍坊翡翠华庭样板房清单" xfId="30495"/>
    <cellStyle name="好_Sheet1_107开关面板" xfId="30497"/>
    <cellStyle name="好_Sheet1_107开关面板 2" xfId="2462"/>
    <cellStyle name="好_Sheet1_107开关面板 2 2" xfId="2465"/>
    <cellStyle name="好_Sheet1_107开关面板 2 2 2" xfId="5985"/>
    <cellStyle name="好_Sheet1_107开关面板 2 3" xfId="30498"/>
    <cellStyle name="好_Sheet1_107开关面板 2 3 2" xfId="5176"/>
    <cellStyle name="好_Sheet1_107开关面板 2 4" xfId="30499"/>
    <cellStyle name="好_Sheet1_107开关面板 2 4 2" xfId="5835"/>
    <cellStyle name="好_Sheet1_107开关面板 2 5" xfId="30500"/>
    <cellStyle name="好_Sheet1_107开关面板 2_聊城样板房工程量计算稿" xfId="12053"/>
    <cellStyle name="好_Sheet1_107开关面板 2_终板 潍坊翡翠华庭样板房清单" xfId="30501"/>
    <cellStyle name="好_Sheet1_107开关面板 3" xfId="2472"/>
    <cellStyle name="好_Sheet1_107开关面板 3 2" xfId="30502"/>
    <cellStyle name="好_Sheet1_107开关面板 3 2 2" xfId="23362"/>
    <cellStyle name="好_Sheet1_107开关面板 3 3" xfId="1394"/>
    <cellStyle name="好_Sheet1_107开关面板 3 3 2" xfId="30503"/>
    <cellStyle name="好_Sheet1_107开关面板 3 4" xfId="30504"/>
    <cellStyle name="好_Sheet1_107开关面板 3 4 2" xfId="19683"/>
    <cellStyle name="好_Sheet1_107开关面板 3 5" xfId="30505"/>
    <cellStyle name="好_Sheet1_107开关面板 4" xfId="30507"/>
    <cellStyle name="好_Sheet1_107开关面板 4 2" xfId="30509"/>
    <cellStyle name="好_Sheet1_107开关面板 5" xfId="30511"/>
    <cellStyle name="好_Sheet1_107开关面板 5 2" xfId="30513"/>
    <cellStyle name="好_Sheet1_107开关面板 6" xfId="30515"/>
    <cellStyle name="好_Sheet1_107开关面板 6 2" xfId="30517"/>
    <cellStyle name="好_Sheet1_107开关面板 7" xfId="30519"/>
    <cellStyle name="好_Sheet1_107开关面板 7 2" xfId="30520"/>
    <cellStyle name="好_Sheet1_107开关面板 8" xfId="30521"/>
    <cellStyle name="好_Sheet1_107开关面板_102洁具-陶瓷" xfId="5457"/>
    <cellStyle name="好_Sheet1_107开关面板_102洁具-陶瓷 2" xfId="5902"/>
    <cellStyle name="好_Sheet1_107开关面板_102洁具-陶瓷 2 2" xfId="28866"/>
    <cellStyle name="好_Sheet1_107开关面板_102洁具-陶瓷 3" xfId="30522"/>
    <cellStyle name="好_Sheet1_107开关面板_102洁具-陶瓷 3 2" xfId="20431"/>
    <cellStyle name="好_Sheet1_107开关面板_102洁具-陶瓷 4" xfId="21787"/>
    <cellStyle name="好_Sheet1_107开关面板_102洁具-陶瓷 4 2" xfId="30523"/>
    <cellStyle name="好_Sheet1_107开关面板_102洁具-陶瓷 5" xfId="30525"/>
    <cellStyle name="好_Sheet1_107开关面板_102洁具-陶瓷 5 2" xfId="19701"/>
    <cellStyle name="好_Sheet1_107开关面板_102洁具-陶瓷 6" xfId="28035"/>
    <cellStyle name="好_Sheet1_107开关面板_102洁具-陶瓷_聊城样板房工程量计算稿" xfId="30526"/>
    <cellStyle name="好_Sheet1_107开关面板_102洁具-陶瓷_终板 潍坊翡翠华庭样板房清单" xfId="4435"/>
    <cellStyle name="好_Sheet1_107开关面板_105瓷片 " xfId="6712"/>
    <cellStyle name="好_Sheet1_107开关面板_105瓷片  2" xfId="30527"/>
    <cellStyle name="好_Sheet1_107开关面板_105瓷片  2 2" xfId="22153"/>
    <cellStyle name="好_Sheet1_107开关面板_105瓷片  3" xfId="30529"/>
    <cellStyle name="好_Sheet1_107开关面板_105瓷片  3 2" xfId="30530"/>
    <cellStyle name="好_Sheet1_107开关面板_105瓷片  4" xfId="30531"/>
    <cellStyle name="好_Sheet1_107开关面板_105瓷片  4 2" xfId="30532"/>
    <cellStyle name="好_Sheet1_107开关面板_105瓷片  5" xfId="30534"/>
    <cellStyle name="好_Sheet1_107开关面板_105瓷片  5 2" xfId="27385"/>
    <cellStyle name="好_Sheet1_107开关面板_105瓷片  6" xfId="3790"/>
    <cellStyle name="好_Sheet1_107开关面板_105瓷片 _聊城样板房工程量计算稿" xfId="30535"/>
    <cellStyle name="好_Sheet1_107开关面板_105瓷片 _终板 潍坊翡翠华庭样板房清单" xfId="29754"/>
    <cellStyle name="好_Sheet1_107开关面板_109吸顶灯" xfId="7280"/>
    <cellStyle name="好_Sheet1_107开关面板_109吸顶灯 2" xfId="7282"/>
    <cellStyle name="好_Sheet1_107开关面板_109吸顶灯 2 2" xfId="7284"/>
    <cellStyle name="好_Sheet1_107开关面板_109吸顶灯 3" xfId="7335"/>
    <cellStyle name="好_Sheet1_107开关面板_109吸顶灯 3 2" xfId="7337"/>
    <cellStyle name="好_Sheet1_107开关面板_109吸顶灯 4" xfId="7351"/>
    <cellStyle name="好_Sheet1_107开关面板_109吸顶灯 4 2" xfId="7353"/>
    <cellStyle name="好_Sheet1_107开关面板_109吸顶灯 5" xfId="7360"/>
    <cellStyle name="好_Sheet1_107开关面板_109吸顶灯 5 2" xfId="7362"/>
    <cellStyle name="好_Sheet1_107开关面板_109吸顶灯 6" xfId="6357"/>
    <cellStyle name="好_Sheet1_107开关面板_109吸顶灯_聊城样板房工程量计算稿" xfId="23191"/>
    <cellStyle name="好_Sheet1_107开关面板_109吸顶灯_终板 潍坊翡翠华庭样板房清单" xfId="6453"/>
    <cellStyle name="好_Sheet1_107开关面板_110水晶灯" xfId="12848"/>
    <cellStyle name="好_Sheet1_107开关面板_110水晶灯 2" xfId="20947"/>
    <cellStyle name="好_Sheet1_107开关面板_110水晶灯 2 2" xfId="30536"/>
    <cellStyle name="好_Sheet1_107开关面板_110水晶灯 3" xfId="6803"/>
    <cellStyle name="好_Sheet1_107开关面板_110水晶灯 3 2" xfId="6805"/>
    <cellStyle name="好_Sheet1_107开关面板_110水晶灯 4" xfId="3902"/>
    <cellStyle name="好_Sheet1_107开关面板_110水晶灯 4 2" xfId="3906"/>
    <cellStyle name="好_Sheet1_107开关面板_110水晶灯 5" xfId="3911"/>
    <cellStyle name="好_Sheet1_107开关面板_110水晶灯 5 2" xfId="3917"/>
    <cellStyle name="好_Sheet1_107开关面板_110水晶灯 6" xfId="3923"/>
    <cellStyle name="好_Sheet1_107开关面板_110水晶灯_聊城样板房工程量计算稿" xfId="30537"/>
    <cellStyle name="好_Sheet1_107开关面板_110水晶灯_终板 潍坊翡翠华庭样板房清单" xfId="16604"/>
    <cellStyle name="好_Sheet1_107开关面板_118仿石砖" xfId="15909"/>
    <cellStyle name="好_Sheet1_107开关面板_118仿石砖 2" xfId="30538"/>
    <cellStyle name="好_Sheet1_107开关面板_118仿石砖 2 2" xfId="30539"/>
    <cellStyle name="好_Sheet1_107开关面板_118仿石砖 3" xfId="30541"/>
    <cellStyle name="好_Sheet1_107开关面板_118仿石砖 3 2" xfId="30542"/>
    <cellStyle name="好_Sheet1_107开关面板_118仿石砖 4" xfId="9435"/>
    <cellStyle name="好_Sheet1_107开关面板_118仿石砖 4 2" xfId="9437"/>
    <cellStyle name="好_Sheet1_107开关面板_118仿石砖 5" xfId="9441"/>
    <cellStyle name="好_Sheet1_107开关面板_118仿石砖 5 2" xfId="9443"/>
    <cellStyle name="好_Sheet1_107开关面板_118仿石砖 6" xfId="9446"/>
    <cellStyle name="好_Sheet1_107开关面板_118仿石砖_聊城样板房工程量计算稿" xfId="870"/>
    <cellStyle name="好_Sheet1_107开关面板_118仿石砖_终板 潍坊翡翠华庭样板房清单" xfId="30543"/>
    <cellStyle name="好_Sheet1_107开关面板_119仿古砖" xfId="24075"/>
    <cellStyle name="好_Sheet1_107开关面板_119仿古砖 2" xfId="24077"/>
    <cellStyle name="好_Sheet1_107开关面板_119仿古砖 2 2" xfId="30544"/>
    <cellStyle name="好_Sheet1_107开关面板_119仿古砖 3" xfId="24079"/>
    <cellStyle name="好_Sheet1_107开关面板_119仿古砖 3 2" xfId="30545"/>
    <cellStyle name="好_Sheet1_107开关面板_119仿古砖 4" xfId="2315"/>
    <cellStyle name="好_Sheet1_107开关面板_119仿古砖 4 2" xfId="30546"/>
    <cellStyle name="好_Sheet1_107开关面板_119仿古砖 5" xfId="29984"/>
    <cellStyle name="好_Sheet1_107开关面板_119仿古砖 5 2" xfId="30547"/>
    <cellStyle name="好_Sheet1_107开关面板_119仿古砖 6" xfId="13613"/>
    <cellStyle name="好_Sheet1_107开关面板_119仿古砖_聊城样板房工程量计算稿" xfId="25467"/>
    <cellStyle name="好_Sheet1_107开关面板_119仿古砖_终板 潍坊翡翠华庭样板房清单" xfId="30548"/>
    <cellStyle name="好_Sheet1_107开关面板_2009年6月甲供材料模板（29类版）" xfId="30549"/>
    <cellStyle name="好_Sheet1_107开关面板_2009年6月甲供材料模板（29类版） 2" xfId="30550"/>
    <cellStyle name="好_Sheet1_107开关面板_2009年6月甲供材料模板（29类版） 2 2" xfId="30551"/>
    <cellStyle name="好_Sheet1_107开关面板_2009年6月甲供材料模板（29类版） 3" xfId="30552"/>
    <cellStyle name="好_Sheet1_107开关面板_2009年6月甲供材料模板（29类版） 3 2" xfId="30553"/>
    <cellStyle name="好_Sheet1_107开关面板_2009年6月甲供材料模板（29类版） 4" xfId="30554"/>
    <cellStyle name="好_Sheet1_107开关面板_2009年6月甲供材料模板（29类版） 4 2" xfId="30555"/>
    <cellStyle name="好_Sheet1_107开关面板_2009年6月甲供材料模板（29类版） 5" xfId="30557"/>
    <cellStyle name="好_Sheet1_107开关面板_2009年6月甲供材料模板（29类版） 5 2" xfId="30558"/>
    <cellStyle name="好_Sheet1_107开关面板_2009年6月甲供材料模板（29类版） 6" xfId="10839"/>
    <cellStyle name="好_Sheet1_107开关面板_2009年6月甲供材料模板（29类版）_聊城样板房工程量计算稿" xfId="30559"/>
    <cellStyle name="好_Sheet1_107开关面板_2009年6月甲供材料模板（29类版）_终板 潍坊翡翠华庭样板房清单" xfId="28858"/>
    <cellStyle name="好_Sheet1_107开关面板_聊城样板房工程量计算稿" xfId="19040"/>
    <cellStyle name="好_Sheet1_107开关面板_终板 潍坊翡翠华庭样板房清单" xfId="30560"/>
    <cellStyle name="好_Sheet1_108欧雅墙纸" xfId="7229"/>
    <cellStyle name="好_Sheet1_108欧雅墙纸 2" xfId="7231"/>
    <cellStyle name="好_Sheet1_108欧雅墙纸 2 2" xfId="30561"/>
    <cellStyle name="好_Sheet1_108欧雅墙纸 2 2 2" xfId="30562"/>
    <cellStyle name="好_Sheet1_108欧雅墙纸 2 3" xfId="30563"/>
    <cellStyle name="好_Sheet1_108欧雅墙纸 2 3 2" xfId="30564"/>
    <cellStyle name="好_Sheet1_108欧雅墙纸 2 4" xfId="30565"/>
    <cellStyle name="好_Sheet1_108欧雅墙纸 2 4 2" xfId="30566"/>
    <cellStyle name="好_Sheet1_108欧雅墙纸 2 5" xfId="30567"/>
    <cellStyle name="好_Sheet1_108欧雅墙纸 2_聊城样板房工程量计算稿" xfId="30568"/>
    <cellStyle name="好_Sheet1_108欧雅墙纸 2_终板 潍坊翡翠华庭样板房清单" xfId="12886"/>
    <cellStyle name="好_Sheet1_108欧雅墙纸 3" xfId="27689"/>
    <cellStyle name="好_Sheet1_108欧雅墙纸 3 2" xfId="27691"/>
    <cellStyle name="好_Sheet1_108欧雅墙纸 3 2 2" xfId="30569"/>
    <cellStyle name="好_Sheet1_108欧雅墙纸 3 3" xfId="27693"/>
    <cellStyle name="好_Sheet1_108欧雅墙纸 3 3 2" xfId="30570"/>
    <cellStyle name="好_Sheet1_108欧雅墙纸 3 4" xfId="30571"/>
    <cellStyle name="好_Sheet1_108欧雅墙纸 3 4 2" xfId="30572"/>
    <cellStyle name="好_Sheet1_108欧雅墙纸 3 5" xfId="30573"/>
    <cellStyle name="好_Sheet1_108欧雅墙纸 4" xfId="6400"/>
    <cellStyle name="好_Sheet1_108欧雅墙纸 4 2" xfId="6405"/>
    <cellStyle name="好_Sheet1_108欧雅墙纸 5" xfId="6409"/>
    <cellStyle name="好_Sheet1_108欧雅墙纸 5 2" xfId="6412"/>
    <cellStyle name="好_Sheet1_108欧雅墙纸 6" xfId="4314"/>
    <cellStyle name="好_Sheet1_108欧雅墙纸 6 2" xfId="6414"/>
    <cellStyle name="好_Sheet1_108欧雅墙纸 7" xfId="6416"/>
    <cellStyle name="好_Sheet1_108欧雅墙纸 7 2" xfId="9639"/>
    <cellStyle name="好_Sheet1_108欧雅墙纸 8" xfId="27695"/>
    <cellStyle name="好_Sheet1_108欧雅墙纸_102洁具-陶瓷" xfId="30574"/>
    <cellStyle name="好_Sheet1_108欧雅墙纸_102洁具-陶瓷 2" xfId="30575"/>
    <cellStyle name="好_Sheet1_108欧雅墙纸_102洁具-陶瓷 2 2" xfId="30576"/>
    <cellStyle name="好_Sheet1_108欧雅墙纸_102洁具-陶瓷 3" xfId="25842"/>
    <cellStyle name="好_Sheet1_108欧雅墙纸_102洁具-陶瓷 3 2" xfId="25844"/>
    <cellStyle name="好_Sheet1_108欧雅墙纸_102洁具-陶瓷 4" xfId="25846"/>
    <cellStyle name="好_Sheet1_108欧雅墙纸_102洁具-陶瓷 4 2" xfId="25848"/>
    <cellStyle name="好_Sheet1_108欧雅墙纸_102洁具-陶瓷 5" xfId="25850"/>
    <cellStyle name="好_Sheet1_108欧雅墙纸_102洁具-陶瓷 5 2" xfId="28276"/>
    <cellStyle name="好_Sheet1_108欧雅墙纸_102洁具-陶瓷 6" xfId="28278"/>
    <cellStyle name="好_Sheet1_108欧雅墙纸_102洁具-陶瓷_聊城样板房工程量计算稿" xfId="30577"/>
    <cellStyle name="好_Sheet1_108欧雅墙纸_102洁具-陶瓷_终板 潍坊翡翠华庭样板房清单" xfId="3029"/>
    <cellStyle name="好_Sheet1_108欧雅墙纸_105瓷片 " xfId="2025"/>
    <cellStyle name="好_Sheet1_108欧雅墙纸_105瓷片  2" xfId="853"/>
    <cellStyle name="好_Sheet1_108欧雅墙纸_105瓷片  2 2" xfId="3789"/>
    <cellStyle name="好_Sheet1_108欧雅墙纸_105瓷片  3" xfId="858"/>
    <cellStyle name="好_Sheet1_108欧雅墙纸_105瓷片  3 2" xfId="827"/>
    <cellStyle name="好_Sheet1_108欧雅墙纸_105瓷片  4" xfId="3796"/>
    <cellStyle name="好_Sheet1_108欧雅墙纸_105瓷片  4 2" xfId="30579"/>
    <cellStyle name="好_Sheet1_108欧雅墙纸_105瓷片  5" xfId="7216"/>
    <cellStyle name="好_Sheet1_108欧雅墙纸_105瓷片  5 2" xfId="24272"/>
    <cellStyle name="好_Sheet1_108欧雅墙纸_105瓷片  6" xfId="25583"/>
    <cellStyle name="好_Sheet1_108欧雅墙纸_105瓷片 _聊城样板房工程量计算稿" xfId="22079"/>
    <cellStyle name="好_Sheet1_108欧雅墙纸_105瓷片 _终板 潍坊翡翠华庭样板房清单" xfId="20600"/>
    <cellStyle name="好_Sheet1_108欧雅墙纸_109吸顶灯" xfId="10680"/>
    <cellStyle name="好_Sheet1_108欧雅墙纸_109吸顶灯 2" xfId="10683"/>
    <cellStyle name="好_Sheet1_108欧雅墙纸_109吸顶灯 2 2" xfId="30580"/>
    <cellStyle name="好_Sheet1_108欧雅墙纸_109吸顶灯 3" xfId="30581"/>
    <cellStyle name="好_Sheet1_108欧雅墙纸_109吸顶灯 3 2" xfId="30582"/>
    <cellStyle name="好_Sheet1_108欧雅墙纸_109吸顶灯 4" xfId="30583"/>
    <cellStyle name="好_Sheet1_108欧雅墙纸_109吸顶灯 4 2" xfId="30584"/>
    <cellStyle name="好_Sheet1_108欧雅墙纸_109吸顶灯 5" xfId="30585"/>
    <cellStyle name="好_Sheet1_108欧雅墙纸_109吸顶灯 5 2" xfId="30586"/>
    <cellStyle name="好_Sheet1_108欧雅墙纸_109吸顶灯 6" xfId="30587"/>
    <cellStyle name="好_Sheet1_108欧雅墙纸_109吸顶灯_聊城样板房工程量计算稿" xfId="30588"/>
    <cellStyle name="好_Sheet1_108欧雅墙纸_109吸顶灯_终板 潍坊翡翠华庭样板房清单" xfId="12744"/>
    <cellStyle name="好_Sheet1_108欧雅墙纸_110水晶灯" xfId="30589"/>
    <cellStyle name="好_Sheet1_108欧雅墙纸_110水晶灯 2" xfId="28061"/>
    <cellStyle name="好_Sheet1_108欧雅墙纸_110水晶灯 2 2" xfId="30590"/>
    <cellStyle name="好_Sheet1_108欧雅墙纸_110水晶灯 3" xfId="28063"/>
    <cellStyle name="好_Sheet1_108欧雅墙纸_110水晶灯 3 2" xfId="8834"/>
    <cellStyle name="好_Sheet1_108欧雅墙纸_110水晶灯 4" xfId="5865"/>
    <cellStyle name="好_Sheet1_108欧雅墙纸_110水晶灯 4 2" xfId="30591"/>
    <cellStyle name="好_Sheet1_108欧雅墙纸_110水晶灯 5" xfId="27527"/>
    <cellStyle name="好_Sheet1_108欧雅墙纸_110水晶灯 5 2" xfId="30592"/>
    <cellStyle name="好_Sheet1_108欧雅墙纸_110水晶灯 6" xfId="30593"/>
    <cellStyle name="好_Sheet1_108欧雅墙纸_110水晶灯_聊城样板房工程量计算稿" xfId="22762"/>
    <cellStyle name="好_Sheet1_108欧雅墙纸_110水晶灯_终板 潍坊翡翠华庭样板房清单" xfId="30594"/>
    <cellStyle name="好_Sheet1_108欧雅墙纸_118仿石砖" xfId="30595"/>
    <cellStyle name="好_Sheet1_108欧雅墙纸_118仿石砖 2" xfId="30597"/>
    <cellStyle name="好_Sheet1_108欧雅墙纸_118仿石砖 2 2" xfId="28753"/>
    <cellStyle name="好_Sheet1_108欧雅墙纸_118仿石砖 3" xfId="30598"/>
    <cellStyle name="好_Sheet1_108欧雅墙纸_118仿石砖 3 2" xfId="30599"/>
    <cellStyle name="好_Sheet1_108欧雅墙纸_118仿石砖 4" xfId="30601"/>
    <cellStyle name="好_Sheet1_108欧雅墙纸_118仿石砖 4 2" xfId="22776"/>
    <cellStyle name="好_Sheet1_108欧雅墙纸_118仿石砖 5" xfId="30602"/>
    <cellStyle name="好_Sheet1_108欧雅墙纸_118仿石砖 5 2" xfId="30603"/>
    <cellStyle name="好_Sheet1_108欧雅墙纸_118仿石砖 6" xfId="30604"/>
    <cellStyle name="好_Sheet1_108欧雅墙纸_118仿石砖_聊城样板房工程量计算稿" xfId="23740"/>
    <cellStyle name="好_Sheet1_108欧雅墙纸_118仿石砖_终板 潍坊翡翠华庭样板房清单" xfId="30605"/>
    <cellStyle name="好_Sheet1_108欧雅墙纸_119仿古砖" xfId="9913"/>
    <cellStyle name="好_Sheet1_108欧雅墙纸_119仿古砖 2" xfId="9915"/>
    <cellStyle name="好_Sheet1_108欧雅墙纸_119仿古砖 2 2" xfId="9918"/>
    <cellStyle name="好_Sheet1_108欧雅墙纸_119仿古砖 3" xfId="9953"/>
    <cellStyle name="好_Sheet1_108欧雅墙纸_119仿古砖 3 2" xfId="9957"/>
    <cellStyle name="好_Sheet1_108欧雅墙纸_119仿古砖 4" xfId="9971"/>
    <cellStyle name="好_Sheet1_108欧雅墙纸_119仿古砖 4 2" xfId="9976"/>
    <cellStyle name="好_Sheet1_108欧雅墙纸_119仿古砖 5" xfId="9986"/>
    <cellStyle name="好_Sheet1_108欧雅墙纸_119仿古砖 5 2" xfId="9989"/>
    <cellStyle name="好_Sheet1_108欧雅墙纸_119仿古砖 6" xfId="9993"/>
    <cellStyle name="好_Sheet1_108欧雅墙纸_119仿古砖_聊城样板房工程量计算稿" xfId="30606"/>
    <cellStyle name="好_Sheet1_108欧雅墙纸_119仿古砖_终板 潍坊翡翠华庭样板房清单" xfId="27713"/>
    <cellStyle name="好_Sheet1_108欧雅墙纸_2009年6月甲供材料模板（29类版）" xfId="30607"/>
    <cellStyle name="好_Sheet1_108欧雅墙纸_2009年6月甲供材料模板（29类版） 2" xfId="13249"/>
    <cellStyle name="好_Sheet1_108欧雅墙纸_2009年6月甲供材料模板（29类版） 2 2" xfId="30608"/>
    <cellStyle name="好_Sheet1_108欧雅墙纸_2009年6月甲供材料模板（29类版） 3" xfId="30609"/>
    <cellStyle name="好_Sheet1_108欧雅墙纸_2009年6月甲供材料模板（29类版） 3 2" xfId="19583"/>
    <cellStyle name="好_Sheet1_108欧雅墙纸_2009年6月甲供材料模板（29类版） 4" xfId="30610"/>
    <cellStyle name="好_Sheet1_108欧雅墙纸_2009年6月甲供材料模板（29类版） 4 2" xfId="30611"/>
    <cellStyle name="好_Sheet1_108欧雅墙纸_2009年6月甲供材料模板（29类版） 5" xfId="10326"/>
    <cellStyle name="好_Sheet1_108欧雅墙纸_2009年6月甲供材料模板（29类版） 5 2" xfId="30612"/>
    <cellStyle name="好_Sheet1_108欧雅墙纸_2009年6月甲供材料模板（29类版） 6" xfId="20854"/>
    <cellStyle name="好_Sheet1_108欧雅墙纸_2009年6月甲供材料模板（29类版）_聊城样板房工程量计算稿" xfId="30614"/>
    <cellStyle name="好_Sheet1_108欧雅墙纸_2009年6月甲供材料模板（29类版）_终板 潍坊翡翠华庭样板房清单" xfId="30616"/>
    <cellStyle name="好_Sheet1_108欧雅墙纸_聊城样板房工程量计算稿" xfId="5423"/>
    <cellStyle name="好_Sheet1_108欧雅墙纸_终板 潍坊翡翠华庭样板房清单" xfId="30617"/>
    <cellStyle name="好_Sheet1_109吸顶灯" xfId="15187"/>
    <cellStyle name="好_Sheet1_109吸顶灯 2" xfId="15190"/>
    <cellStyle name="好_Sheet1_109吸顶灯 2 2" xfId="30618"/>
    <cellStyle name="好_Sheet1_109吸顶灯 2 2 2" xfId="29049"/>
    <cellStyle name="好_Sheet1_109吸顶灯 2 3" xfId="30619"/>
    <cellStyle name="好_Sheet1_109吸顶灯 2 3 2" xfId="30620"/>
    <cellStyle name="好_Sheet1_109吸顶灯 2 4" xfId="30622"/>
    <cellStyle name="好_Sheet1_109吸顶灯 2 4 2" xfId="11330"/>
    <cellStyle name="好_Sheet1_109吸顶灯 2 5" xfId="30623"/>
    <cellStyle name="好_Sheet1_109吸顶灯 2_聊城样板房工程量计算稿" xfId="16456"/>
    <cellStyle name="好_Sheet1_109吸顶灯 2_终板 潍坊翡翠华庭样板房清单" xfId="30223"/>
    <cellStyle name="好_Sheet1_109吸顶灯 3" xfId="30624"/>
    <cellStyle name="好_Sheet1_109吸顶灯 3 2" xfId="30625"/>
    <cellStyle name="好_Sheet1_109吸顶灯 3 2 2" xfId="30626"/>
    <cellStyle name="好_Sheet1_109吸顶灯 3 3" xfId="30627"/>
    <cellStyle name="好_Sheet1_109吸顶灯 3 3 2" xfId="22274"/>
    <cellStyle name="好_Sheet1_109吸顶灯 3 4" xfId="30628"/>
    <cellStyle name="好_Sheet1_109吸顶灯 3 4 2" xfId="2342"/>
    <cellStyle name="好_Sheet1_109吸顶灯 3 5" xfId="30629"/>
    <cellStyle name="好_Sheet1_109吸顶灯 4" xfId="30630"/>
    <cellStyle name="好_Sheet1_109吸顶灯 4 2" xfId="30524"/>
    <cellStyle name="好_Sheet1_109吸顶灯 5" xfId="30631"/>
    <cellStyle name="好_Sheet1_109吸顶灯 5 2" xfId="12727"/>
    <cellStyle name="好_Sheet1_109吸顶灯 6" xfId="30632"/>
    <cellStyle name="好_Sheet1_109吸顶灯 6 2" xfId="30633"/>
    <cellStyle name="好_Sheet1_109吸顶灯 7" xfId="15552"/>
    <cellStyle name="好_Sheet1_109吸顶灯 7 2" xfId="30634"/>
    <cellStyle name="好_Sheet1_109吸顶灯 8" xfId="21820"/>
    <cellStyle name="好_Sheet1_109吸顶灯_102洁具-陶瓷" xfId="30636"/>
    <cellStyle name="好_Sheet1_109吸顶灯_102洁具-陶瓷 2" xfId="24392"/>
    <cellStyle name="好_Sheet1_109吸顶灯_102洁具-陶瓷 2 2" xfId="30637"/>
    <cellStyle name="好_Sheet1_109吸顶灯_102洁具-陶瓷 3" xfId="24394"/>
    <cellStyle name="好_Sheet1_109吸顶灯_102洁具-陶瓷 3 2" xfId="30638"/>
    <cellStyle name="好_Sheet1_109吸顶灯_102洁具-陶瓷 4" xfId="30639"/>
    <cellStyle name="好_Sheet1_109吸顶灯_102洁具-陶瓷 4 2" xfId="30640"/>
    <cellStyle name="好_Sheet1_109吸顶灯_102洁具-陶瓷 5" xfId="25327"/>
    <cellStyle name="好_Sheet1_109吸顶灯_102洁具-陶瓷 5 2" xfId="30641"/>
    <cellStyle name="好_Sheet1_109吸顶灯_102洁具-陶瓷 6" xfId="26406"/>
    <cellStyle name="好_Sheet1_109吸顶灯_102洁具-陶瓷_聊城样板房工程量计算稿" xfId="971"/>
    <cellStyle name="好_Sheet1_109吸顶灯_102洁具-陶瓷_终板 潍坊翡翠华庭样板房清单" xfId="13933"/>
    <cellStyle name="好_Sheet1_109吸顶灯_105瓷片 " xfId="30642"/>
    <cellStyle name="好_Sheet1_109吸顶灯_105瓷片  2" xfId="21365"/>
    <cellStyle name="好_Sheet1_109吸顶灯_105瓷片  2 2" xfId="21368"/>
    <cellStyle name="好_Sheet1_109吸顶灯_105瓷片  3" xfId="21370"/>
    <cellStyle name="好_Sheet1_109吸顶灯_105瓷片  3 2" xfId="21372"/>
    <cellStyle name="好_Sheet1_109吸顶灯_105瓷片  4" xfId="21374"/>
    <cellStyle name="好_Sheet1_109吸顶灯_105瓷片  4 2" xfId="21377"/>
    <cellStyle name="好_Sheet1_109吸顶灯_105瓷片  5" xfId="13431"/>
    <cellStyle name="好_Sheet1_109吸顶灯_105瓷片  5 2" xfId="13434"/>
    <cellStyle name="好_Sheet1_109吸顶灯_105瓷片  6" xfId="13438"/>
    <cellStyle name="好_Sheet1_109吸顶灯_105瓷片 _聊城样板房工程量计算稿" xfId="30645"/>
    <cellStyle name="好_Sheet1_109吸顶灯_105瓷片 _终板 潍坊翡翠华庭样板房清单" xfId="5315"/>
    <cellStyle name="好_Sheet1_109吸顶灯_109吸顶灯" xfId="30646"/>
    <cellStyle name="好_Sheet1_109吸顶灯_109吸顶灯 2" xfId="30647"/>
    <cellStyle name="好_Sheet1_109吸顶灯_109吸顶灯 2 2" xfId="22381"/>
    <cellStyle name="好_Sheet1_109吸顶灯_109吸顶灯 3" xfId="30648"/>
    <cellStyle name="好_Sheet1_109吸顶灯_109吸顶灯 3 2" xfId="30649"/>
    <cellStyle name="好_Sheet1_109吸顶灯_109吸顶灯 4" xfId="30650"/>
    <cellStyle name="好_Sheet1_109吸顶灯_109吸顶灯 4 2" xfId="30651"/>
    <cellStyle name="好_Sheet1_109吸顶灯_109吸顶灯 5" xfId="30652"/>
    <cellStyle name="好_Sheet1_109吸顶灯_109吸顶灯 5 2" xfId="30653"/>
    <cellStyle name="好_Sheet1_109吸顶灯_109吸顶灯 6" xfId="30654"/>
    <cellStyle name="好_Sheet1_109吸顶灯_109吸顶灯_聊城样板房工程量计算稿" xfId="7145"/>
    <cellStyle name="好_Sheet1_109吸顶灯_109吸顶灯_终板 潍坊翡翠华庭样板房清单" xfId="30655"/>
    <cellStyle name="好_Sheet1_109吸顶灯_110水晶灯" xfId="30656"/>
    <cellStyle name="好_Sheet1_109吸顶灯_110水晶灯 2" xfId="30657"/>
    <cellStyle name="好_Sheet1_109吸顶灯_110水晶灯 2 2" xfId="11639"/>
    <cellStyle name="好_Sheet1_109吸顶灯_110水晶灯 3" xfId="22821"/>
    <cellStyle name="好_Sheet1_109吸顶灯_110水晶灯 3 2" xfId="11649"/>
    <cellStyle name="好_Sheet1_109吸顶灯_110水晶灯 4" xfId="30658"/>
    <cellStyle name="好_Sheet1_109吸顶灯_110水晶灯 4 2" xfId="30659"/>
    <cellStyle name="好_Sheet1_109吸顶灯_110水晶灯 5" xfId="5403"/>
    <cellStyle name="好_Sheet1_109吸顶灯_110水晶灯 5 2" xfId="30660"/>
    <cellStyle name="好_Sheet1_109吸顶灯_110水晶灯 6" xfId="5426"/>
    <cellStyle name="好_Sheet1_109吸顶灯_110水晶灯_聊城样板房工程量计算稿" xfId="30661"/>
    <cellStyle name="好_Sheet1_109吸顶灯_110水晶灯_终板 潍坊翡翠华庭样板房清单" xfId="3221"/>
    <cellStyle name="好_Sheet1_109吸顶灯_118仿石砖" xfId="30663"/>
    <cellStyle name="好_Sheet1_109吸顶灯_118仿石砖 2" xfId="30664"/>
    <cellStyle name="好_Sheet1_109吸顶灯_118仿石砖 2 2" xfId="30665"/>
    <cellStyle name="好_Sheet1_109吸顶灯_118仿石砖 3" xfId="22078"/>
    <cellStyle name="好_Sheet1_109吸顶灯_118仿石砖 3 2" xfId="30666"/>
    <cellStyle name="好_Sheet1_109吸顶灯_118仿石砖 4" xfId="30667"/>
    <cellStyle name="好_Sheet1_109吸顶灯_118仿石砖 4 2" xfId="21439"/>
    <cellStyle name="好_Sheet1_109吸顶灯_118仿石砖 5" xfId="30668"/>
    <cellStyle name="好_Sheet1_109吸顶灯_118仿石砖 5 2" xfId="30669"/>
    <cellStyle name="好_Sheet1_109吸顶灯_118仿石砖 6" xfId="29808"/>
    <cellStyle name="好_Sheet1_109吸顶灯_118仿石砖_聊城样板房工程量计算稿" xfId="10682"/>
    <cellStyle name="好_Sheet1_109吸顶灯_118仿石砖_终板 潍坊翡翠华庭样板房清单" xfId="18692"/>
    <cellStyle name="好_Sheet1_109吸顶灯_119仿古砖" xfId="30671"/>
    <cellStyle name="好_Sheet1_109吸顶灯_119仿古砖 2" xfId="29953"/>
    <cellStyle name="好_Sheet1_109吸顶灯_119仿古砖 2 2" xfId="30672"/>
    <cellStyle name="好_Sheet1_109吸顶灯_119仿古砖 3" xfId="30673"/>
    <cellStyle name="好_Sheet1_109吸顶灯_119仿古砖 3 2" xfId="29433"/>
    <cellStyle name="好_Sheet1_109吸顶灯_119仿古砖 4" xfId="30674"/>
    <cellStyle name="好_Sheet1_109吸顶灯_119仿古砖 4 2" xfId="30675"/>
    <cellStyle name="好_Sheet1_109吸顶灯_119仿古砖 5" xfId="30677"/>
    <cellStyle name="好_Sheet1_109吸顶灯_119仿古砖 5 2" xfId="29303"/>
    <cellStyle name="好_Sheet1_109吸顶灯_119仿古砖 6" xfId="30678"/>
    <cellStyle name="好_Sheet1_109吸顶灯_119仿古砖_聊城样板房工程量计算稿" xfId="30680"/>
    <cellStyle name="好_Sheet1_109吸顶灯_119仿古砖_终板 潍坊翡翠华庭样板房清单" xfId="30681"/>
    <cellStyle name="好_Sheet1_109吸顶灯_2009年6月甲供材料模板（29类版）" xfId="30682"/>
    <cellStyle name="好_Sheet1_109吸顶灯_2009年6月甲供材料模板（29类版） 2" xfId="30683"/>
    <cellStyle name="好_Sheet1_109吸顶灯_2009年6月甲供材料模板（29类版） 2 2" xfId="30684"/>
    <cellStyle name="好_Sheet1_109吸顶灯_2009年6月甲供材料模板（29类版） 3" xfId="30685"/>
    <cellStyle name="好_Sheet1_109吸顶灯_2009年6月甲供材料模板（29类版） 3 2" xfId="30686"/>
    <cellStyle name="好_Sheet1_109吸顶灯_2009年6月甲供材料模板（29类版） 4" xfId="30688"/>
    <cellStyle name="好_Sheet1_109吸顶灯_2009年6月甲供材料模板（29类版） 4 2" xfId="30689"/>
    <cellStyle name="好_Sheet1_109吸顶灯_2009年6月甲供材料模板（29类版） 5" xfId="30690"/>
    <cellStyle name="好_Sheet1_109吸顶灯_2009年6月甲供材料模板（29类版） 5 2" xfId="30691"/>
    <cellStyle name="好_Sheet1_109吸顶灯_2009年6月甲供材料模板（29类版） 6" xfId="25086"/>
    <cellStyle name="好_Sheet1_109吸顶灯_2009年6月甲供材料模板（29类版）_聊城样板房工程量计算稿" xfId="30692"/>
    <cellStyle name="好_Sheet1_109吸顶灯_2009年6月甲供材料模板（29类版）_终板 潍坊翡翠华庭样板房清单" xfId="24044"/>
    <cellStyle name="好_Sheet1_109吸顶灯_聊城样板房工程量计算稿" xfId="30693"/>
    <cellStyle name="好_Sheet1_109吸顶灯_终板 潍坊翡翠华庭样板房清单" xfId="10864"/>
    <cellStyle name="好_Sheet1_110水晶灯" xfId="26903"/>
    <cellStyle name="好_Sheet1_110水晶灯 2" xfId="19052"/>
    <cellStyle name="好_Sheet1_110水晶灯 2 2" xfId="20979"/>
    <cellStyle name="好_Sheet1_110水晶灯 2 2 2" xfId="30694"/>
    <cellStyle name="好_Sheet1_110水晶灯 2 3" xfId="30695"/>
    <cellStyle name="好_Sheet1_110水晶灯 2 3 2" xfId="30696"/>
    <cellStyle name="好_Sheet1_110水晶灯 2 4" xfId="30697"/>
    <cellStyle name="好_Sheet1_110水晶灯 2 4 2" xfId="30698"/>
    <cellStyle name="好_Sheet1_110水晶灯 2 5" xfId="30699"/>
    <cellStyle name="好_Sheet1_110水晶灯 2_聊城样板房工程量计算稿" xfId="21413"/>
    <cellStyle name="好_Sheet1_110水晶灯 2_终板 潍坊翡翠华庭样板房清单" xfId="30700"/>
    <cellStyle name="好_Sheet1_110水晶灯 3" xfId="19054"/>
    <cellStyle name="好_Sheet1_110水晶灯 3 2" xfId="30701"/>
    <cellStyle name="好_Sheet1_110水晶灯 3 2 2" xfId="30556"/>
    <cellStyle name="好_Sheet1_110水晶灯 3 3" xfId="30703"/>
    <cellStyle name="好_Sheet1_110水晶灯 3 3 2" xfId="30705"/>
    <cellStyle name="好_Sheet1_110水晶灯 3 4" xfId="30707"/>
    <cellStyle name="好_Sheet1_110水晶灯 3 4 2" xfId="30709"/>
    <cellStyle name="好_Sheet1_110水晶灯 3 5" xfId="30711"/>
    <cellStyle name="好_Sheet1_110水晶灯 4" xfId="19057"/>
    <cellStyle name="好_Sheet1_110水晶灯 4 2" xfId="28601"/>
    <cellStyle name="好_Sheet1_110水晶灯 5" xfId="7732"/>
    <cellStyle name="好_Sheet1_110水晶灯 5 2" xfId="7736"/>
    <cellStyle name="好_Sheet1_110水晶灯 6" xfId="19059"/>
    <cellStyle name="好_Sheet1_110水晶灯 6 2" xfId="12144"/>
    <cellStyle name="好_Sheet1_110水晶灯 7" xfId="30712"/>
    <cellStyle name="好_Sheet1_110水晶灯 7 2" xfId="5280"/>
    <cellStyle name="好_Sheet1_110水晶灯 8" xfId="21945"/>
    <cellStyle name="好_Sheet1_110水晶灯_102洁具-陶瓷" xfId="30713"/>
    <cellStyle name="好_Sheet1_110水晶灯_102洁具-陶瓷 2" xfId="5900"/>
    <cellStyle name="好_Sheet1_110水晶灯_102洁具-陶瓷 2 2" xfId="5451"/>
    <cellStyle name="好_Sheet1_110水晶灯_102洁具-陶瓷 3" xfId="5905"/>
    <cellStyle name="好_Sheet1_110水晶灯_102洁具-陶瓷 3 2" xfId="5910"/>
    <cellStyle name="好_Sheet1_110水晶灯_102洁具-陶瓷 4" xfId="5723"/>
    <cellStyle name="好_Sheet1_110水晶灯_102洁具-陶瓷 4 2" xfId="30715"/>
    <cellStyle name="好_Sheet1_110水晶灯_102洁具-陶瓷 5" xfId="1777"/>
    <cellStyle name="好_Sheet1_110水晶灯_102洁具-陶瓷 5 2" xfId="30716"/>
    <cellStyle name="好_Sheet1_110水晶灯_102洁具-陶瓷 6" xfId="30717"/>
    <cellStyle name="好_Sheet1_110水晶灯_102洁具-陶瓷_聊城样板房工程量计算稿" xfId="25926"/>
    <cellStyle name="好_Sheet1_110水晶灯_102洁具-陶瓷_终板 潍坊翡翠华庭样板房清单" xfId="25316"/>
    <cellStyle name="好_Sheet1_110水晶灯_105瓷片 " xfId="30718"/>
    <cellStyle name="好_Sheet1_110水晶灯_105瓷片  2" xfId="30719"/>
    <cellStyle name="好_Sheet1_110水晶灯_105瓷片  2 2" xfId="30720"/>
    <cellStyle name="好_Sheet1_110水晶灯_105瓷片  3" xfId="30721"/>
    <cellStyle name="好_Sheet1_110水晶灯_105瓷片  3 2" xfId="25587"/>
    <cellStyle name="好_Sheet1_110水晶灯_105瓷片  4" xfId="30722"/>
    <cellStyle name="好_Sheet1_110水晶灯_105瓷片  4 2" xfId="21624"/>
    <cellStyle name="好_Sheet1_110水晶灯_105瓷片  5" xfId="22616"/>
    <cellStyle name="好_Sheet1_110水晶灯_105瓷片  5 2" xfId="22618"/>
    <cellStyle name="好_Sheet1_110水晶灯_105瓷片  6" xfId="30723"/>
    <cellStyle name="好_Sheet1_110水晶灯_105瓷片 _聊城样板房工程量计算稿" xfId="30724"/>
    <cellStyle name="好_Sheet1_110水晶灯_105瓷片 _终板 潍坊翡翠华庭样板房清单" xfId="30621"/>
    <cellStyle name="好_Sheet1_110水晶灯_109吸顶灯" xfId="12820"/>
    <cellStyle name="好_Sheet1_110水晶灯_109吸顶灯 2" xfId="30725"/>
    <cellStyle name="好_Sheet1_110水晶灯_109吸顶灯 2 2" xfId="30726"/>
    <cellStyle name="好_Sheet1_110水晶灯_109吸顶灯 3" xfId="30727"/>
    <cellStyle name="好_Sheet1_110水晶灯_109吸顶灯 3 2" xfId="23732"/>
    <cellStyle name="好_Sheet1_110水晶灯_109吸顶灯 4" xfId="30728"/>
    <cellStyle name="好_Sheet1_110水晶灯_109吸顶灯 4 2" xfId="23962"/>
    <cellStyle name="好_Sheet1_110水晶灯_109吸顶灯 5" xfId="30729"/>
    <cellStyle name="好_Sheet1_110水晶灯_109吸顶灯 5 2" xfId="30730"/>
    <cellStyle name="好_Sheet1_110水晶灯_109吸顶灯 6" xfId="30731"/>
    <cellStyle name="好_Sheet1_110水晶灯_109吸顶灯_聊城样板房工程量计算稿" xfId="30732"/>
    <cellStyle name="好_Sheet1_110水晶灯_109吸顶灯_终板 潍坊翡翠华庭样板房清单" xfId="30733"/>
    <cellStyle name="好_Sheet1_110水晶灯_110水晶灯" xfId="25310"/>
    <cellStyle name="好_Sheet1_110水晶灯_110水晶灯 2" xfId="25315"/>
    <cellStyle name="好_Sheet1_110水晶灯_110水晶灯 2 2" xfId="30734"/>
    <cellStyle name="好_Sheet1_110水晶灯_110水晶灯 3" xfId="5014"/>
    <cellStyle name="好_Sheet1_110水晶灯_110水晶灯 3 2" xfId="29814"/>
    <cellStyle name="好_Sheet1_110水晶灯_110水晶灯 4" xfId="3017"/>
    <cellStyle name="好_Sheet1_110水晶灯_110水晶灯 4 2" xfId="30736"/>
    <cellStyle name="好_Sheet1_110水晶灯_110水晶灯 5" xfId="3169"/>
    <cellStyle name="好_Sheet1_110水晶灯_110水晶灯 5 2" xfId="4847"/>
    <cellStyle name="好_Sheet1_110水晶灯_110水晶灯 6" xfId="4859"/>
    <cellStyle name="好_Sheet1_110水晶灯_110水晶灯_聊城样板房工程量计算稿" xfId="30737"/>
    <cellStyle name="好_Sheet1_110水晶灯_110水晶灯_终板 潍坊翡翠华庭样板房清单" xfId="30738"/>
    <cellStyle name="好_Sheet1_110水晶灯_118仿石砖" xfId="20220"/>
    <cellStyle name="好_Sheet1_110水晶灯_118仿石砖 2" xfId="30740"/>
    <cellStyle name="好_Sheet1_110水晶灯_118仿石砖 2 2" xfId="30742"/>
    <cellStyle name="好_Sheet1_110水晶灯_118仿石砖 3" xfId="30743"/>
    <cellStyle name="好_Sheet1_110水晶灯_118仿石砖 3 2" xfId="30744"/>
    <cellStyle name="好_Sheet1_110水晶灯_118仿石砖 4" xfId="29915"/>
    <cellStyle name="好_Sheet1_110水晶灯_118仿石砖 4 2" xfId="30745"/>
    <cellStyle name="好_Sheet1_110水晶灯_118仿石砖 5" xfId="30747"/>
    <cellStyle name="好_Sheet1_110水晶灯_118仿石砖 5 2" xfId="30749"/>
    <cellStyle name="好_Sheet1_110水晶灯_118仿石砖 6" xfId="30751"/>
    <cellStyle name="好_Sheet1_110水晶灯_118仿石砖_聊城样板房工程量计算稿" xfId="30752"/>
    <cellStyle name="好_Sheet1_110水晶灯_118仿石砖_终板 潍坊翡翠华庭样板房清单" xfId="30753"/>
    <cellStyle name="好_Sheet1_110水晶灯_119仿古砖" xfId="30754"/>
    <cellStyle name="好_Sheet1_110水晶灯_119仿古砖 2" xfId="30755"/>
    <cellStyle name="好_Sheet1_110水晶灯_119仿古砖 2 2" xfId="30756"/>
    <cellStyle name="好_Sheet1_110水晶灯_119仿古砖 3" xfId="30757"/>
    <cellStyle name="好_Sheet1_110水晶灯_119仿古砖 3 2" xfId="30758"/>
    <cellStyle name="好_Sheet1_110水晶灯_119仿古砖 4" xfId="30759"/>
    <cellStyle name="好_Sheet1_110水晶灯_119仿古砖 4 2" xfId="30760"/>
    <cellStyle name="好_Sheet1_110水晶灯_119仿古砖 5" xfId="30761"/>
    <cellStyle name="好_Sheet1_110水晶灯_119仿古砖 5 2" xfId="30762"/>
    <cellStyle name="好_Sheet1_110水晶灯_119仿古砖 6" xfId="30763"/>
    <cellStyle name="好_Sheet1_110水晶灯_119仿古砖_聊城样板房工程量计算稿" xfId="30764"/>
    <cellStyle name="好_Sheet1_110水晶灯_119仿古砖_终板 潍坊翡翠华庭样板房清单" xfId="23046"/>
    <cellStyle name="好_Sheet1_110水晶灯_2009年6月甲供材料模板（29类版）" xfId="30765"/>
    <cellStyle name="好_Sheet1_110水晶灯_2009年6月甲供材料模板（29类版） 2" xfId="30766"/>
    <cellStyle name="好_Sheet1_110水晶灯_2009年6月甲供材料模板（29类版） 2 2" xfId="30768"/>
    <cellStyle name="好_Sheet1_110水晶灯_2009年6月甲供材料模板（29类版） 3" xfId="30769"/>
    <cellStyle name="好_Sheet1_110水晶灯_2009年6月甲供材料模板（29类版） 3 2" xfId="28799"/>
    <cellStyle name="好_Sheet1_110水晶灯_2009年6月甲供材料模板（29类版） 4" xfId="19549"/>
    <cellStyle name="好_Sheet1_110水晶灯_2009年6月甲供材料模板（29类版） 4 2" xfId="30770"/>
    <cellStyle name="好_Sheet1_110水晶灯_2009年6月甲供材料模板（29类版） 5" xfId="13165"/>
    <cellStyle name="好_Sheet1_110水晶灯_2009年6月甲供材料模板（29类版） 5 2" xfId="30771"/>
    <cellStyle name="好_Sheet1_110水晶灯_2009年6月甲供材料模板（29类版） 6" xfId="5847"/>
    <cellStyle name="好_Sheet1_110水晶灯_2009年6月甲供材料模板（29类版）_聊城样板房工程量计算稿" xfId="19883"/>
    <cellStyle name="好_Sheet1_110水晶灯_2009年6月甲供材料模板（29类版）_终板 潍坊翡翠华庭样板房清单" xfId="30772"/>
    <cellStyle name="好_Sheet1_110水晶灯_聊城样板房工程量计算稿" xfId="30773"/>
    <cellStyle name="好_Sheet1_110水晶灯_终板 潍坊翡翠华庭样板房清单" xfId="17671"/>
    <cellStyle name="好_Sheet1_111橱柜浴室柜" xfId="7695"/>
    <cellStyle name="好_Sheet1_111橱柜浴室柜 2" xfId="13033"/>
    <cellStyle name="好_Sheet1_111橱柜浴室柜 2 2" xfId="13035"/>
    <cellStyle name="好_Sheet1_111橱柜浴室柜 2 2 2" xfId="13038"/>
    <cellStyle name="好_Sheet1_111橱柜浴室柜 2 3" xfId="13068"/>
    <cellStyle name="好_Sheet1_111橱柜浴室柜 2 3 2" xfId="13073"/>
    <cellStyle name="好_Sheet1_111橱柜浴室柜 2 4" xfId="13094"/>
    <cellStyle name="好_Sheet1_111橱柜浴室柜 2 4 2" xfId="13097"/>
    <cellStyle name="好_Sheet1_111橱柜浴室柜 2 5" xfId="13099"/>
    <cellStyle name="好_Sheet1_111橱柜浴室柜 2_聊城样板房工程量计算稿" xfId="30774"/>
    <cellStyle name="好_Sheet1_111橱柜浴室柜 2_终板 潍坊翡翠华庭样板房清单" xfId="30775"/>
    <cellStyle name="好_Sheet1_111橱柜浴室柜 3" xfId="13102"/>
    <cellStyle name="好_Sheet1_111橱柜浴室柜 3 2" xfId="13104"/>
    <cellStyle name="好_Sheet1_111橱柜浴室柜 3 2 2" xfId="13106"/>
    <cellStyle name="好_Sheet1_111橱柜浴室柜 3 3" xfId="13125"/>
    <cellStyle name="好_Sheet1_111橱柜浴室柜 3 3 2" xfId="13127"/>
    <cellStyle name="好_Sheet1_111橱柜浴室柜 3 4" xfId="13144"/>
    <cellStyle name="好_Sheet1_111橱柜浴室柜 3 4 2" xfId="13146"/>
    <cellStyle name="好_Sheet1_111橱柜浴室柜 3 5" xfId="13148"/>
    <cellStyle name="好_Sheet1_111橱柜浴室柜 4" xfId="13150"/>
    <cellStyle name="好_Sheet1_111橱柜浴室柜 4 2" xfId="13152"/>
    <cellStyle name="好_Sheet1_111橱柜浴室柜 5" xfId="13160"/>
    <cellStyle name="好_Sheet1_111橱柜浴室柜 5 2" xfId="13162"/>
    <cellStyle name="好_Sheet1_111橱柜浴室柜 6" xfId="30776"/>
    <cellStyle name="好_Sheet1_111橱柜浴室柜 6 2" xfId="30777"/>
    <cellStyle name="好_Sheet1_111橱柜浴室柜 7" xfId="30778"/>
    <cellStyle name="好_Sheet1_111橱柜浴室柜 7 2" xfId="30779"/>
    <cellStyle name="好_Sheet1_111橱柜浴室柜 8" xfId="24888"/>
    <cellStyle name="好_Sheet1_111橱柜浴室柜_102洁具-陶瓷" xfId="12993"/>
    <cellStyle name="好_Sheet1_111橱柜浴室柜_102洁具-陶瓷 2" xfId="29896"/>
    <cellStyle name="好_Sheet1_111橱柜浴室柜_102洁具-陶瓷 2 2" xfId="30780"/>
    <cellStyle name="好_Sheet1_111橱柜浴室柜_102洁具-陶瓷 3" xfId="22559"/>
    <cellStyle name="好_Sheet1_111橱柜浴室柜_102洁具-陶瓷 3 2" xfId="22561"/>
    <cellStyle name="好_Sheet1_111橱柜浴室柜_102洁具-陶瓷 4" xfId="10306"/>
    <cellStyle name="好_Sheet1_111橱柜浴室柜_102洁具-陶瓷 4 2" xfId="10308"/>
    <cellStyle name="好_Sheet1_111橱柜浴室柜_102洁具-陶瓷 5" xfId="10310"/>
    <cellStyle name="好_Sheet1_111橱柜浴室柜_102洁具-陶瓷 5 2" xfId="10313"/>
    <cellStyle name="好_Sheet1_111橱柜浴室柜_102洁具-陶瓷 6" xfId="10318"/>
    <cellStyle name="好_Sheet1_111橱柜浴室柜_102洁具-陶瓷_聊城样板房工程量计算稿" xfId="30781"/>
    <cellStyle name="好_Sheet1_111橱柜浴室柜_102洁具-陶瓷_终板 潍坊翡翠华庭样板房清单" xfId="23621"/>
    <cellStyle name="好_Sheet1_111橱柜浴室柜_105瓷片 " xfId="30782"/>
    <cellStyle name="好_Sheet1_111橱柜浴室柜_105瓷片  2" xfId="30783"/>
    <cellStyle name="好_Sheet1_111橱柜浴室柜_105瓷片  2 2" xfId="30784"/>
    <cellStyle name="好_Sheet1_111橱柜浴室柜_105瓷片  3" xfId="20234"/>
    <cellStyle name="好_Sheet1_111橱柜浴室柜_105瓷片  3 2" xfId="20236"/>
    <cellStyle name="好_Sheet1_111橱柜浴室柜_105瓷片  4" xfId="20238"/>
    <cellStyle name="好_Sheet1_111橱柜浴室柜_105瓷片  4 2" xfId="20240"/>
    <cellStyle name="好_Sheet1_111橱柜浴室柜_105瓷片  5" xfId="20243"/>
    <cellStyle name="好_Sheet1_111橱柜浴室柜_105瓷片  5 2" xfId="20246"/>
    <cellStyle name="好_Sheet1_111橱柜浴室柜_105瓷片  6" xfId="20248"/>
    <cellStyle name="好_Sheet1_111橱柜浴室柜_105瓷片 _聊城样板房工程量计算稿" xfId="18004"/>
    <cellStyle name="好_Sheet1_111橱柜浴室柜_105瓷片 _终板 潍坊翡翠华庭样板房清单" xfId="30785"/>
    <cellStyle name="好_Sheet1_111橱柜浴室柜_109吸顶灯" xfId="29091"/>
    <cellStyle name="好_Sheet1_111橱柜浴室柜_109吸顶灯 2" xfId="16727"/>
    <cellStyle name="好_Sheet1_111橱柜浴室柜_109吸顶灯 2 2" xfId="16730"/>
    <cellStyle name="好_Sheet1_111橱柜浴室柜_109吸顶灯 3" xfId="16734"/>
    <cellStyle name="好_Sheet1_111橱柜浴室柜_109吸顶灯 3 2" xfId="20438"/>
    <cellStyle name="好_Sheet1_111橱柜浴室柜_109吸顶灯 4" xfId="20441"/>
    <cellStyle name="好_Sheet1_111橱柜浴室柜_109吸顶灯 4 2" xfId="16818"/>
    <cellStyle name="好_Sheet1_111橱柜浴室柜_109吸顶灯 5" xfId="30786"/>
    <cellStyle name="好_Sheet1_111橱柜浴室柜_109吸顶灯 5 2" xfId="21088"/>
    <cellStyle name="好_Sheet1_111橱柜浴室柜_109吸顶灯 6" xfId="30787"/>
    <cellStyle name="好_Sheet1_111橱柜浴室柜_109吸顶灯_聊城样板房工程量计算稿" xfId="30789"/>
    <cellStyle name="好_Sheet1_111橱柜浴室柜_109吸顶灯_终板 潍坊翡翠华庭样板房清单" xfId="30790"/>
    <cellStyle name="好_Sheet1_111橱柜浴室柜_110水晶灯" xfId="30792"/>
    <cellStyle name="好_Sheet1_111橱柜浴室柜_110水晶灯 2" xfId="30794"/>
    <cellStyle name="好_Sheet1_111橱柜浴室柜_110水晶灯 2 2" xfId="30795"/>
    <cellStyle name="好_Sheet1_111橱柜浴室柜_110水晶灯 3" xfId="15969"/>
    <cellStyle name="好_Sheet1_111橱柜浴室柜_110水晶灯 3 2" xfId="30796"/>
    <cellStyle name="好_Sheet1_111橱柜浴室柜_110水晶灯 4" xfId="30797"/>
    <cellStyle name="好_Sheet1_111橱柜浴室柜_110水晶灯 4 2" xfId="30798"/>
    <cellStyle name="好_Sheet1_111橱柜浴室柜_110水晶灯 5" xfId="29511"/>
    <cellStyle name="好_Sheet1_111橱柜浴室柜_110水晶灯 5 2" xfId="19881"/>
    <cellStyle name="好_Sheet1_111橱柜浴室柜_110水晶灯 6" xfId="30799"/>
    <cellStyle name="好_Sheet1_111橱柜浴室柜_110水晶灯_聊城样板房工程量计算稿" xfId="30800"/>
    <cellStyle name="好_Sheet1_111橱柜浴室柜_110水晶灯_终板 潍坊翡翠华庭样板房清单" xfId="14622"/>
    <cellStyle name="好_Sheet1_111橱柜浴室柜_118仿石砖" xfId="30801"/>
    <cellStyle name="好_Sheet1_111橱柜浴室柜_118仿石砖 2" xfId="30802"/>
    <cellStyle name="好_Sheet1_111橱柜浴室柜_118仿石砖 2 2" xfId="30803"/>
    <cellStyle name="好_Sheet1_111橱柜浴室柜_118仿石砖 3" xfId="30804"/>
    <cellStyle name="好_Sheet1_111橱柜浴室柜_118仿石砖 3 2" xfId="30805"/>
    <cellStyle name="好_Sheet1_111橱柜浴室柜_118仿石砖 4" xfId="30806"/>
    <cellStyle name="好_Sheet1_111橱柜浴室柜_118仿石砖 4 2" xfId="30807"/>
    <cellStyle name="好_Sheet1_111橱柜浴室柜_118仿石砖 5" xfId="30808"/>
    <cellStyle name="好_Sheet1_111橱柜浴室柜_118仿石砖 5 2" xfId="30810"/>
    <cellStyle name="好_Sheet1_111橱柜浴室柜_118仿石砖 6" xfId="30811"/>
    <cellStyle name="好_Sheet1_111橱柜浴室柜_118仿石砖_聊城样板房工程量计算稿" xfId="22013"/>
    <cellStyle name="好_Sheet1_111橱柜浴室柜_118仿石砖_终板 潍坊翡翠华庭样板房清单" xfId="27036"/>
    <cellStyle name="好_Sheet1_111橱柜浴室柜_119仿古砖" xfId="30812"/>
    <cellStyle name="好_Sheet1_111橱柜浴室柜_119仿古砖 2" xfId="29713"/>
    <cellStyle name="好_Sheet1_111橱柜浴室柜_119仿古砖 2 2" xfId="27086"/>
    <cellStyle name="好_Sheet1_111橱柜浴室柜_119仿古砖 3" xfId="30813"/>
    <cellStyle name="好_Sheet1_111橱柜浴室柜_119仿古砖 3 2" xfId="27096"/>
    <cellStyle name="好_Sheet1_111橱柜浴室柜_119仿古砖 4" xfId="28039"/>
    <cellStyle name="好_Sheet1_111橱柜浴室柜_119仿古砖 4 2" xfId="27165"/>
    <cellStyle name="好_Sheet1_111橱柜浴室柜_119仿古砖 5" xfId="30814"/>
    <cellStyle name="好_Sheet1_111橱柜浴室柜_119仿古砖 5 2" xfId="27174"/>
    <cellStyle name="好_Sheet1_111橱柜浴室柜_119仿古砖 6" xfId="22826"/>
    <cellStyle name="好_Sheet1_111橱柜浴室柜_119仿古砖_聊城样板房工程量计算稿" xfId="30815"/>
    <cellStyle name="好_Sheet1_111橱柜浴室柜_119仿古砖_终板 潍坊翡翠华庭样板房清单" xfId="13467"/>
    <cellStyle name="好_Sheet1_111橱柜浴室柜_2009年6月甲供材料模板（29类版）" xfId="18995"/>
    <cellStyle name="好_Sheet1_111橱柜浴室柜_2009年6月甲供材料模板（29类版） 2" xfId="23592"/>
    <cellStyle name="好_Sheet1_111橱柜浴室柜_2009年6月甲供材料模板（29类版） 2 2" xfId="22352"/>
    <cellStyle name="好_Sheet1_111橱柜浴室柜_2009年6月甲供材料模板（29类版） 3" xfId="13594"/>
    <cellStyle name="好_Sheet1_111橱柜浴室柜_2009年6月甲供材料模板（29类版） 3 2" xfId="13598"/>
    <cellStyle name="好_Sheet1_111橱柜浴室柜_2009年6月甲供材料模板（29类版） 4" xfId="13608"/>
    <cellStyle name="好_Sheet1_111橱柜浴室柜_2009年6月甲供材料模板（29类版） 4 2" xfId="13611"/>
    <cellStyle name="好_Sheet1_111橱柜浴室柜_2009年6月甲供材料模板（29类版） 5" xfId="6060"/>
    <cellStyle name="好_Sheet1_111橱柜浴室柜_2009年6月甲供材料模板（29类版） 5 2" xfId="13619"/>
    <cellStyle name="好_Sheet1_111橱柜浴室柜_2009年6月甲供材料模板（29类版） 6" xfId="13621"/>
    <cellStyle name="好_Sheet1_111橱柜浴室柜_2009年6月甲供材料模板（29类版）_聊城样板房工程量计算稿" xfId="23930"/>
    <cellStyle name="好_Sheet1_111橱柜浴室柜_2009年6月甲供材料模板（29类版）_终板 潍坊翡翠华庭样板房清单" xfId="10485"/>
    <cellStyle name="好_Sheet1_111橱柜浴室柜_聊城样板房工程量计算稿" xfId="30816"/>
    <cellStyle name="好_Sheet1_111橱柜浴室柜_终板 潍坊翡翠华庭样板房清单" xfId="30817"/>
    <cellStyle name="好_Sheet1_112淋浴间隔" xfId="30818"/>
    <cellStyle name="好_Sheet1_112淋浴间隔 2" xfId="30819"/>
    <cellStyle name="好_Sheet1_112淋浴间隔 2 2" xfId="30820"/>
    <cellStyle name="好_Sheet1_112淋浴间隔 2 2 2" xfId="1119"/>
    <cellStyle name="好_Sheet1_112淋浴间隔 2 3" xfId="30821"/>
    <cellStyle name="好_Sheet1_112淋浴间隔 2 3 2" xfId="1141"/>
    <cellStyle name="好_Sheet1_112淋浴间隔 2 4" xfId="30822"/>
    <cellStyle name="好_Sheet1_112淋浴间隔 2 4 2" xfId="5304"/>
    <cellStyle name="好_Sheet1_112淋浴间隔 2 5" xfId="6462"/>
    <cellStyle name="好_Sheet1_112淋浴间隔 2_聊城样板房工程量计算稿" xfId="30823"/>
    <cellStyle name="好_Sheet1_112淋浴间隔 2_终板 潍坊翡翠华庭样板房清单" xfId="8828"/>
    <cellStyle name="好_Sheet1_112淋浴间隔 3" xfId="30824"/>
    <cellStyle name="好_Sheet1_112淋浴间隔 3 2" xfId="30825"/>
    <cellStyle name="好_Sheet1_112淋浴间隔 3 2 2" xfId="5906"/>
    <cellStyle name="好_Sheet1_112淋浴间隔 3 3" xfId="30826"/>
    <cellStyle name="好_Sheet1_112淋浴间隔 3 3 2" xfId="5931"/>
    <cellStyle name="好_Sheet1_112淋浴间隔 3 4" xfId="30827"/>
    <cellStyle name="好_Sheet1_112淋浴间隔 3 4 2" xfId="5941"/>
    <cellStyle name="好_Sheet1_112淋浴间隔 3 5" xfId="29660"/>
    <cellStyle name="好_Sheet1_112淋浴间隔 4" xfId="30828"/>
    <cellStyle name="好_Sheet1_112淋浴间隔 4 2" xfId="30829"/>
    <cellStyle name="好_Sheet1_112淋浴间隔 5" xfId="20696"/>
    <cellStyle name="好_Sheet1_112淋浴间隔 5 2" xfId="20698"/>
    <cellStyle name="好_Sheet1_112淋浴间隔 6" xfId="30830"/>
    <cellStyle name="好_Sheet1_112淋浴间隔 6 2" xfId="30831"/>
    <cellStyle name="好_Sheet1_112淋浴间隔 7" xfId="30832"/>
    <cellStyle name="好_Sheet1_112淋浴间隔 7 2" xfId="30834"/>
    <cellStyle name="好_Sheet1_112淋浴间隔 8" xfId="30836"/>
    <cellStyle name="好_Sheet1_112淋浴间隔_102洁具-陶瓷" xfId="7067"/>
    <cellStyle name="好_Sheet1_112淋浴间隔_102洁具-陶瓷 2" xfId="7068"/>
    <cellStyle name="好_Sheet1_112淋浴间隔_102洁具-陶瓷 2 2" xfId="14202"/>
    <cellStyle name="好_Sheet1_112淋浴间隔_102洁具-陶瓷 3" xfId="30838"/>
    <cellStyle name="好_Sheet1_112淋浴间隔_102洁具-陶瓷 3 2" xfId="26429"/>
    <cellStyle name="好_Sheet1_112淋浴间隔_102洁具-陶瓷 4" xfId="30839"/>
    <cellStyle name="好_Sheet1_112淋浴间隔_102洁具-陶瓷 4 2" xfId="26515"/>
    <cellStyle name="好_Sheet1_112淋浴间隔_102洁具-陶瓷 5" xfId="30840"/>
    <cellStyle name="好_Sheet1_112淋浴间隔_102洁具-陶瓷 5 2" xfId="26544"/>
    <cellStyle name="好_Sheet1_112淋浴间隔_102洁具-陶瓷 6" xfId="12401"/>
    <cellStyle name="好_Sheet1_112淋浴间隔_102洁具-陶瓷_聊城样板房工程量计算稿" xfId="1430"/>
    <cellStyle name="好_Sheet1_112淋浴间隔_102洁具-陶瓷_终板 潍坊翡翠华庭样板房清单" xfId="5895"/>
    <cellStyle name="好_Sheet1_112淋浴间隔_105瓷片 " xfId="28713"/>
    <cellStyle name="好_Sheet1_112淋浴间隔_105瓷片  2" xfId="9447"/>
    <cellStyle name="好_Sheet1_112淋浴间隔_105瓷片  2 2" xfId="9449"/>
    <cellStyle name="好_Sheet1_112淋浴间隔_105瓷片  3" xfId="9451"/>
    <cellStyle name="好_Sheet1_112淋浴间隔_105瓷片  3 2" xfId="18449"/>
    <cellStyle name="好_Sheet1_112淋浴间隔_105瓷片  4" xfId="26582"/>
    <cellStyle name="好_Sheet1_112淋浴间隔_105瓷片  4 2" xfId="18454"/>
    <cellStyle name="好_Sheet1_112淋浴间隔_105瓷片  5" xfId="26584"/>
    <cellStyle name="好_Sheet1_112淋浴间隔_105瓷片  5 2" xfId="26587"/>
    <cellStyle name="好_Sheet1_112淋浴间隔_105瓷片  6" xfId="26590"/>
    <cellStyle name="好_Sheet1_112淋浴间隔_105瓷片 _聊城样板房工程量计算稿" xfId="3732"/>
    <cellStyle name="好_Sheet1_112淋浴间隔_105瓷片 _终板 潍坊翡翠华庭样板房清单" xfId="10106"/>
    <cellStyle name="好_Sheet1_112淋浴间隔_109吸顶灯" xfId="30841"/>
    <cellStyle name="好_Sheet1_112淋浴间隔_109吸顶灯 2" xfId="29468"/>
    <cellStyle name="好_Sheet1_112淋浴间隔_109吸顶灯 2 2" xfId="29470"/>
    <cellStyle name="好_Sheet1_112淋浴间隔_109吸顶灯 3" xfId="29472"/>
    <cellStyle name="好_Sheet1_112淋浴间隔_109吸顶灯 3 2" xfId="29475"/>
    <cellStyle name="好_Sheet1_112淋浴间隔_109吸顶灯 4" xfId="29478"/>
    <cellStyle name="好_Sheet1_112淋浴间隔_109吸顶灯 4 2" xfId="29481"/>
    <cellStyle name="好_Sheet1_112淋浴间隔_109吸顶灯 5" xfId="2077"/>
    <cellStyle name="好_Sheet1_112淋浴间隔_109吸顶灯 5 2" xfId="30842"/>
    <cellStyle name="好_Sheet1_112淋浴间隔_109吸顶灯 6" xfId="30843"/>
    <cellStyle name="好_Sheet1_112淋浴间隔_109吸顶灯_聊城样板房工程量计算稿" xfId="8448"/>
    <cellStyle name="好_Sheet1_112淋浴间隔_109吸顶灯_终板 潍坊翡翠华庭样板房清单" xfId="8817"/>
    <cellStyle name="好_Sheet1_112淋浴间隔_110水晶灯" xfId="12605"/>
    <cellStyle name="好_Sheet1_112淋浴间隔_110水晶灯 2" xfId="12609"/>
    <cellStyle name="好_Sheet1_112淋浴间隔_110水晶灯 2 2" xfId="30844"/>
    <cellStyle name="好_Sheet1_112淋浴间隔_110水晶灯 3" xfId="30845"/>
    <cellStyle name="好_Sheet1_112淋浴间隔_110水晶灯 3 2" xfId="30846"/>
    <cellStyle name="好_Sheet1_112淋浴间隔_110水晶灯 4" xfId="30847"/>
    <cellStyle name="好_Sheet1_112淋浴间隔_110水晶灯 4 2" xfId="30848"/>
    <cellStyle name="好_Sheet1_112淋浴间隔_110水晶灯 5" xfId="3633"/>
    <cellStyle name="好_Sheet1_112淋浴间隔_110水晶灯 5 2" xfId="30849"/>
    <cellStyle name="好_Sheet1_112淋浴间隔_110水晶灯 6" xfId="24258"/>
    <cellStyle name="好_Sheet1_112淋浴间隔_110水晶灯_聊城样板房工程量计算稿" xfId="30851"/>
    <cellStyle name="好_Sheet1_112淋浴间隔_110水晶灯_终板 潍坊翡翠华庭样板房清单" xfId="30852"/>
    <cellStyle name="好_Sheet1_112淋浴间隔_118仿石砖" xfId="30853"/>
    <cellStyle name="好_Sheet1_112淋浴间隔_118仿石砖 2" xfId="30854"/>
    <cellStyle name="好_Sheet1_112淋浴间隔_118仿石砖 2 2" xfId="8033"/>
    <cellStyle name="好_Sheet1_112淋浴间隔_118仿石砖 3" xfId="9587"/>
    <cellStyle name="好_Sheet1_112淋浴间隔_118仿石砖 3 2" xfId="8073"/>
    <cellStyle name="好_Sheet1_112淋浴间隔_118仿石砖 4" xfId="24928"/>
    <cellStyle name="好_Sheet1_112淋浴间隔_118仿石砖 4 2" xfId="30855"/>
    <cellStyle name="好_Sheet1_112淋浴间隔_118仿石砖 5" xfId="30856"/>
    <cellStyle name="好_Sheet1_112淋浴间隔_118仿石砖 5 2" xfId="30857"/>
    <cellStyle name="好_Sheet1_112淋浴间隔_118仿石砖 6" xfId="8082"/>
    <cellStyle name="好_Sheet1_112淋浴间隔_118仿石砖_聊城样板房工程量计算稿" xfId="30858"/>
    <cellStyle name="好_Sheet1_112淋浴间隔_118仿石砖_终板 潍坊翡翠华庭样板房清单" xfId="15362"/>
    <cellStyle name="好_Sheet1_112淋浴间隔_119仿古砖" xfId="30859"/>
    <cellStyle name="好_Sheet1_112淋浴间隔_119仿古砖 2" xfId="30861"/>
    <cellStyle name="好_Sheet1_112淋浴间隔_119仿古砖 2 2" xfId="30862"/>
    <cellStyle name="好_Sheet1_112淋浴间隔_119仿古砖 3" xfId="22556"/>
    <cellStyle name="好_Sheet1_112淋浴间隔_119仿古砖 3 2" xfId="30863"/>
    <cellStyle name="好_Sheet1_112淋浴间隔_119仿古砖 4" xfId="29772"/>
    <cellStyle name="好_Sheet1_112淋浴间隔_119仿古砖 4 2" xfId="30864"/>
    <cellStyle name="好_Sheet1_112淋浴间隔_119仿古砖 5" xfId="30865"/>
    <cellStyle name="好_Sheet1_112淋浴间隔_119仿古砖 5 2" xfId="30866"/>
    <cellStyle name="好_Sheet1_112淋浴间隔_119仿古砖 6" xfId="30868"/>
    <cellStyle name="好_Sheet1_112淋浴间隔_119仿古砖_聊城样板房工程量计算稿" xfId="4325"/>
    <cellStyle name="好_Sheet1_112淋浴间隔_119仿古砖_终板 潍坊翡翠华庭样板房清单" xfId="19341"/>
    <cellStyle name="好_Sheet1_112淋浴间隔_2009年6月甲供材料模板（29类版）" xfId="30418"/>
    <cellStyle name="好_Sheet1_112淋浴间隔_2009年6月甲供材料模板（29类版） 2" xfId="12090"/>
    <cellStyle name="好_Sheet1_112淋浴间隔_2009年6月甲供材料模板（29类版） 2 2" xfId="12092"/>
    <cellStyle name="好_Sheet1_112淋浴间隔_2009年6月甲供材料模板（29类版） 3" xfId="12095"/>
    <cellStyle name="好_Sheet1_112淋浴间隔_2009年6月甲供材料模板（29类版） 3 2" xfId="12097"/>
    <cellStyle name="好_Sheet1_112淋浴间隔_2009年6月甲供材料模板（29类版） 4" xfId="12100"/>
    <cellStyle name="好_Sheet1_112淋浴间隔_2009年6月甲供材料模板（29类版） 4 2" xfId="30869"/>
    <cellStyle name="好_Sheet1_112淋浴间隔_2009年6月甲供材料模板（29类版） 5" xfId="27350"/>
    <cellStyle name="好_Sheet1_112淋浴间隔_2009年6月甲供材料模板（29类版） 5 2" xfId="30870"/>
    <cellStyle name="好_Sheet1_112淋浴间隔_2009年6月甲供材料模板（29类版） 6" xfId="16917"/>
    <cellStyle name="好_Sheet1_112淋浴间隔_2009年6月甲供材料模板（29类版）_聊城样板房工程量计算稿" xfId="7737"/>
    <cellStyle name="好_Sheet1_112淋浴间隔_2009年6月甲供材料模板（29类版）_终板 潍坊翡翠华庭样板房清单" xfId="29820"/>
    <cellStyle name="好_Sheet1_112淋浴间隔_聊城样板房工程量计算稿" xfId="30871"/>
    <cellStyle name="好_Sheet1_112淋浴间隔_终板 潍坊翡翠华庭样板房清单" xfId="27011"/>
    <cellStyle name="好_Sheet1_114门锁五金" xfId="30872"/>
    <cellStyle name="好_Sheet1_114门锁五金 2" xfId="22198"/>
    <cellStyle name="好_Sheet1_114门锁五金 2 2" xfId="44"/>
    <cellStyle name="好_Sheet1_114门锁五金 2 2 2" xfId="30873"/>
    <cellStyle name="好_Sheet1_114门锁五金 2 3" xfId="19222"/>
    <cellStyle name="好_Sheet1_114门锁五金 2 3 2" xfId="30874"/>
    <cellStyle name="好_Sheet1_114门锁五金 2 4" xfId="30875"/>
    <cellStyle name="好_Sheet1_114门锁五金 2 4 2" xfId="28767"/>
    <cellStyle name="好_Sheet1_114门锁五金 2 5" xfId="19429"/>
    <cellStyle name="好_Sheet1_114门锁五金 2_聊城样板房工程量计算稿" xfId="30876"/>
    <cellStyle name="好_Sheet1_114门锁五金 2_终板 潍坊翡翠华庭样板房清单" xfId="30877"/>
    <cellStyle name="好_Sheet1_114门锁五金 3" xfId="30878"/>
    <cellStyle name="好_Sheet1_114门锁五金 3 2" xfId="351"/>
    <cellStyle name="好_Sheet1_114门锁五金 3 2 2" xfId="30879"/>
    <cellStyle name="好_Sheet1_114门锁五金 3 3" xfId="30881"/>
    <cellStyle name="好_Sheet1_114门锁五金 3 3 2" xfId="30882"/>
    <cellStyle name="好_Sheet1_114门锁五金 3 4" xfId="30883"/>
    <cellStyle name="好_Sheet1_114门锁五金 3 4 2" xfId="30884"/>
    <cellStyle name="好_Sheet1_114门锁五金 3 5" xfId="28104"/>
    <cellStyle name="好_Sheet1_114门锁五金 4" xfId="30885"/>
    <cellStyle name="好_Sheet1_114门锁五金 4 2" xfId="30886"/>
    <cellStyle name="好_Sheet1_114门锁五金 5" xfId="30459"/>
    <cellStyle name="好_Sheet1_114门锁五金 5 2" xfId="30887"/>
    <cellStyle name="好_Sheet1_114门锁五金 6" xfId="30888"/>
    <cellStyle name="好_Sheet1_114门锁五金 6 2" xfId="30889"/>
    <cellStyle name="好_Sheet1_114门锁五金 7" xfId="30890"/>
    <cellStyle name="好_Sheet1_114门锁五金 7 2" xfId="30891"/>
    <cellStyle name="好_Sheet1_114门锁五金 8" xfId="17378"/>
    <cellStyle name="好_Sheet1_114门锁五金_102洁具-陶瓷" xfId="5518"/>
    <cellStyle name="好_Sheet1_114门锁五金_102洁具-陶瓷 2" xfId="4371"/>
    <cellStyle name="好_Sheet1_114门锁五金_102洁具-陶瓷 2 2" xfId="4914"/>
    <cellStyle name="好_Sheet1_114门锁五金_102洁具-陶瓷 3" xfId="3831"/>
    <cellStyle name="好_Sheet1_114门锁五金_102洁具-陶瓷 3 2" xfId="5523"/>
    <cellStyle name="好_Sheet1_114门锁五金_102洁具-陶瓷 4" xfId="3723"/>
    <cellStyle name="好_Sheet1_114门锁五金_102洁具-陶瓷 4 2" xfId="4693"/>
    <cellStyle name="好_Sheet1_114门锁五金_102洁具-陶瓷 5" xfId="5530"/>
    <cellStyle name="好_Sheet1_114门锁五金_102洁具-陶瓷_聊城样板房工程量计算稿" xfId="4085"/>
    <cellStyle name="好_Sheet1_114门锁五金_102洁具-陶瓷_终板 潍坊翡翠华庭样板房清单" xfId="2158"/>
    <cellStyle name="好_Sheet1_114门锁五金_105瓷片 " xfId="5722"/>
    <cellStyle name="好_Sheet1_114门锁五金_105瓷片  2" xfId="30714"/>
    <cellStyle name="好_Sheet1_114门锁五金_105瓷片 _聊城样板房工程量计算稿" xfId="29524"/>
    <cellStyle name="好_Sheet1_114门锁五金_105瓷片 _终板 潍坊翡翠华庭样板房清单" xfId="30600"/>
    <cellStyle name="好_Sheet1_114门锁五金_109吸顶灯" xfId="30892"/>
    <cellStyle name="好_Sheet1_114门锁五金_109吸顶灯 2" xfId="30893"/>
    <cellStyle name="好_Sheet1_114门锁五金_109吸顶灯_聊城样板房工程量计算稿" xfId="4840"/>
    <cellStyle name="好_Sheet1_114门锁五金_109吸顶灯_终板 潍坊翡翠华庭样板房清单" xfId="28299"/>
    <cellStyle name="好_Sheet1_114门锁五金_110水晶灯" xfId="30894"/>
    <cellStyle name="好_Sheet1_114门锁五金_110水晶灯 2" xfId="5612"/>
    <cellStyle name="好_Sheet1_114门锁五金_110水晶灯_聊城样板房工程量计算稿" xfId="4733"/>
    <cellStyle name="好_Sheet1_114门锁五金_110水晶灯_终板 潍坊翡翠华庭样板房清单" xfId="20951"/>
    <cellStyle name="好_Sheet1_114门锁五金_118仿石砖" xfId="2729"/>
    <cellStyle name="好_Sheet1_114门锁五金_118仿石砖 2" xfId="7066"/>
    <cellStyle name="好_Sheet1_114门锁五金_118仿石砖_聊城样板房工程量计算稿" xfId="25088"/>
    <cellStyle name="好_Sheet1_114门锁五金_118仿石砖_终板 潍坊翡翠华庭样板房清单" xfId="30895"/>
    <cellStyle name="好_Sheet1_114门锁五金_119仿古砖" xfId="11846"/>
    <cellStyle name="好_Sheet1_114门锁五金_119仿古砖 2" xfId="14550"/>
    <cellStyle name="好_Sheet1_114门锁五金_119仿古砖_聊城样板房工程量计算稿" xfId="30896"/>
    <cellStyle name="好_Sheet1_114门锁五金_119仿古砖_终板 潍坊翡翠华庭样板房清单" xfId="30897"/>
    <cellStyle name="好_Sheet1_114门锁五金_2009年6月甲供材料模板（29类版）" xfId="4869"/>
    <cellStyle name="好_Sheet1_114门锁五金_2009年6月甲供材料模板（29类版） 2" xfId="4873"/>
    <cellStyle name="好_Sheet1_114门锁五金_2009年6月甲供材料模板（29类版）_聊城样板房工程量计算稿" xfId="30898"/>
    <cellStyle name="好_Sheet1_114门锁五金_2009年6月甲供材料模板（29类版）_终板 潍坊翡翠华庭样板房清单" xfId="30899"/>
    <cellStyle name="好_Sheet1_114门锁五金_聊城样板房工程量计算稿" xfId="5407"/>
    <cellStyle name="好_Sheet1_114门锁五金_终板 潍坊翡翠华庭样板房清单" xfId="18133"/>
    <cellStyle name="好_Sheet1_115木地板" xfId="28381"/>
    <cellStyle name="好_Sheet1_115木地板 2" xfId="30900"/>
    <cellStyle name="好_Sheet1_115木地板 2 2" xfId="30902"/>
    <cellStyle name="好_Sheet1_115木地板 2_聊城样板房工程量计算稿" xfId="11963"/>
    <cellStyle name="好_Sheet1_115木地板 2_终板 潍坊翡翠华庭样板房清单" xfId="30903"/>
    <cellStyle name="好_Sheet1_115木地板 3" xfId="30904"/>
    <cellStyle name="好_Sheet1_115木地板_102洁具-陶瓷" xfId="30905"/>
    <cellStyle name="好_Sheet1_115木地板_102洁具-陶瓷 2" xfId="27968"/>
    <cellStyle name="好_Sheet1_115木地板_102洁具-陶瓷_聊城样板房工程量计算稿" xfId="22786"/>
    <cellStyle name="好_Sheet1_115木地板_102洁具-陶瓷_终板 潍坊翡翠华庭样板房清单" xfId="30906"/>
    <cellStyle name="好_Sheet1_115木地板_105瓷片 " xfId="8700"/>
    <cellStyle name="好_Sheet1_115木地板_105瓷片  2" xfId="30907"/>
    <cellStyle name="好_Sheet1_115木地板_105瓷片 _聊城样板房工程量计算稿" xfId="30908"/>
    <cellStyle name="好_Sheet1_115木地板_105瓷片 _终板 潍坊翡翠华庭样板房清单" xfId="28756"/>
    <cellStyle name="好_Sheet1_115木地板_109吸顶灯" xfId="30389"/>
    <cellStyle name="好_Sheet1_115木地板_109吸顶灯 2" xfId="30391"/>
    <cellStyle name="好_Sheet1_115木地板_109吸顶灯_聊城样板房工程量计算稿" xfId="5116"/>
    <cellStyle name="好_Sheet1_115木地板_109吸顶灯_终板 潍坊翡翠华庭样板房清单" xfId="5220"/>
    <cellStyle name="好_Sheet1_115木地板_110水晶灯" xfId="30910"/>
    <cellStyle name="好_Sheet1_115木地板_110水晶灯 2" xfId="30911"/>
    <cellStyle name="好_Sheet1_115木地板_110水晶灯_聊城样板房工程量计算稿" xfId="30912"/>
    <cellStyle name="好_Sheet1_115木地板_110水晶灯_终板 潍坊翡翠华庭样板房清单" xfId="23062"/>
    <cellStyle name="好_Sheet1_115木地板_118仿石砖" xfId="29078"/>
    <cellStyle name="好_Sheet1_115木地板_118仿石砖 2" xfId="29080"/>
    <cellStyle name="好_Sheet1_115木地板_118仿石砖_聊城样板房工程量计算稿" xfId="13536"/>
    <cellStyle name="好_Sheet1_115木地板_118仿石砖_终板 潍坊翡翠华庭样板房清单" xfId="15614"/>
    <cellStyle name="好_Sheet1_115木地板_119仿古砖" xfId="25944"/>
    <cellStyle name="好_Sheet1_115木地板_119仿古砖 2" xfId="26258"/>
    <cellStyle name="好_Sheet1_115木地板_119仿古砖_聊城样板房工程量计算稿" xfId="11294"/>
    <cellStyle name="好_Sheet1_115木地板_119仿古砖_终板 潍坊翡翠华庭样板房清单" xfId="16536"/>
    <cellStyle name="好_Sheet1_115木地板_2009年6月甲供材料模板（29类版）" xfId="15220"/>
    <cellStyle name="好_Sheet1_115木地板_2009年6月甲供材料模板（29类版） 2" xfId="30913"/>
    <cellStyle name="好_Sheet1_115木地板_2009年6月甲供材料模板（29类版）_聊城样板房工程量计算稿" xfId="30914"/>
    <cellStyle name="好_Sheet1_115木地板_2009年6月甲供材料模板（29类版）_终板 潍坊翡翠华庭样板房清单" xfId="472"/>
    <cellStyle name="好_Sheet1_115木地板_聊城样板房工程量计算稿" xfId="30915"/>
    <cellStyle name="好_Sheet1_115木地板_终板 潍坊翡翠华庭样板房清单" xfId="30916"/>
    <cellStyle name="好_Sheet1_119仿古砖" xfId="23935"/>
    <cellStyle name="好_Sheet1_119仿古砖 2" xfId="30917"/>
    <cellStyle name="好_Sheet1_119仿古砖 2 2" xfId="30918"/>
    <cellStyle name="好_Sheet1_119仿古砖 2_聊城样板房工程量计算稿" xfId="30919"/>
    <cellStyle name="好_Sheet1_119仿古砖 2_终板 潍坊翡翠华庭样板房清单" xfId="30920"/>
    <cellStyle name="好_Sheet1_119仿古砖 3" xfId="30921"/>
    <cellStyle name="好_Sheet1_119仿古砖_102洁具-陶瓷" xfId="13637"/>
    <cellStyle name="好_Sheet1_119仿古砖_102洁具-陶瓷 2" xfId="4884"/>
    <cellStyle name="好_Sheet1_119仿古砖_102洁具-陶瓷_聊城样板房工程量计算稿" xfId="30922"/>
    <cellStyle name="好_Sheet1_119仿古砖_102洁具-陶瓷_终板 潍坊翡翠华庭样板房清单" xfId="12424"/>
    <cellStyle name="好_Sheet1_119仿古砖_105瓷片 " xfId="25744"/>
    <cellStyle name="好_Sheet1_119仿古砖_105瓷片  2" xfId="25747"/>
    <cellStyle name="好_Sheet1_119仿古砖_105瓷片 _聊城样板房工程量计算稿" xfId="11891"/>
    <cellStyle name="好_Sheet1_119仿古砖_105瓷片 _终板 潍坊翡翠华庭样板房清单" xfId="15176"/>
    <cellStyle name="好_Sheet1_119仿古砖_109吸顶灯" xfId="3622"/>
    <cellStyle name="好_Sheet1_119仿古砖_109吸顶灯 2" xfId="30923"/>
    <cellStyle name="好_Sheet1_119仿古砖_109吸顶灯_聊城样板房工程量计算稿" xfId="30924"/>
    <cellStyle name="好_Sheet1_119仿古砖_109吸顶灯_终板 潍坊翡翠华庭样板房清单" xfId="30925"/>
    <cellStyle name="好_Sheet1_119仿古砖_110水晶灯" xfId="30927"/>
    <cellStyle name="好_Sheet1_119仿古砖_110水晶灯 2" xfId="8475"/>
    <cellStyle name="好_Sheet1_119仿古砖_110水晶灯_聊城样板房工程量计算稿" xfId="30928"/>
    <cellStyle name="好_Sheet1_119仿古砖_110水晶灯_终板 潍坊翡翠华庭样板房清单" xfId="30932"/>
    <cellStyle name="好_Sheet1_119仿古砖_118仿石砖" xfId="30933"/>
    <cellStyle name="好_Sheet1_119仿古砖_118仿石砖 2" xfId="30935"/>
    <cellStyle name="好_Sheet1_119仿古砖_118仿石砖_聊城样板房工程量计算稿" xfId="12673"/>
    <cellStyle name="好_Sheet1_119仿古砖_118仿石砖_终板 潍坊翡翠华庭样板房清单" xfId="30936"/>
    <cellStyle name="好_Sheet1_119仿古砖_119仿古砖" xfId="17782"/>
    <cellStyle name="好_Sheet1_119仿古砖_119仿古砖 2" xfId="13931"/>
    <cellStyle name="好_Sheet1_119仿古砖_119仿古砖_聊城样板房工程量计算稿" xfId="23921"/>
    <cellStyle name="好_Sheet1_119仿古砖_119仿古砖_终板 潍坊翡翠华庭样板房清单" xfId="30937"/>
    <cellStyle name="好_Sheet1_119仿古砖_2009年6月甲供材料模板（29类版）" xfId="29658"/>
    <cellStyle name="好_Sheet1_119仿古砖_2009年6月甲供材料模板（29类版） 2" xfId="30938"/>
    <cellStyle name="好_Sheet1_119仿古砖_2009年6月甲供材料模板（29类版）_聊城样板房工程量计算稿" xfId="30940"/>
    <cellStyle name="好_Sheet1_119仿古砖_2009年6月甲供材料模板（29类版）_终板 潍坊翡翠华庭样板房清单" xfId="30941"/>
    <cellStyle name="好_Sheet1_119仿古砖_聊城样板房工程量计算稿" xfId="30942"/>
    <cellStyle name="好_Sheet1_119仿古砖_终板 潍坊翡翠华庭样板房清单" xfId="7994"/>
    <cellStyle name="好_Sheet1_405厨房电器" xfId="30182"/>
    <cellStyle name="好_Sheet1_405厨房电器 2" xfId="30943"/>
    <cellStyle name="好_Sheet1_405厨房电器 2 2" xfId="30944"/>
    <cellStyle name="好_Sheet1_405厨房电器 2_聊城样板房工程量计算稿" xfId="22019"/>
    <cellStyle name="好_Sheet1_405厨房电器 2_终板 潍坊翡翠华庭样板房清单" xfId="30945"/>
    <cellStyle name="好_Sheet1_405厨房电器 3" xfId="28582"/>
    <cellStyle name="好_Sheet1_405厨房电器_102洁具-陶瓷" xfId="29115"/>
    <cellStyle name="好_Sheet1_405厨房电器_102洁具-陶瓷 2" xfId="29117"/>
    <cellStyle name="好_Sheet1_405厨房电器_102洁具-陶瓷_聊城样板房工程量计算稿" xfId="30946"/>
    <cellStyle name="好_Sheet1_405厨房电器_102洁具-陶瓷_终板 潍坊翡翠华庭样板房清单" xfId="3228"/>
    <cellStyle name="好_Sheet1_405厨房电器_105瓷片 " xfId="24685"/>
    <cellStyle name="好_Sheet1_405厨房电器_105瓷片  2" xfId="30176"/>
    <cellStyle name="好_Sheet1_405厨房电器_105瓷片 _聊城样板房工程量计算稿" xfId="8259"/>
    <cellStyle name="好_Sheet1_405厨房电器_105瓷片 _终板 潍坊翡翠华庭样板房清单" xfId="11907"/>
    <cellStyle name="好_Sheet1_405厨房电器_109吸顶灯" xfId="24621"/>
    <cellStyle name="好_Sheet1_405厨房电器_109吸顶灯 2" xfId="30947"/>
    <cellStyle name="好_Sheet1_405厨房电器_109吸顶灯_聊城样板房工程量计算稿" xfId="30948"/>
    <cellStyle name="好_Sheet1_405厨房电器_109吸顶灯_终板 潍坊翡翠华庭样板房清单" xfId="6656"/>
    <cellStyle name="好_Sheet1_405厨房电器_110水晶灯" xfId="11935"/>
    <cellStyle name="好_Sheet1_405厨房电器_110水晶灯 2" xfId="18171"/>
    <cellStyle name="好_Sheet1_405厨房电器_110水晶灯_聊城样板房工程量计算稿" xfId="30949"/>
    <cellStyle name="好_Sheet1_405厨房电器_110水晶灯_终板 潍坊翡翠华庭样板房清单" xfId="30950"/>
    <cellStyle name="好_Sheet1_405厨房电器_118仿石砖" xfId="30951"/>
    <cellStyle name="好_Sheet1_405厨房电器_118仿石砖 2" xfId="25897"/>
    <cellStyle name="好_Sheet1_405厨房电器_118仿石砖_聊城样板房工程量计算稿" xfId="14299"/>
    <cellStyle name="好_Sheet1_405厨房电器_118仿石砖_终板 潍坊翡翠华庭样板房清单" xfId="39"/>
    <cellStyle name="好_Sheet1_405厨房电器_119仿古砖" xfId="30952"/>
    <cellStyle name="好_Sheet1_405厨房电器_119仿古砖 2" xfId="30953"/>
    <cellStyle name="好_Sheet1_405厨房电器_119仿古砖_聊城样板房工程量计算稿" xfId="22578"/>
    <cellStyle name="好_Sheet1_405厨房电器_119仿古砖_终板 潍坊翡翠华庭样板房清单" xfId="19673"/>
    <cellStyle name="好_Sheet1_405厨房电器_2009年6月甲供材料模板（29类版）" xfId="21306"/>
    <cellStyle name="好_Sheet1_405厨房电器_2009年6月甲供材料模板（29类版） 2" xfId="30955"/>
    <cellStyle name="好_Sheet1_405厨房电器_2009年6月甲供材料模板（29类版）_聊城样板房工程量计算稿" xfId="28344"/>
    <cellStyle name="好_Sheet1_405厨房电器_2009年6月甲供材料模板（29类版）_终板 潍坊翡翠华庭样板房清单" xfId="21517"/>
    <cellStyle name="好_Sheet1_405厨房电器_聊城样板房工程量计算稿" xfId="23400"/>
    <cellStyle name="好_Sheet1_405厨房电器_终板 潍坊翡翠华庭样板房清单" xfId="22008"/>
    <cellStyle name="好_Sheet1_聊城样板房工程量计算稿" xfId="26256"/>
    <cellStyle name="好_Sheet1_终板 潍坊翡翠华庭样板房清单" xfId="30956"/>
    <cellStyle name="好_编码细则" xfId="9690"/>
    <cellStyle name="好_编码细则 2" xfId="9693"/>
    <cellStyle name="好_编码细则_聊城样板房工程量计算稿" xfId="30957"/>
    <cellStyle name="好_编码细则_终板 潍坊翡翠华庭样板房清单" xfId="30958"/>
    <cellStyle name="好_儋州恒大金碧天下首期样板房精装修清单2010.11.15" xfId="30959"/>
    <cellStyle name="好_儋州恒大金碧天下首期样板房精装修清单2010.11.15 2" xfId="30960"/>
    <cellStyle name="好_儋州恒大金碧天下首期样板房精装修清单2010.11.15_莱芜恒大金碧天下首期样板房精装修清单2010.12.30" xfId="30962"/>
    <cellStyle name="好_儋州恒大金碧天下首期样板房精装修清单2010.11.15_莱芜恒大金碧天下首期样板房精装修清单2010.12.30 2" xfId="30964"/>
    <cellStyle name="好_广东云浮恒大城18#、19#装修工程(1)" xfId="22431"/>
    <cellStyle name="好_广东云浮恒大城18#、19#装修工程(1) 2" xfId="22433"/>
    <cellStyle name="好_广东云浮恒大城18#、19#装修工程(1)_聊城样板房工程量计算稿" xfId="22446"/>
    <cellStyle name="好_恒大城公共部分清单09.08.25" xfId="30965"/>
    <cellStyle name="好_恒大城公共部分清单09.08.25 2" xfId="11369"/>
    <cellStyle name="好_恒大城公共部分清单09.08.25 3" xfId="11377"/>
    <cellStyle name="好_恒大城公共部分清单09.08.25_聊城样板房工程量计算稿" xfId="9318"/>
    <cellStyle name="好_集团版本-绿洲35-36、46-55#装修工程清单" xfId="30966"/>
    <cellStyle name="好_甲供材料价格体系最新更新（根据装修标准编制09.04.22）" xfId="16257"/>
    <cellStyle name="好_甲供材料价格体系最新更新（根据装修标准编制09.04.22） 2" xfId="30967"/>
    <cellStyle name="好_甲供材料价格体系最新更新（根据装修标准编制09.04.22） 2 2" xfId="4752"/>
    <cellStyle name="好_甲供材料价格体系最新更新（根据装修标准编制09.04.22） 2_聊城样板房工程量计算稿" xfId="6878"/>
    <cellStyle name="好_甲供材料价格体系最新更新（根据装修标准编制09.04.22） 2_终板 潍坊翡翠华庭样板房清单" xfId="30969"/>
    <cellStyle name="好_甲供材料价格体系最新更新（根据装修标准编制09.04.22） 3" xfId="30970"/>
    <cellStyle name="好_甲供材料价格体系最新更新（根据装修标准编制09.04.22）_102洁具-陶瓷" xfId="30880"/>
    <cellStyle name="好_甲供材料价格体系最新更新（根据装修标准编制09.04.22）_102洁具-陶瓷 2" xfId="30971"/>
    <cellStyle name="好_甲供材料价格体系最新更新（根据装修标准编制09.04.22）_102洁具-陶瓷_聊城样板房工程量计算稿" xfId="30972"/>
    <cellStyle name="好_甲供材料价格体系最新更新（根据装修标准编制09.04.22）_102洁具-陶瓷_终板 潍坊翡翠华庭样板房清单" xfId="30973"/>
    <cellStyle name="好_甲供材料价格体系最新更新（根据装修标准编制09.04.22）_105瓷片 " xfId="30315"/>
    <cellStyle name="好_甲供材料价格体系最新更新（根据装修标准编制09.04.22）_105瓷片  2" xfId="17116"/>
    <cellStyle name="好_甲供材料价格体系最新更新（根据装修标准编制09.04.22）_105瓷片 _聊城样板房工程量计算稿" xfId="30974"/>
    <cellStyle name="好_甲供材料价格体系最新更新（根据装修标准编制09.04.22）_105瓷片 _终板 潍坊翡翠华庭样板房清单" xfId="30975"/>
    <cellStyle name="好_甲供材料价格体系最新更新（根据装修标准编制09.04.22）_109吸顶灯" xfId="30977"/>
    <cellStyle name="好_甲供材料价格体系最新更新（根据装修标准编制09.04.22）_109吸顶灯 2" xfId="17043"/>
    <cellStyle name="好_甲供材料价格体系最新更新（根据装修标准编制09.04.22）_109吸顶灯_聊城样板房工程量计算稿" xfId="26522"/>
    <cellStyle name="好_甲供材料价格体系最新更新（根据装修标准编制09.04.22）_109吸顶灯_终板 潍坊翡翠华庭样板房清单" xfId="30978"/>
    <cellStyle name="好_甲供材料价格体系最新更新（根据装修标准编制09.04.22）_110水晶灯" xfId="22422"/>
    <cellStyle name="好_甲供材料价格体系最新更新（根据装修标准编制09.04.22）_110水晶灯 2" xfId="22424"/>
    <cellStyle name="好_甲供材料价格体系最新更新（根据装修标准编制09.04.22）_110水晶灯_聊城样板房工程量计算稿" xfId="12787"/>
    <cellStyle name="好_甲供材料价格体系最新更新（根据装修标准编制09.04.22）_110水晶灯_终板 潍坊翡翠华庭样板房清单" xfId="30613"/>
    <cellStyle name="好_甲供材料价格体系最新更新（根据装修标准编制09.04.22）_118仿石砖" xfId="30867"/>
    <cellStyle name="好_甲供材料价格体系最新更新（根据装修标准编制09.04.22）_118仿石砖 2" xfId="30081"/>
    <cellStyle name="好_甲供材料价格体系最新更新（根据装修标准编制09.04.22）_118仿石砖_聊城样板房工程量计算稿" xfId="30979"/>
    <cellStyle name="好_甲供材料价格体系最新更新（根据装修标准编制09.04.22）_118仿石砖_终板 潍坊翡翠华庭样板房清单" xfId="30980"/>
    <cellStyle name="好_甲供材料价格体系最新更新（根据装修标准编制09.04.22）_119仿古砖" xfId="30982"/>
    <cellStyle name="好_甲供材料价格体系最新更新（根据装修标准编制09.04.22）_119仿古砖 2" xfId="30983"/>
    <cellStyle name="好_甲供材料价格体系最新更新（根据装修标准编制09.04.22）_119仿古砖_聊城样板房工程量计算稿" xfId="30984"/>
    <cellStyle name="好_甲供材料价格体系最新更新（根据装修标准编制09.04.22）_119仿古砖_终板 潍坊翡翠华庭样板房清单" xfId="30985"/>
    <cellStyle name="好_甲供材料价格体系最新更新（根据装修标准编制09.04.22）_2009年6月甲供材料模板（29类版）" xfId="30986"/>
    <cellStyle name="好_甲供材料价格体系最新更新（根据装修标准编制09.04.22）_2009年6月甲供材料模板（29类版） 2" xfId="30987"/>
    <cellStyle name="好_甲供材料价格体系最新更新（根据装修标准编制09.04.22）_2009年6月甲供材料模板（29类版）_聊城样板房工程量计算稿" xfId="30988"/>
    <cellStyle name="好_甲供材料价格体系最新更新（根据装修标准编制09.04.22）_2009年6月甲供材料模板（29类版）_终板 潍坊翡翠华庭样板房清单" xfId="30989"/>
    <cellStyle name="好_甲供材料价格体系最新更新（根据装修标准编制09.04.22）_编码细则" xfId="30991"/>
    <cellStyle name="好_甲供材料价格体系最新更新（根据装修标准编制09.04.22）_编码细则 2" xfId="30992"/>
    <cellStyle name="好_甲供材料价格体系最新更新（根据装修标准编制09.04.22）_编码细则_聊城样板房工程量计算稿" xfId="30993"/>
    <cellStyle name="好_甲供材料价格体系最新更新（根据装修标准编制09.04.22）_编码细则_终板 潍坊翡翠华庭样板房清单" xfId="30994"/>
    <cellStyle name="好_甲供材料价格体系最新更新（根据装修标准编制09.04.22）_聊城样板房工程量计算稿" xfId="1731"/>
    <cellStyle name="好_甲供材料价格体系最新更新（根据装修标准编制09.04.22）_终板 潍坊翡翠华庭样板房清单" xfId="30996"/>
    <cellStyle name="好_甲供清单" xfId="30997"/>
    <cellStyle name="好_甲供清单 2" xfId="30998"/>
    <cellStyle name="好_莱芜恒大金碧天下首期样板房精装修清单2010.12.30" xfId="29749"/>
    <cellStyle name="好_莱芜恒大金碧天下首期样板房精装修清单2010.12.30 2" xfId="22335"/>
    <cellStyle name="好_兰州恒大都市广场7#样板房装修工程量清单3-27" xfId="30999"/>
    <cellStyle name="好_立项意见书" xfId="13428"/>
    <cellStyle name="好_立项意见书 2" xfId="13432"/>
    <cellStyle name="好_立项意见书_聊城样板房工程量计算稿" xfId="6234"/>
    <cellStyle name="好_聊城样板房工程量计算稿" xfId="31000"/>
    <cellStyle name="好_绿洲二期18#、25#样板房精装清单" xfId="7620"/>
    <cellStyle name="好_绿洲二期18#、25#样板房精装清单 2" xfId="7622"/>
    <cellStyle name="好_绿洲二期18#、25#样板房精装清单 3" xfId="7626"/>
    <cellStyle name="好_绿洲二期18#、25#样板房精装清单_武汉名都样板房装修清单  首二期2010.8.13" xfId="31001"/>
    <cellStyle name="好_首层门廊外墙石材装修工程基价-与审计达成一致意见" xfId="2185"/>
    <cellStyle name="好_泰安综合楼清单5.20" xfId="19616"/>
    <cellStyle name="好_套内部分" xfId="31002"/>
    <cellStyle name="好_武汉恒大城30#二期清单" xfId="31003"/>
    <cellStyle name="好_选型材料细则" xfId="31004"/>
    <cellStyle name="好_选型材料细则 2" xfId="27145"/>
    <cellStyle name="好_选型材料细则 2 2" xfId="31005"/>
    <cellStyle name="好_选型材料细则 2_聊城样板房工程量计算稿" xfId="31006"/>
    <cellStyle name="好_选型材料细则 2_终板 潍坊翡翠华庭样板房清单" xfId="31007"/>
    <cellStyle name="好_选型材料细则 3" xfId="31008"/>
    <cellStyle name="好_选型材料细则_102洁具-陶瓷" xfId="31009"/>
    <cellStyle name="好_选型材料细则_102洁具-陶瓷 2" xfId="31010"/>
    <cellStyle name="好_选型材料细则_102洁具-陶瓷_聊城样板房工程量计算稿" xfId="17851"/>
    <cellStyle name="好_选型材料细则_102洁具-陶瓷_终板 潍坊翡翠华庭样板房清单" xfId="31011"/>
    <cellStyle name="好_选型材料细则_105瓷片 " xfId="31012"/>
    <cellStyle name="好_选型材料细则_105瓷片  2" xfId="31013"/>
    <cellStyle name="好_选型材料细则_105瓷片 _聊城样板房工程量计算稿" xfId="31014"/>
    <cellStyle name="好_选型材料细则_105瓷片 _终板 潍坊翡翠华庭样板房清单" xfId="4792"/>
    <cellStyle name="好_选型材料细则_109吸顶灯" xfId="31015"/>
    <cellStyle name="好_选型材料细则_109吸顶灯 2" xfId="31016"/>
    <cellStyle name="好_选型材料细则_109吸顶灯_聊城样板房工程量计算稿" xfId="31017"/>
    <cellStyle name="好_选型材料细则_109吸顶灯_终板 潍坊翡翠华庭样板房清单" xfId="31018"/>
    <cellStyle name="好_选型材料细则_110水晶灯" xfId="31019"/>
    <cellStyle name="好_选型材料细则_110水晶灯 2" xfId="31020"/>
    <cellStyle name="好_选型材料细则_110水晶灯_聊城样板房工程量计算稿" xfId="17797"/>
    <cellStyle name="好_选型材料细则_110水晶灯_终板 潍坊翡翠华庭样板房清单" xfId="2993"/>
    <cellStyle name="好_选型材料细则_118仿石砖" xfId="26222"/>
    <cellStyle name="好_选型材料细则_118仿石砖 2" xfId="31021"/>
    <cellStyle name="好_选型材料细则_118仿石砖_聊城样板房工程量计算稿" xfId="31022"/>
    <cellStyle name="好_选型材料细则_118仿石砖_终板 潍坊翡翠华庭样板房清单" xfId="6404"/>
    <cellStyle name="好_选型材料细则_119仿古砖" xfId="3762"/>
    <cellStyle name="好_选型材料细则_119仿古砖 2" xfId="5471"/>
    <cellStyle name="好_选型材料细则_119仿古砖_聊城样板房工程量计算稿" xfId="5083"/>
    <cellStyle name="好_选型材料细则_119仿古砖_终板 潍坊翡翠华庭样板房清单" xfId="31023"/>
    <cellStyle name="好_选型材料细则_2009年6月甲供材料模板（29类版）" xfId="31024"/>
    <cellStyle name="好_选型材料细则_2009年6月甲供材料模板（29类版） 2" xfId="10401"/>
    <cellStyle name="好_选型材料细则_2009年6月甲供材料模板（29类版）_聊城样板房工程量计算稿" xfId="11552"/>
    <cellStyle name="好_选型材料细则_2009年6月甲供材料模板（29类版）_终板 潍坊翡翠华庭样板房清单" xfId="1645"/>
    <cellStyle name="好_选型材料细则_编码细则" xfId="28355"/>
    <cellStyle name="好_选型材料细则_编码细则 2" xfId="31025"/>
    <cellStyle name="好_选型材料细则_编码细则_聊城样板房工程量计算稿" xfId="4499"/>
    <cellStyle name="好_选型材料细则_编码细则_终板 潍坊翡翠华庭样板房清单" xfId="31026"/>
    <cellStyle name="好_选型材料细则_聊城样板房工程量计算稿" xfId="31027"/>
    <cellStyle name="好_选型材料细则_终板 潍坊翡翠华庭样板房清单" xfId="10721"/>
    <cellStyle name="好_银湖城销售中心电气报价清单2011-6-16" xfId="31028"/>
    <cellStyle name="好_银湖城销售中心电气报价清单2011-6-16 2" xfId="28933"/>
    <cellStyle name="好_云浮二期样板房装修" xfId="31030"/>
    <cellStyle name="好_云浮二期样板房装修 2" xfId="31031"/>
    <cellStyle name="好_云浮二期样板房装修_聊城样板房工程量计算稿" xfId="31033"/>
    <cellStyle name="好_终板 潍坊翡翠华庭样板房清单" xfId="31034"/>
    <cellStyle name="好_综合楼7装修工程量清单(1)-7.5" xfId="31035"/>
    <cellStyle name="好_综合楼7装修工程量清单(1)-7.5 2" xfId="31036"/>
    <cellStyle name="汇总" xfId="31037"/>
    <cellStyle name="汇总 2" xfId="31038"/>
    <cellStyle name="汇总 2 10" xfId="31039"/>
    <cellStyle name="汇总 2 10 2" xfId="28198"/>
    <cellStyle name="汇总 2 10 2 2" xfId="31040"/>
    <cellStyle name="汇总 2 10 2 2 2" xfId="22321"/>
    <cellStyle name="汇总 2 10 2 2 2 2" xfId="22323"/>
    <cellStyle name="汇总 2 10 2 2 3" xfId="22325"/>
    <cellStyle name="汇总 2 10 2 2 3 2" xfId="22327"/>
    <cellStyle name="汇总 2 10 2 2 4" xfId="22329"/>
    <cellStyle name="汇总 2 10 2 2 4 2" xfId="15535"/>
    <cellStyle name="汇总 2 10 2 2 5" xfId="31041"/>
    <cellStyle name="汇总 2 10 2 3" xfId="31042"/>
    <cellStyle name="汇总 2 10 2 3 2" xfId="31043"/>
    <cellStyle name="汇总 2 10 2 3 2 2" xfId="21358"/>
    <cellStyle name="汇总 2 10 2 3 3" xfId="31044"/>
    <cellStyle name="汇总 2 10 2 3 3 2" xfId="31045"/>
    <cellStyle name="汇总 2 10 2 3 4" xfId="31046"/>
    <cellStyle name="汇总 2 10 2 4" xfId="31047"/>
    <cellStyle name="汇总 2 10 2 4 2" xfId="31048"/>
    <cellStyle name="汇总 2 10 2 5" xfId="31049"/>
    <cellStyle name="汇总 2 10 3" xfId="17934"/>
    <cellStyle name="汇总 2 10 3 2" xfId="31050"/>
    <cellStyle name="汇总 2 10 3 2 2" xfId="25622"/>
    <cellStyle name="汇总 2 10 3 3" xfId="31051"/>
    <cellStyle name="汇总 2 10 3 3 2" xfId="31052"/>
    <cellStyle name="汇总 2 10 3 4" xfId="31053"/>
    <cellStyle name="汇总 2 10 3 4 2" xfId="81"/>
    <cellStyle name="汇总 2 10 3 5" xfId="6501"/>
    <cellStyle name="汇总 2 10 4" xfId="4054"/>
    <cellStyle name="汇总 2 10 4 2" xfId="1440"/>
    <cellStyle name="汇总 2 10 4 2 2" xfId="1445"/>
    <cellStyle name="汇总 2 10 4 3" xfId="978"/>
    <cellStyle name="汇总 2 10 4 3 2" xfId="1333"/>
    <cellStyle name="汇总 2 10 4 4" xfId="989"/>
    <cellStyle name="汇总 2 10 5" xfId="4164"/>
    <cellStyle name="汇总 2 10 5 2" xfId="157"/>
    <cellStyle name="汇总 2 10 6" xfId="4191"/>
    <cellStyle name="汇总 2 10 7" xfId="4227"/>
    <cellStyle name="汇总 2 11" xfId="31054"/>
    <cellStyle name="汇总 2 11 2" xfId="31055"/>
    <cellStyle name="汇总 2 11 2 2" xfId="31056"/>
    <cellStyle name="汇总 2 11 2 2 2" xfId="31058"/>
    <cellStyle name="汇总 2 11 2 3" xfId="31059"/>
    <cellStyle name="汇总 2 11 2 3 2" xfId="31060"/>
    <cellStyle name="汇总 2 11 2 4" xfId="31061"/>
    <cellStyle name="汇总 2 11 2 4 2" xfId="31062"/>
    <cellStyle name="汇总 2 11 2 5" xfId="21375"/>
    <cellStyle name="汇总 2 11 3" xfId="17937"/>
    <cellStyle name="汇总 2 11 3 2" xfId="18134"/>
    <cellStyle name="汇总 2 11 3 2 2" xfId="18137"/>
    <cellStyle name="汇总 2 11 3 3" xfId="18143"/>
    <cellStyle name="汇总 2 11 3 3 2" xfId="18146"/>
    <cellStyle name="汇总 2 11 3 4" xfId="18156"/>
    <cellStyle name="汇总 2 11 4" xfId="4244"/>
    <cellStyle name="汇总 2 11 4 2" xfId="1569"/>
    <cellStyle name="汇总 2 11 5" xfId="4265"/>
    <cellStyle name="汇总 2 11 6" xfId="4277"/>
    <cellStyle name="汇总 2 12" xfId="31063"/>
    <cellStyle name="汇总 2 12 2" xfId="31064"/>
    <cellStyle name="汇总 2 12 2 2" xfId="31065"/>
    <cellStyle name="汇总 2 12 2 2 2" xfId="31066"/>
    <cellStyle name="汇总 2 12 2 3" xfId="31067"/>
    <cellStyle name="汇总 2 12 2 3 2" xfId="31068"/>
    <cellStyle name="汇总 2 12 2 4" xfId="31069"/>
    <cellStyle name="汇总 2 12 2 4 2" xfId="31070"/>
    <cellStyle name="汇总 2 12 2 5" xfId="31071"/>
    <cellStyle name="汇总 2 12 3" xfId="31072"/>
    <cellStyle name="汇总 2 12 3 2" xfId="17854"/>
    <cellStyle name="汇总 2 12 3 2 2" xfId="7906"/>
    <cellStyle name="汇总 2 12 3 3" xfId="17856"/>
    <cellStyle name="汇总 2 12 3 3 2" xfId="7940"/>
    <cellStyle name="汇总 2 12 3 4" xfId="17859"/>
    <cellStyle name="汇总 2 12 4" xfId="4299"/>
    <cellStyle name="汇总 2 12 4 2" xfId="1663"/>
    <cellStyle name="汇总 2 12 5" xfId="4322"/>
    <cellStyle name="汇总 2 12 6" xfId="4337"/>
    <cellStyle name="汇总 2 13" xfId="14664"/>
    <cellStyle name="汇总 2 13 2" xfId="8273"/>
    <cellStyle name="汇总 2 13 2 2" xfId="31073"/>
    <cellStyle name="汇总 2 13 3" xfId="31074"/>
    <cellStyle name="汇总 2 13 3 2" xfId="31075"/>
    <cellStyle name="汇总 2 13 4" xfId="4356"/>
    <cellStyle name="汇总 2 13 4 2" xfId="1728"/>
    <cellStyle name="汇总 2 13 5" xfId="1884"/>
    <cellStyle name="汇总 2 13 6" xfId="4368"/>
    <cellStyle name="汇总 2 14" xfId="31076"/>
    <cellStyle name="汇总 2 14 2" xfId="31077"/>
    <cellStyle name="汇总 2 14 2 2" xfId="31078"/>
    <cellStyle name="汇总 2 14 3" xfId="31079"/>
    <cellStyle name="汇总 2 14 3 2" xfId="19556"/>
    <cellStyle name="汇总 2 14 4" xfId="4382"/>
    <cellStyle name="汇总 2 14 4 2" xfId="1755"/>
    <cellStyle name="汇总 2 14 5" xfId="1894"/>
    <cellStyle name="汇总 2 14 6" xfId="4400"/>
    <cellStyle name="汇总 2 15" xfId="31080"/>
    <cellStyle name="汇总 2 15 2" xfId="28222"/>
    <cellStyle name="汇总 2 15 2 2" xfId="28225"/>
    <cellStyle name="汇总 2 15 3" xfId="31081"/>
    <cellStyle name="汇总 2 15 3 2" xfId="31083"/>
    <cellStyle name="汇总 2 15 4" xfId="4420"/>
    <cellStyle name="汇总 2 15 4 2" xfId="4424"/>
    <cellStyle name="汇总 2 15 5" xfId="4428"/>
    <cellStyle name="汇总 2 15 6" xfId="4430"/>
    <cellStyle name="汇总 2 16" xfId="31084"/>
    <cellStyle name="汇总 2 17" xfId="4504"/>
    <cellStyle name="汇总 2 2" xfId="17974"/>
    <cellStyle name="汇总 2 2 2" xfId="16201"/>
    <cellStyle name="汇总 2 2 2 2" xfId="24373"/>
    <cellStyle name="汇总 2 2 2 2 2" xfId="28337"/>
    <cellStyle name="汇总 2 2 2 2 2 2" xfId="31087"/>
    <cellStyle name="汇总 2 2 2 2 2 2 2" xfId="31090"/>
    <cellStyle name="汇总 2 2 2 2 2 3" xfId="31093"/>
    <cellStyle name="汇总 2 2 2 2 2 3 2" xfId="31095"/>
    <cellStyle name="汇总 2 2 2 2 2 4" xfId="31097"/>
    <cellStyle name="汇总 2 2 2 2 2 4 2" xfId="31099"/>
    <cellStyle name="汇总 2 2 2 2 2 5" xfId="31101"/>
    <cellStyle name="汇总 2 2 2 2 3" xfId="31103"/>
    <cellStyle name="汇总 2 2 2 2 3 2" xfId="31105"/>
    <cellStyle name="汇总 2 2 2 2 3 2 2" xfId="31107"/>
    <cellStyle name="汇总 2 2 2 2 3 3" xfId="31109"/>
    <cellStyle name="汇总 2 2 2 2 3 3 2" xfId="31111"/>
    <cellStyle name="汇总 2 2 2 2 3 4" xfId="31113"/>
    <cellStyle name="汇总 2 2 2 2 4" xfId="31115"/>
    <cellStyle name="汇总 2 2 2 2 4 2" xfId="31117"/>
    <cellStyle name="汇总 2 2 2 2 5" xfId="31120"/>
    <cellStyle name="汇总 2 2 2 3" xfId="24376"/>
    <cellStyle name="汇总 2 2 2 3 2" xfId="31121"/>
    <cellStyle name="汇总 2 2 2 3 2 2" xfId="17174"/>
    <cellStyle name="汇总 2 2 2 3 3" xfId="31122"/>
    <cellStyle name="汇总 2 2 2 3 3 2" xfId="17259"/>
    <cellStyle name="汇总 2 2 2 3 4" xfId="22148"/>
    <cellStyle name="汇总 2 2 2 3 4 2" xfId="17278"/>
    <cellStyle name="汇总 2 2 2 3 5" xfId="31123"/>
    <cellStyle name="汇总 2 2 2 4" xfId="24379"/>
    <cellStyle name="汇总 2 2 2 4 2" xfId="31124"/>
    <cellStyle name="汇总 2 2 2 4 2 2" xfId="17615"/>
    <cellStyle name="汇总 2 2 2 4 3" xfId="31125"/>
    <cellStyle name="汇总 2 2 2 4 3 2" xfId="17625"/>
    <cellStyle name="汇总 2 2 2 4 4" xfId="31126"/>
    <cellStyle name="汇总 2 2 2 5" xfId="20339"/>
    <cellStyle name="汇总 2 2 2 5 2" xfId="20342"/>
    <cellStyle name="汇总 2 2 2 6" xfId="9946"/>
    <cellStyle name="汇总 2 2 2 7" xfId="20345"/>
    <cellStyle name="汇总 2 2 3" xfId="31127"/>
    <cellStyle name="汇总 2 2 3 2" xfId="24398"/>
    <cellStyle name="汇总 2 2 3 2 2" xfId="28340"/>
    <cellStyle name="汇总 2 2 3 2 2 2" xfId="31128"/>
    <cellStyle name="汇总 2 2 3 2 2 2 2" xfId="31129"/>
    <cellStyle name="汇总 2 2 3 2 2 3" xfId="31130"/>
    <cellStyle name="汇总 2 2 3 2 2 3 2" xfId="24856"/>
    <cellStyle name="汇总 2 2 3 2 2 4" xfId="31131"/>
    <cellStyle name="汇总 2 2 3 2 2 4 2" xfId="31132"/>
    <cellStyle name="汇总 2 2 3 2 2 5" xfId="31133"/>
    <cellStyle name="汇总 2 2 3 2 3" xfId="29637"/>
    <cellStyle name="汇总 2 2 3 2 3 2" xfId="31134"/>
    <cellStyle name="汇总 2 2 3 2 3 2 2" xfId="19998"/>
    <cellStyle name="汇总 2 2 3 2 3 3" xfId="31135"/>
    <cellStyle name="汇总 2 2 3 2 3 3 2" xfId="31136"/>
    <cellStyle name="汇总 2 2 3 2 3 4" xfId="31137"/>
    <cellStyle name="汇总 2 2 3 2 4" xfId="30670"/>
    <cellStyle name="汇总 2 2 3 2 4 2" xfId="29951"/>
    <cellStyle name="汇总 2 2 3 2 5" xfId="31140"/>
    <cellStyle name="汇总 2 2 3 3" xfId="24401"/>
    <cellStyle name="汇总 2 2 3 3 2" xfId="31141"/>
    <cellStyle name="汇总 2 2 3 3 2 2" xfId="18199"/>
    <cellStyle name="汇总 2 2 3 3 3" xfId="29639"/>
    <cellStyle name="汇总 2 2 3 3 3 2" xfId="18204"/>
    <cellStyle name="汇总 2 2 3 3 4" xfId="31142"/>
    <cellStyle name="汇总 2 2 3 3 4 2" xfId="18210"/>
    <cellStyle name="汇总 2 2 3 3 5" xfId="31144"/>
    <cellStyle name="汇总 2 2 3 4" xfId="24404"/>
    <cellStyle name="汇总 2 2 3 4 2" xfId="19607"/>
    <cellStyle name="汇总 2 2 3 4 2 2" xfId="31145"/>
    <cellStyle name="汇总 2 2 3 4 3" xfId="29642"/>
    <cellStyle name="汇总 2 2 3 4 3 2" xfId="31146"/>
    <cellStyle name="汇总 2 2 3 4 4" xfId="31147"/>
    <cellStyle name="汇总 2 2 3 5" xfId="20352"/>
    <cellStyle name="汇总 2 2 3 5 2" xfId="31148"/>
    <cellStyle name="汇总 2 2 3 6" xfId="22836"/>
    <cellStyle name="汇总 2 2 4" xfId="31149"/>
    <cellStyle name="汇总 2 2 4 2" xfId="24412"/>
    <cellStyle name="汇总 2 2 4 2 2" xfId="31150"/>
    <cellStyle name="汇总 2 2 4 2 2 2" xfId="31151"/>
    <cellStyle name="汇总 2 2 4 2 3" xfId="16117"/>
    <cellStyle name="汇总 2 2 4 2 3 2" xfId="16119"/>
    <cellStyle name="汇总 2 2 4 2 4" xfId="16158"/>
    <cellStyle name="汇总 2 2 4 2 4 2" xfId="16160"/>
    <cellStyle name="汇总 2 2 4 2 5" xfId="16185"/>
    <cellStyle name="汇总 2 2 4 3" xfId="24414"/>
    <cellStyle name="汇总 2 2 4 3 2" xfId="31152"/>
    <cellStyle name="汇总 2 2 4 3 2 2" xfId="21578"/>
    <cellStyle name="汇总 2 2 4 3 3" xfId="16229"/>
    <cellStyle name="汇总 2 2 4 3 3 2" xfId="16231"/>
    <cellStyle name="汇总 2 2 4 3 4" xfId="16241"/>
    <cellStyle name="汇总 2 2 4 4" xfId="24416"/>
    <cellStyle name="汇总 2 2 4 4 2" xfId="31153"/>
    <cellStyle name="汇总 2 2 4 5" xfId="20357"/>
    <cellStyle name="汇总 2 2 5" xfId="31154"/>
    <cellStyle name="汇总 2 2 5 2" xfId="24430"/>
    <cellStyle name="汇总 2 2 5 2 2" xfId="10317"/>
    <cellStyle name="汇总 2 2 5 2 2 2" xfId="31155"/>
    <cellStyle name="汇总 2 2 5 2 3" xfId="16475"/>
    <cellStyle name="汇总 2 2 5 2 3 2" xfId="16477"/>
    <cellStyle name="汇总 2 2 5 2 4" xfId="16493"/>
    <cellStyle name="汇总 2 2 5 2 4 2" xfId="16495"/>
    <cellStyle name="汇总 2 2 5 2 5" xfId="16500"/>
    <cellStyle name="汇总 2 2 5 3" xfId="24433"/>
    <cellStyle name="汇总 2 2 5 3 2" xfId="31156"/>
    <cellStyle name="汇总 2 2 5 3 2 2" xfId="31029"/>
    <cellStyle name="汇总 2 2 5 3 3" xfId="16519"/>
    <cellStyle name="汇总 2 2 5 3 3 2" xfId="16521"/>
    <cellStyle name="汇总 2 2 5 3 4" xfId="16532"/>
    <cellStyle name="汇总 2 2 5 4" xfId="4516"/>
    <cellStyle name="汇总 2 2 5 4 2" xfId="19771"/>
    <cellStyle name="汇总 2 2 5 5" xfId="20361"/>
    <cellStyle name="汇总 2 2 6" xfId="15425"/>
    <cellStyle name="汇总 2 2 6 2" xfId="31157"/>
    <cellStyle name="汇总 2 2 6 2 2" xfId="31158"/>
    <cellStyle name="汇总 2 2 6 3" xfId="31160"/>
    <cellStyle name="汇总 2 2 6 3 2" xfId="31161"/>
    <cellStyle name="汇总 2 2 6 4" xfId="4519"/>
    <cellStyle name="汇总 2 2 6 4 2" xfId="31162"/>
    <cellStyle name="汇总 2 2 6 5" xfId="20365"/>
    <cellStyle name="汇总 2 2 7" xfId="27940"/>
    <cellStyle name="汇总 2 2 7 2" xfId="31163"/>
    <cellStyle name="汇总 2 2 7 2 2" xfId="31164"/>
    <cellStyle name="汇总 2 2 7 3" xfId="31165"/>
    <cellStyle name="汇总 2 2 7 3 2" xfId="31166"/>
    <cellStyle name="汇总 2 2 7 4" xfId="31167"/>
    <cellStyle name="汇总 2 2 7 4 2" xfId="31168"/>
    <cellStyle name="汇总 2 2 7 5" xfId="31169"/>
    <cellStyle name="汇总 2 2 8" xfId="27941"/>
    <cellStyle name="汇总 2 2 8 2" xfId="31170"/>
    <cellStyle name="汇总 2 2 8 2 2" xfId="31171"/>
    <cellStyle name="汇总 2 2 8 3" xfId="31172"/>
    <cellStyle name="汇总 2 2 8 3 2" xfId="31173"/>
    <cellStyle name="汇总 2 2 8 4" xfId="31174"/>
    <cellStyle name="汇总 2 2 8 4 2" xfId="31175"/>
    <cellStyle name="汇总 2 2 8 5" xfId="31176"/>
    <cellStyle name="汇总 2 2 9" xfId="31177"/>
    <cellStyle name="汇总 2 3" xfId="17976"/>
    <cellStyle name="汇总 2 3 2" xfId="31178"/>
    <cellStyle name="汇总 2 3 2 2" xfId="2763"/>
    <cellStyle name="汇总 2 3 2 2 2" xfId="2767"/>
    <cellStyle name="汇总 2 3 2 2 2 2" xfId="31180"/>
    <cellStyle name="汇总 2 3 2 2 2 2 2" xfId="31181"/>
    <cellStyle name="汇总 2 3 2 2 2 3" xfId="31182"/>
    <cellStyle name="汇总 2 3 2 2 2 3 2" xfId="27906"/>
    <cellStyle name="汇总 2 3 2 2 2 4" xfId="31183"/>
    <cellStyle name="汇总 2 3 2 2 2 4 2" xfId="8648"/>
    <cellStyle name="汇总 2 3 2 2 2 5" xfId="31184"/>
    <cellStyle name="汇总 2 3 2 2 3" xfId="21270"/>
    <cellStyle name="汇总 2 3 2 2 3 2" xfId="21273"/>
    <cellStyle name="汇总 2 3 2 2 3 2 2" xfId="21277"/>
    <cellStyle name="汇总 2 3 2 2 3 3" xfId="21280"/>
    <cellStyle name="汇总 2 3 2 2 3 3 2" xfId="21285"/>
    <cellStyle name="汇总 2 3 2 2 3 4" xfId="21289"/>
    <cellStyle name="汇总 2 3 2 2 4" xfId="21297"/>
    <cellStyle name="汇总 2 3 2 2 4 2" xfId="21300"/>
    <cellStyle name="汇总 2 3 2 2 5" xfId="21319"/>
    <cellStyle name="汇总 2 3 2 3" xfId="2770"/>
    <cellStyle name="汇总 2 3 2 3 2" xfId="2777"/>
    <cellStyle name="汇总 2 3 2 3 2 2" xfId="16111"/>
    <cellStyle name="汇总 2 3 2 3 3" xfId="31185"/>
    <cellStyle name="汇总 2 3 2 3 3 2" xfId="31186"/>
    <cellStyle name="汇总 2 3 2 3 4" xfId="31187"/>
    <cellStyle name="汇总 2 3 2 3 4 2" xfId="31188"/>
    <cellStyle name="汇总 2 3 2 3 5" xfId="31189"/>
    <cellStyle name="汇总 2 3 2 4" xfId="2782"/>
    <cellStyle name="汇总 2 3 2 4 2" xfId="31190"/>
    <cellStyle name="汇总 2 3 2 4 2 2" xfId="31191"/>
    <cellStyle name="汇总 2 3 2 4 3" xfId="11333"/>
    <cellStyle name="汇总 2 3 2 4 3 2" xfId="31192"/>
    <cellStyle name="汇总 2 3 2 4 4" xfId="31193"/>
    <cellStyle name="汇总 2 3 2 5" xfId="31194"/>
    <cellStyle name="汇总 2 3 2 5 2" xfId="31195"/>
    <cellStyle name="汇总 2 3 2 6" xfId="9967"/>
    <cellStyle name="汇总 2 3 2 7" xfId="31196"/>
    <cellStyle name="汇总 2 3 3" xfId="31197"/>
    <cellStyle name="汇总 2 3 3 2" xfId="2792"/>
    <cellStyle name="汇总 2 3 3 2 2" xfId="2795"/>
    <cellStyle name="汇总 2 3 3 2 2 2" xfId="31198"/>
    <cellStyle name="汇总 2 3 3 2 2 2 2" xfId="13011"/>
    <cellStyle name="汇总 2 3 3 2 2 3" xfId="22784"/>
    <cellStyle name="汇总 2 3 3 2 2 3 2" xfId="14719"/>
    <cellStyle name="汇总 2 3 3 2 2 4" xfId="28623"/>
    <cellStyle name="汇总 2 3 3 2 2 4 2" xfId="14739"/>
    <cellStyle name="汇总 2 3 3 2 2 5" xfId="28625"/>
    <cellStyle name="汇总 2 3 3 2 3" xfId="31199"/>
    <cellStyle name="汇总 2 3 3 2 3 2" xfId="31200"/>
    <cellStyle name="汇总 2 3 3 2 3 2 2" xfId="14875"/>
    <cellStyle name="汇总 2 3 3 2 3 3" xfId="22791"/>
    <cellStyle name="汇总 2 3 3 2 3 3 2" xfId="15288"/>
    <cellStyle name="汇总 2 3 3 2 3 4" xfId="28630"/>
    <cellStyle name="汇总 2 3 3 2 4" xfId="31201"/>
    <cellStyle name="汇总 2 3 3 2 4 2" xfId="31202"/>
    <cellStyle name="汇总 2 3 3 2 5" xfId="31205"/>
    <cellStyle name="汇总 2 3 3 3" xfId="2798"/>
    <cellStyle name="汇总 2 3 3 3 2" xfId="2801"/>
    <cellStyle name="汇总 2 3 3 3 2 2" xfId="23855"/>
    <cellStyle name="汇总 2 3 3 3 3" xfId="31206"/>
    <cellStyle name="汇总 2 3 3 3 3 2" xfId="23860"/>
    <cellStyle name="汇总 2 3 3 3 4" xfId="31207"/>
    <cellStyle name="汇总 2 3 3 3 4 2" xfId="23869"/>
    <cellStyle name="汇总 2 3 3 3 5" xfId="22869"/>
    <cellStyle name="汇总 2 3 3 4" xfId="2805"/>
    <cellStyle name="汇总 2 3 3 4 2" xfId="31208"/>
    <cellStyle name="汇总 2 3 3 4 2 2" xfId="31209"/>
    <cellStyle name="汇总 2 3 3 4 3" xfId="31210"/>
    <cellStyle name="汇总 2 3 3 4 3 2" xfId="31211"/>
    <cellStyle name="汇总 2 3 3 4 4" xfId="31212"/>
    <cellStyle name="汇总 2 3 3 5" xfId="10620"/>
    <cellStyle name="汇总 2 3 3 5 2" xfId="31213"/>
    <cellStyle name="汇总 2 3 3 6" xfId="31214"/>
    <cellStyle name="汇总 2 3 4" xfId="31215"/>
    <cellStyle name="汇总 2 3 4 2" xfId="2817"/>
    <cellStyle name="汇总 2 3 4 2 2" xfId="2820"/>
    <cellStyle name="汇总 2 3 4 2 2 2" xfId="31216"/>
    <cellStyle name="汇总 2 3 4 2 3" xfId="31217"/>
    <cellStyle name="汇总 2 3 4 2 3 2" xfId="29971"/>
    <cellStyle name="汇总 2 3 4 2 4" xfId="22036"/>
    <cellStyle name="汇总 2 3 4 2 4 2" xfId="22038"/>
    <cellStyle name="汇总 2 3 4 2 5" xfId="22043"/>
    <cellStyle name="汇总 2 3 4 3" xfId="2823"/>
    <cellStyle name="汇总 2 3 4 3 2" xfId="31218"/>
    <cellStyle name="汇总 2 3 4 3 2 2" xfId="31219"/>
    <cellStyle name="汇总 2 3 4 3 3" xfId="31220"/>
    <cellStyle name="汇总 2 3 4 3 3 2" xfId="31221"/>
    <cellStyle name="汇总 2 3 4 3 4" xfId="31222"/>
    <cellStyle name="汇总 2 3 4 4" xfId="30482"/>
    <cellStyle name="汇总 2 3 4 4 2" xfId="31223"/>
    <cellStyle name="汇总 2 3 4 5" xfId="10622"/>
    <cellStyle name="汇总 2 3 5" xfId="31224"/>
    <cellStyle name="汇总 2 3 5 2" xfId="31225"/>
    <cellStyle name="汇总 2 3 5 2 2" xfId="1888"/>
    <cellStyle name="汇总 2 3 5 2 2 2" xfId="1891"/>
    <cellStyle name="汇总 2 3 5 2 3" xfId="1897"/>
    <cellStyle name="汇总 2 3 5 2 3 2" xfId="4426"/>
    <cellStyle name="汇总 2 3 5 2 4" xfId="2633"/>
    <cellStyle name="汇总 2 3 5 2 4 2" xfId="31226"/>
    <cellStyle name="汇总 2 3 5 2 5" xfId="31228"/>
    <cellStyle name="汇总 2 3 5 3" xfId="31229"/>
    <cellStyle name="汇总 2 3 5 3 2" xfId="907"/>
    <cellStyle name="汇总 2 3 5 3 2 2" xfId="918"/>
    <cellStyle name="汇总 2 3 5 3 3" xfId="4923"/>
    <cellStyle name="汇总 2 3 5 3 3 2" xfId="3265"/>
    <cellStyle name="汇总 2 3 5 3 4" xfId="2644"/>
    <cellStyle name="汇总 2 3 5 4" xfId="31230"/>
    <cellStyle name="汇总 2 3 5 4 2" xfId="4928"/>
    <cellStyle name="汇总 2 3 5 5" xfId="10625"/>
    <cellStyle name="汇总 2 3 6" xfId="31231"/>
    <cellStyle name="汇总 2 3 6 2" xfId="31232"/>
    <cellStyle name="汇总 2 3 6 2 2" xfId="1974"/>
    <cellStyle name="汇总 2 3 6 3" xfId="31233"/>
    <cellStyle name="汇总 2 3 6 3 2" xfId="4950"/>
    <cellStyle name="汇总 2 3 6 4" xfId="31234"/>
    <cellStyle name="汇总 2 3 6 4 2" xfId="4957"/>
    <cellStyle name="汇总 2 3 6 5" xfId="31235"/>
    <cellStyle name="汇总 2 3 7" xfId="27945"/>
    <cellStyle name="汇总 2 3 7 2" xfId="31236"/>
    <cellStyle name="汇总 2 3 7 2 2" xfId="4967"/>
    <cellStyle name="汇总 2 3 7 3" xfId="31237"/>
    <cellStyle name="汇总 2 3 7 3 2" xfId="4972"/>
    <cellStyle name="汇总 2 3 7 4" xfId="31238"/>
    <cellStyle name="汇总 2 3 7 4 2" xfId="4983"/>
    <cellStyle name="汇总 2 3 7 5" xfId="31239"/>
    <cellStyle name="汇总 2 3 8" xfId="27947"/>
    <cellStyle name="汇总 2 3 8 2" xfId="31240"/>
    <cellStyle name="汇总 2 3 8 2 2" xfId="2176"/>
    <cellStyle name="汇总 2 3 8 3" xfId="31241"/>
    <cellStyle name="汇总 2 3 8 3 2" xfId="5000"/>
    <cellStyle name="汇总 2 3 8 4" xfId="31242"/>
    <cellStyle name="汇总 2 3 8 4 2" xfId="31243"/>
    <cellStyle name="汇总 2 3 8 5" xfId="31244"/>
    <cellStyle name="汇总 2 3 9" xfId="31245"/>
    <cellStyle name="汇总 2 4" xfId="19735"/>
    <cellStyle name="汇总 2 4 2" xfId="31246"/>
    <cellStyle name="汇总 2 4 2 2" xfId="2912"/>
    <cellStyle name="汇总 2 4 2 2 2" xfId="2920"/>
    <cellStyle name="汇总 2 4 2 2 2 2" xfId="12535"/>
    <cellStyle name="汇总 2 4 2 2 2 2 2" xfId="12537"/>
    <cellStyle name="汇总 2 4 2 2 2 3" xfId="12544"/>
    <cellStyle name="汇总 2 4 2 2 2 3 2" xfId="22577"/>
    <cellStyle name="汇总 2 4 2 2 2 4" xfId="31247"/>
    <cellStyle name="汇总 2 4 2 2 2 4 2" xfId="31248"/>
    <cellStyle name="汇总 2 4 2 2 2 5" xfId="31249"/>
    <cellStyle name="汇总 2 4 2 2 3" xfId="24096"/>
    <cellStyle name="汇总 2 4 2 2 3 2" xfId="29545"/>
    <cellStyle name="汇总 2 4 2 2 3 2 2" xfId="31250"/>
    <cellStyle name="汇总 2 4 2 2 3 3" xfId="31251"/>
    <cellStyle name="汇总 2 4 2 2 3 3 2" xfId="31252"/>
    <cellStyle name="汇总 2 4 2 2 3 4" xfId="31253"/>
    <cellStyle name="汇总 2 4 2 2 4" xfId="24099"/>
    <cellStyle name="汇总 2 4 2 2 4 2" xfId="31254"/>
    <cellStyle name="汇总 2 4 2 2 5" xfId="24101"/>
    <cellStyle name="汇总 2 4 2 3" xfId="2923"/>
    <cellStyle name="汇总 2 4 2 3 2" xfId="2932"/>
    <cellStyle name="汇总 2 4 2 3 2 2" xfId="31255"/>
    <cellStyle name="汇总 2 4 2 3 3" xfId="30934"/>
    <cellStyle name="汇总 2 4 2 3 3 2" xfId="31256"/>
    <cellStyle name="汇总 2 4 2 3 4" xfId="31257"/>
    <cellStyle name="汇总 2 4 2 3 4 2" xfId="31258"/>
    <cellStyle name="汇总 2 4 2 3 5" xfId="31259"/>
    <cellStyle name="汇总 2 4 2 4" xfId="2937"/>
    <cellStyle name="汇总 2 4 2 4 2" xfId="31260"/>
    <cellStyle name="汇总 2 4 2 4 2 2" xfId="31261"/>
    <cellStyle name="汇总 2 4 2 4 3" xfId="31262"/>
    <cellStyle name="汇总 2 4 2 4 3 2" xfId="31263"/>
    <cellStyle name="汇总 2 4 2 4 4" xfId="31264"/>
    <cellStyle name="汇总 2 4 2 5" xfId="29084"/>
    <cellStyle name="汇总 2 4 2 5 2" xfId="31265"/>
    <cellStyle name="汇总 2 4 2 6" xfId="31266"/>
    <cellStyle name="汇总 2 4 3" xfId="2054"/>
    <cellStyle name="汇总 2 4 3 2" xfId="2947"/>
    <cellStyle name="汇总 2 4 3 2 2" xfId="803"/>
    <cellStyle name="汇总 2 4 3 2 2 2" xfId="31267"/>
    <cellStyle name="汇总 2 4 3 2 2 2 2" xfId="31268"/>
    <cellStyle name="汇总 2 4 3 2 2 3" xfId="31269"/>
    <cellStyle name="汇总 2 4 3 2 2 3 2" xfId="16154"/>
    <cellStyle name="汇总 2 4 3 2 2 4" xfId="31270"/>
    <cellStyle name="汇总 2 4 3 2 2 4 2" xfId="16181"/>
    <cellStyle name="汇总 2 4 3 2 2 5" xfId="31271"/>
    <cellStyle name="汇总 2 4 3 2 3" xfId="25530"/>
    <cellStyle name="汇总 2 4 3 2 3 2" xfId="31272"/>
    <cellStyle name="汇总 2 4 3 2 3 2 2" xfId="31273"/>
    <cellStyle name="汇总 2 4 3 2 3 3" xfId="31274"/>
    <cellStyle name="汇总 2 4 3 2 3 3 2" xfId="16239"/>
    <cellStyle name="汇总 2 4 3 2 3 4" xfId="30325"/>
    <cellStyle name="汇总 2 4 3 2 4" xfId="25532"/>
    <cellStyle name="汇总 2 4 3 2 4 2" xfId="31275"/>
    <cellStyle name="汇总 2 4 3 2 5" xfId="25537"/>
    <cellStyle name="汇总 2 4 3 3" xfId="2950"/>
    <cellStyle name="汇总 2 4 3 3 2" xfId="25549"/>
    <cellStyle name="汇总 2 4 3 3 2 2" xfId="30207"/>
    <cellStyle name="汇总 2 4 3 3 3" xfId="25551"/>
    <cellStyle name="汇总 2 4 3 3 3 2" xfId="31276"/>
    <cellStyle name="汇总 2 4 3 3 4" xfId="19653"/>
    <cellStyle name="汇总 2 4 3 3 4 2" xfId="31277"/>
    <cellStyle name="汇总 2 4 3 3 5" xfId="25554"/>
    <cellStyle name="汇总 2 4 3 4" xfId="31279"/>
    <cellStyle name="汇总 2 4 3 4 2" xfId="31280"/>
    <cellStyle name="汇总 2 4 3 4 2 2" xfId="31281"/>
    <cellStyle name="汇总 2 4 3 4 3" xfId="31282"/>
    <cellStyle name="汇总 2 4 3 4 3 2" xfId="31283"/>
    <cellStyle name="汇总 2 4 3 4 4" xfId="19661"/>
    <cellStyle name="汇总 2 4 3 5" xfId="10636"/>
    <cellStyle name="汇总 2 4 3 5 2" xfId="31284"/>
    <cellStyle name="汇总 2 4 3 6" xfId="31285"/>
    <cellStyle name="汇总 2 4 4" xfId="8710"/>
    <cellStyle name="汇总 2 4 4 2" xfId="28207"/>
    <cellStyle name="汇总 2 4 4 2 2" xfId="25811"/>
    <cellStyle name="汇总 2 4 4 2 2 2" xfId="31286"/>
    <cellStyle name="汇总 2 4 4 2 3" xfId="31287"/>
    <cellStyle name="汇总 2 4 4 2 3 2" xfId="31288"/>
    <cellStyle name="汇总 2 4 4 2 4" xfId="29194"/>
    <cellStyle name="汇总 2 4 4 2 4 2" xfId="31289"/>
    <cellStyle name="汇总 2 4 4 2 5" xfId="31291"/>
    <cellStyle name="汇总 2 4 4 3" xfId="28211"/>
    <cellStyle name="汇总 2 4 4 3 2" xfId="25820"/>
    <cellStyle name="汇总 2 4 4 3 2 2" xfId="30926"/>
    <cellStyle name="汇总 2 4 4 3 3" xfId="31292"/>
    <cellStyle name="汇总 2 4 4 3 3 2" xfId="31293"/>
    <cellStyle name="汇总 2 4 4 3 4" xfId="29199"/>
    <cellStyle name="汇总 2 4 4 4" xfId="21354"/>
    <cellStyle name="汇总 2 4 4 4 2" xfId="25829"/>
    <cellStyle name="汇总 2 4 4 5" xfId="10639"/>
    <cellStyle name="汇总 2 4 5" xfId="31294"/>
    <cellStyle name="汇总 2 4 5 2" xfId="31295"/>
    <cellStyle name="汇总 2 4 5 2 2" xfId="2141"/>
    <cellStyle name="汇总 2 4 5 2 2 2" xfId="1773"/>
    <cellStyle name="汇总 2 4 5 2 3" xfId="2148"/>
    <cellStyle name="汇总 2 4 5 2 3 2" xfId="5071"/>
    <cellStyle name="汇总 2 4 5 2 4" xfId="5073"/>
    <cellStyle name="汇总 2 4 5 2 4 2" xfId="31296"/>
    <cellStyle name="汇总 2 4 5 2 5" xfId="31298"/>
    <cellStyle name="汇总 2 4 5 3" xfId="31299"/>
    <cellStyle name="汇总 2 4 5 3 2" xfId="4717"/>
    <cellStyle name="汇总 2 4 5 3 2 2" xfId="2831"/>
    <cellStyle name="汇总 2 4 5 3 3" xfId="5075"/>
    <cellStyle name="汇总 2 4 5 3 3 2" xfId="16422"/>
    <cellStyle name="汇总 2 4 5 3 4" xfId="31300"/>
    <cellStyle name="汇总 2 4 5 4" xfId="31301"/>
    <cellStyle name="汇总 2 4 5 4 2" xfId="31303"/>
    <cellStyle name="汇总 2 4 5 5" xfId="29086"/>
    <cellStyle name="汇总 2 4 6" xfId="7476"/>
    <cellStyle name="汇总 2 4 6 2" xfId="7478"/>
    <cellStyle name="汇总 2 4 6 2 2" xfId="4760"/>
    <cellStyle name="汇总 2 4 6 3" xfId="31304"/>
    <cellStyle name="汇总 2 4 6 3 2" xfId="4784"/>
    <cellStyle name="汇总 2 4 6 4" xfId="31305"/>
    <cellStyle name="汇总 2 4 6 4 2" xfId="31306"/>
    <cellStyle name="汇总 2 4 6 5" xfId="31307"/>
    <cellStyle name="汇总 2 4 7" xfId="7480"/>
    <cellStyle name="汇总 2 4 7 2" xfId="7483"/>
    <cellStyle name="汇总 2 4 7 2 2" xfId="31308"/>
    <cellStyle name="汇总 2 4 7 3" xfId="31309"/>
    <cellStyle name="汇总 2 4 7 3 2" xfId="31310"/>
    <cellStyle name="汇总 2 4 7 4" xfId="31311"/>
    <cellStyle name="汇总 2 4 7 4 2" xfId="5946"/>
    <cellStyle name="汇总 2 4 7 5" xfId="31312"/>
    <cellStyle name="汇总 2 4 8" xfId="7485"/>
    <cellStyle name="汇总 2 4 8 2" xfId="7488"/>
    <cellStyle name="汇总 2 4 8 2 2" xfId="23645"/>
    <cellStyle name="汇总 2 4 8 3" xfId="31313"/>
    <cellStyle name="汇总 2 4 8 3 2" xfId="25969"/>
    <cellStyle name="汇总 2 4 8 4" xfId="31314"/>
    <cellStyle name="汇总 2 4 8 4 2" xfId="31315"/>
    <cellStyle name="汇总 2 4 8 5" xfId="31316"/>
    <cellStyle name="汇总 2 4 9" xfId="7490"/>
    <cellStyle name="汇总 2 5" xfId="31317"/>
    <cellStyle name="汇总 2 5 2" xfId="31318"/>
    <cellStyle name="汇总 2 5 2 2" xfId="2985"/>
    <cellStyle name="汇总 2 5 2 2 2" xfId="2988"/>
    <cellStyle name="汇总 2 5 2 2 2 2" xfId="31319"/>
    <cellStyle name="汇总 2 5 2 2 2 2 2" xfId="31320"/>
    <cellStyle name="汇总 2 5 2 2 2 3" xfId="31321"/>
    <cellStyle name="汇总 2 5 2 2 2 3 2" xfId="31322"/>
    <cellStyle name="汇总 2 5 2 2 2 4" xfId="22781"/>
    <cellStyle name="汇总 2 5 2 2 2 4 2" xfId="31323"/>
    <cellStyle name="汇总 2 5 2 2 2 5" xfId="31324"/>
    <cellStyle name="汇总 2 5 2 2 3" xfId="31325"/>
    <cellStyle name="汇总 2 5 2 2 3 2" xfId="31326"/>
    <cellStyle name="汇总 2 5 2 2 3 2 2" xfId="31327"/>
    <cellStyle name="汇总 2 5 2 2 3 3" xfId="31328"/>
    <cellStyle name="汇总 2 5 2 2 3 3 2" xfId="31329"/>
    <cellStyle name="汇总 2 5 2 2 3 4" xfId="31330"/>
    <cellStyle name="汇总 2 5 2 2 4" xfId="20595"/>
    <cellStyle name="汇总 2 5 2 2 4 2" xfId="31331"/>
    <cellStyle name="汇总 2 5 2 2 5" xfId="21507"/>
    <cellStyle name="汇总 2 5 2 3" xfId="2991"/>
    <cellStyle name="汇总 2 5 2 3 2" xfId="31333"/>
    <cellStyle name="汇总 2 5 2 3 2 2" xfId="31334"/>
    <cellStyle name="汇总 2 5 2 3 3" xfId="31335"/>
    <cellStyle name="汇总 2 5 2 3 3 2" xfId="31336"/>
    <cellStyle name="汇总 2 5 2 3 4" xfId="31337"/>
    <cellStyle name="汇总 2 5 2 3 4 2" xfId="31338"/>
    <cellStyle name="汇总 2 5 2 3 5" xfId="21510"/>
    <cellStyle name="汇总 2 5 2 4" xfId="31340"/>
    <cellStyle name="汇总 2 5 2 4 2" xfId="31341"/>
    <cellStyle name="汇总 2 5 2 4 2 2" xfId="10579"/>
    <cellStyle name="汇总 2 5 2 4 3" xfId="19777"/>
    <cellStyle name="汇总 2 5 2 4 3 2" xfId="10612"/>
    <cellStyle name="汇总 2 5 2 4 4" xfId="31342"/>
    <cellStyle name="汇总 2 5 2 5" xfId="31343"/>
    <cellStyle name="汇总 2 5 2 5 2" xfId="31344"/>
    <cellStyle name="汇总 2 5 2 6" xfId="31345"/>
    <cellStyle name="汇总 2 5 3" xfId="2058"/>
    <cellStyle name="汇总 2 5 3 2" xfId="31347"/>
    <cellStyle name="汇总 2 5 3 2 2" xfId="31349"/>
    <cellStyle name="汇总 2 5 3 2 2 2" xfId="31350"/>
    <cellStyle name="汇总 2 5 3 2 2 2 2" xfId="7207"/>
    <cellStyle name="汇总 2 5 3 2 2 3" xfId="14555"/>
    <cellStyle name="汇总 2 5 3 2 2 3 2" xfId="451"/>
    <cellStyle name="汇总 2 5 3 2 2 4" xfId="31351"/>
    <cellStyle name="汇总 2 5 3 2 2 4 2" xfId="7226"/>
    <cellStyle name="汇总 2 5 3 2 2 5" xfId="31352"/>
    <cellStyle name="汇总 2 5 3 2 3" xfId="31353"/>
    <cellStyle name="汇总 2 5 3 2 3 2" xfId="31354"/>
    <cellStyle name="汇总 2 5 3 2 3 2 2" xfId="7493"/>
    <cellStyle name="汇总 2 5 3 2 3 3" xfId="14558"/>
    <cellStyle name="汇总 2 5 3 2 3 3 2" xfId="7514"/>
    <cellStyle name="汇总 2 5 3 2 3 4" xfId="31355"/>
    <cellStyle name="汇总 2 5 3 2 4" xfId="31356"/>
    <cellStyle name="汇总 2 5 3 2 4 2" xfId="31357"/>
    <cellStyle name="汇总 2 5 3 2 5" xfId="31358"/>
    <cellStyle name="汇总 2 5 3 3" xfId="31360"/>
    <cellStyle name="汇总 2 5 3 3 2" xfId="31361"/>
    <cellStyle name="汇总 2 5 3 3 2 2" xfId="31362"/>
    <cellStyle name="汇总 2 5 3 3 3" xfId="31363"/>
    <cellStyle name="汇总 2 5 3 3 3 2" xfId="31364"/>
    <cellStyle name="汇总 2 5 3 3 4" xfId="31365"/>
    <cellStyle name="汇总 2 5 3 3 4 2" xfId="31366"/>
    <cellStyle name="汇总 2 5 3 3 5" xfId="31368"/>
    <cellStyle name="汇总 2 5 3 4" xfId="31369"/>
    <cellStyle name="汇总 2 5 3 4 2" xfId="31370"/>
    <cellStyle name="汇总 2 5 3 4 2 2" xfId="11077"/>
    <cellStyle name="汇总 2 5 3 4 3" xfId="31371"/>
    <cellStyle name="汇总 2 5 3 4 3 2" xfId="11111"/>
    <cellStyle name="汇总 2 5 3 4 4" xfId="31372"/>
    <cellStyle name="汇总 2 5 3 5" xfId="31373"/>
    <cellStyle name="汇总 2 5 3 5 2" xfId="18071"/>
    <cellStyle name="汇总 2 5 3 6" xfId="31374"/>
    <cellStyle name="汇总 2 5 4" xfId="31375"/>
    <cellStyle name="汇总 2 5 4 2" xfId="31376"/>
    <cellStyle name="汇总 2 5 4 2 2" xfId="18550"/>
    <cellStyle name="汇总 2 5 4 2 2 2" xfId="18553"/>
    <cellStyle name="汇总 2 5 4 2 3" xfId="18562"/>
    <cellStyle name="汇总 2 5 4 2 3 2" xfId="24717"/>
    <cellStyle name="汇总 2 5 4 2 4" xfId="915"/>
    <cellStyle name="汇总 2 5 4 2 4 2" xfId="941"/>
    <cellStyle name="汇总 2 5 4 2 5" xfId="18566"/>
    <cellStyle name="汇总 2 5 4 3" xfId="31377"/>
    <cellStyle name="汇总 2 5 4 3 2" xfId="18584"/>
    <cellStyle name="汇总 2 5 4 3 2 2" xfId="18587"/>
    <cellStyle name="汇总 2 5 4 3 3" xfId="18598"/>
    <cellStyle name="汇总 2 5 4 3 3 2" xfId="25500"/>
    <cellStyle name="汇总 2 5 4 3 4" xfId="18601"/>
    <cellStyle name="汇总 2 5 4 4" xfId="20446"/>
    <cellStyle name="汇总 2 5 4 4 2" xfId="18614"/>
    <cellStyle name="汇总 2 5 4 5" xfId="31378"/>
    <cellStyle name="汇总 2 5 5" xfId="31379"/>
    <cellStyle name="汇总 2 5 5 2" xfId="23629"/>
    <cellStyle name="汇总 2 5 5 2 2" xfId="5110"/>
    <cellStyle name="汇总 2 5 5 2 2 2" xfId="5113"/>
    <cellStyle name="汇总 2 5 5 2 3" xfId="5115"/>
    <cellStyle name="汇总 2 5 5 2 3 2" xfId="5120"/>
    <cellStyle name="汇总 2 5 5 2 4" xfId="5122"/>
    <cellStyle name="汇总 2 5 5 2 4 2" xfId="31380"/>
    <cellStyle name="汇总 2 5 5 2 5" xfId="28693"/>
    <cellStyle name="汇总 2 5 5 3" xfId="23632"/>
    <cellStyle name="汇总 2 5 5 3 2" xfId="5135"/>
    <cellStyle name="汇总 2 5 5 3 2 2" xfId="5139"/>
    <cellStyle name="汇总 2 5 5 3 3" xfId="5143"/>
    <cellStyle name="汇总 2 5 5 3 3 2" xfId="13742"/>
    <cellStyle name="汇总 2 5 5 3 4" xfId="23008"/>
    <cellStyle name="汇总 2 5 5 4" xfId="23634"/>
    <cellStyle name="汇总 2 5 5 4 2" xfId="31381"/>
    <cellStyle name="汇总 2 5 5 5" xfId="31382"/>
    <cellStyle name="汇总 2 5 6" xfId="7495"/>
    <cellStyle name="汇总 2 5 6 2" xfId="7497"/>
    <cellStyle name="汇总 2 5 6 2 2" xfId="31383"/>
    <cellStyle name="汇总 2 5 6 3" xfId="31384"/>
    <cellStyle name="汇总 2 5 6 3 2" xfId="31385"/>
    <cellStyle name="汇总 2 5 6 4" xfId="31386"/>
    <cellStyle name="汇总 2 5 6 4 2" xfId="31387"/>
    <cellStyle name="汇总 2 5 6 5" xfId="31388"/>
    <cellStyle name="汇总 2 5 7" xfId="7499"/>
    <cellStyle name="汇总 2 5 7 2" xfId="7501"/>
    <cellStyle name="汇总 2 5 7 2 2" xfId="31389"/>
    <cellStyle name="汇总 2 5 7 3" xfId="31390"/>
    <cellStyle name="汇总 2 5 7 3 2" xfId="9860"/>
    <cellStyle name="汇总 2 5 7 4" xfId="31391"/>
    <cellStyle name="汇总 2 5 7 4 2" xfId="9875"/>
    <cellStyle name="汇总 2 5 7 5" xfId="31392"/>
    <cellStyle name="汇总 2 5 8" xfId="7503"/>
    <cellStyle name="汇总 2 5 8 2" xfId="31393"/>
    <cellStyle name="汇总 2 5 8 2 2" xfId="27495"/>
    <cellStyle name="汇总 2 5 8 3" xfId="31394"/>
    <cellStyle name="汇总 2 5 8 3 2" xfId="31395"/>
    <cellStyle name="汇总 2 5 8 4" xfId="31396"/>
    <cellStyle name="汇总 2 5 8 4 2" xfId="31397"/>
    <cellStyle name="汇总 2 5 8 5" xfId="31398"/>
    <cellStyle name="汇总 2 5 9" xfId="11725"/>
    <cellStyle name="汇总 2 6" xfId="31399"/>
    <cellStyle name="汇总 2 6 2" xfId="31400"/>
    <cellStyle name="汇总 2 6 2 2" xfId="3065"/>
    <cellStyle name="汇总 2 6 2 2 2" xfId="3069"/>
    <cellStyle name="汇总 2 6 2 2 2 2" xfId="31401"/>
    <cellStyle name="汇总 2 6 2 2 2 2 2" xfId="17891"/>
    <cellStyle name="汇总 2 6 2 2 2 3" xfId="31402"/>
    <cellStyle name="汇总 2 6 2 2 2 3 2" xfId="17895"/>
    <cellStyle name="汇总 2 6 2 2 2 4" xfId="31403"/>
    <cellStyle name="汇总 2 6 2 2 2 4 2" xfId="31404"/>
    <cellStyle name="汇总 2 6 2 2 2 5" xfId="31405"/>
    <cellStyle name="汇总 2 6 2 2 3" xfId="17340"/>
    <cellStyle name="汇总 2 6 2 2 3 2" xfId="4049"/>
    <cellStyle name="汇总 2 6 2 2 3 2 2" xfId="4052"/>
    <cellStyle name="汇总 2 6 2 2 3 3" xfId="4240"/>
    <cellStyle name="汇总 2 6 2 2 3 3 2" xfId="4243"/>
    <cellStyle name="汇总 2 6 2 2 3 4" xfId="4296"/>
    <cellStyle name="汇总 2 6 2 2 4" xfId="17344"/>
    <cellStyle name="汇总 2 6 2 2 4 2" xfId="31406"/>
    <cellStyle name="汇总 2 6 2 2 5" xfId="31407"/>
    <cellStyle name="汇总 2 6 2 3" xfId="3074"/>
    <cellStyle name="汇总 2 6 2 3 2" xfId="29252"/>
    <cellStyle name="汇总 2 6 2 3 2 2" xfId="28679"/>
    <cellStyle name="汇总 2 6 2 3 3" xfId="21276"/>
    <cellStyle name="汇总 2 6 2 3 3 2" xfId="31408"/>
    <cellStyle name="汇总 2 6 2 3 4" xfId="31409"/>
    <cellStyle name="汇总 2 6 2 3 4 2" xfId="31410"/>
    <cellStyle name="汇总 2 6 2 3 5" xfId="31411"/>
    <cellStyle name="汇总 2 6 2 4" xfId="10955"/>
    <cellStyle name="汇总 2 6 2 4 2" xfId="31412"/>
    <cellStyle name="汇总 2 6 2 4 2 2" xfId="28764"/>
    <cellStyle name="汇总 2 6 2 4 3" xfId="21284"/>
    <cellStyle name="汇总 2 6 2 4 3 2" xfId="23309"/>
    <cellStyle name="汇总 2 6 2 4 4" xfId="28077"/>
    <cellStyle name="汇总 2 6 2 5" xfId="15224"/>
    <cellStyle name="汇总 2 6 2 5 2" xfId="15227"/>
    <cellStyle name="汇总 2 6 2 6" xfId="15229"/>
    <cellStyle name="汇总 2 6 3" xfId="31413"/>
    <cellStyle name="汇总 2 6 3 2" xfId="8130"/>
    <cellStyle name="汇总 2 6 3 2 2" xfId="17370"/>
    <cellStyle name="汇总 2 6 3 2 2 2" xfId="18826"/>
    <cellStyle name="汇总 2 6 3 2 2 2 2" xfId="18828"/>
    <cellStyle name="汇总 2 6 3 2 2 3" xfId="14612"/>
    <cellStyle name="汇总 2 6 3 2 2 3 2" xfId="18833"/>
    <cellStyle name="汇总 2 6 3 2 2 4" xfId="17496"/>
    <cellStyle name="汇总 2 6 3 2 2 4 2" xfId="18838"/>
    <cellStyle name="汇总 2 6 3 2 2 5" xfId="17500"/>
    <cellStyle name="汇总 2 6 3 2 3" xfId="17373"/>
    <cellStyle name="汇总 2 6 3 2 3 2" xfId="18873"/>
    <cellStyle name="汇总 2 6 3 2 3 2 2" xfId="31414"/>
    <cellStyle name="汇总 2 6 3 2 3 3" xfId="14617"/>
    <cellStyle name="汇总 2 6 3 2 3 3 2" xfId="31415"/>
    <cellStyle name="汇总 2 6 3 2 3 4" xfId="27901"/>
    <cellStyle name="汇总 2 6 3 2 4" xfId="17376"/>
    <cellStyle name="汇总 2 6 3 2 4 2" xfId="18883"/>
    <cellStyle name="汇总 2 6 3 2 5" xfId="31416"/>
    <cellStyle name="汇总 2 6 3 3" xfId="8134"/>
    <cellStyle name="汇总 2 6 3 3 2" xfId="8137"/>
    <cellStyle name="汇总 2 6 3 3 2 2" xfId="31417"/>
    <cellStyle name="汇总 2 6 3 3 3" xfId="21303"/>
    <cellStyle name="汇总 2 6 3 3 3 2" xfId="30954"/>
    <cellStyle name="汇总 2 6 3 3 4" xfId="28963"/>
    <cellStyle name="汇总 2 6 3 3 4 2" xfId="28965"/>
    <cellStyle name="汇总 2 6 3 3 5" xfId="31418"/>
    <cellStyle name="汇总 2 6 3 4" xfId="10959"/>
    <cellStyle name="汇总 2 6 3 4 2" xfId="31419"/>
    <cellStyle name="汇总 2 6 3 4 2 2" xfId="31420"/>
    <cellStyle name="汇总 2 6 3 4 3" xfId="21309"/>
    <cellStyle name="汇总 2 6 3 4 3 2" xfId="31421"/>
    <cellStyle name="汇总 2 6 3 4 4" xfId="31422"/>
    <cellStyle name="汇总 2 6 3 5" xfId="27592"/>
    <cellStyle name="汇总 2 6 3 5 2" xfId="31423"/>
    <cellStyle name="汇总 2 6 3 6" xfId="27594"/>
    <cellStyle name="汇总 2 6 4" xfId="31424"/>
    <cellStyle name="汇总 2 6 4 2" xfId="8192"/>
    <cellStyle name="汇总 2 6 4 2 2" xfId="27606"/>
    <cellStyle name="汇总 2 6 4 2 2 2" xfId="31425"/>
    <cellStyle name="汇总 2 6 4 2 3" xfId="27608"/>
    <cellStyle name="汇总 2 6 4 2 3 2" xfId="31426"/>
    <cellStyle name="汇总 2 6 4 2 4" xfId="3867"/>
    <cellStyle name="汇总 2 6 4 2 4 2" xfId="15291"/>
    <cellStyle name="汇总 2 6 4 2 5" xfId="31427"/>
    <cellStyle name="汇总 2 6 4 3" xfId="8197"/>
    <cellStyle name="汇总 2 6 4 3 2" xfId="8200"/>
    <cellStyle name="汇总 2 6 4 3 2 2" xfId="31428"/>
    <cellStyle name="汇总 2 6 4 3 3" xfId="31429"/>
    <cellStyle name="汇总 2 6 4 3 3 2" xfId="31430"/>
    <cellStyle name="汇总 2 6 4 3 4" xfId="19279"/>
    <cellStyle name="汇总 2 6 4 4" xfId="10964"/>
    <cellStyle name="汇总 2 6 4 4 2" xfId="31431"/>
    <cellStyle name="汇总 2 6 4 5" xfId="27610"/>
    <cellStyle name="汇总 2 6 5" xfId="31432"/>
    <cellStyle name="汇总 2 6 5 2" xfId="8244"/>
    <cellStyle name="汇总 2 6 5 2 2" xfId="5186"/>
    <cellStyle name="汇总 2 6 5 2 2 2" xfId="5189"/>
    <cellStyle name="汇总 2 6 5 2 3" xfId="5193"/>
    <cellStyle name="汇总 2 6 5 2 3 2" xfId="5196"/>
    <cellStyle name="汇总 2 6 5 2 4" xfId="3881"/>
    <cellStyle name="汇总 2 6 5 2 4 2" xfId="31433"/>
    <cellStyle name="汇总 2 6 5 2 5" xfId="8091"/>
    <cellStyle name="汇总 2 6 5 3" xfId="8249"/>
    <cellStyle name="汇总 2 6 5 3 2" xfId="5208"/>
    <cellStyle name="汇总 2 6 5 3 2 2" xfId="5211"/>
    <cellStyle name="汇总 2 6 5 3 3" xfId="5213"/>
    <cellStyle name="汇总 2 6 5 3 3 2" xfId="31434"/>
    <cellStyle name="汇总 2 6 5 3 4" xfId="31435"/>
    <cellStyle name="汇总 2 6 5 4" xfId="27622"/>
    <cellStyle name="汇总 2 6 5 4 2" xfId="21403"/>
    <cellStyle name="汇总 2 6 5 5" xfId="27624"/>
    <cellStyle name="汇总 2 6 6" xfId="7506"/>
    <cellStyle name="汇总 2 6 6 2" xfId="8299"/>
    <cellStyle name="汇总 2 6 6 2 2" xfId="28154"/>
    <cellStyle name="汇总 2 6 6 3" xfId="8304"/>
    <cellStyle name="汇总 2 6 6 3 2" xfId="8307"/>
    <cellStyle name="汇总 2 6 6 4" xfId="27634"/>
    <cellStyle name="汇总 2 6 6 4 2" xfId="31436"/>
    <cellStyle name="汇总 2 6 6 5" xfId="27636"/>
    <cellStyle name="汇总 2 6 7" xfId="31437"/>
    <cellStyle name="汇总 2 6 7 2" xfId="8354"/>
    <cellStyle name="汇总 2 6 7 2 2" xfId="21449"/>
    <cellStyle name="汇总 2 6 7 3" xfId="8358"/>
    <cellStyle name="汇总 2 6 7 3 2" xfId="8362"/>
    <cellStyle name="汇总 2 6 7 4" xfId="27651"/>
    <cellStyle name="汇总 2 6 7 4 2" xfId="9941"/>
    <cellStyle name="汇总 2 6 7 5" xfId="27653"/>
    <cellStyle name="汇总 2 6 8" xfId="31438"/>
    <cellStyle name="汇总 2 6 8 2" xfId="8408"/>
    <cellStyle name="汇总 2 6 8 2 2" xfId="31439"/>
    <cellStyle name="汇总 2 6 8 3" xfId="8411"/>
    <cellStyle name="汇总 2 6 8 3 2" xfId="8413"/>
    <cellStyle name="汇总 2 6 8 4" xfId="31441"/>
    <cellStyle name="汇总 2 6 8 4 2" xfId="31442"/>
    <cellStyle name="汇总 2 6 8 5" xfId="31443"/>
    <cellStyle name="汇总 2 6 9" xfId="11734"/>
    <cellStyle name="汇总 2 7" xfId="31444"/>
    <cellStyle name="汇总 2 7 2" xfId="31446"/>
    <cellStyle name="汇总 2 7 2 2" xfId="22907"/>
    <cellStyle name="汇总 2 7 2 2 2" xfId="31447"/>
    <cellStyle name="汇总 2 7 2 2 2 2" xfId="21128"/>
    <cellStyle name="汇总 2 7 2 2 2 2 2" xfId="267"/>
    <cellStyle name="汇总 2 7 2 2 2 3" xfId="31448"/>
    <cellStyle name="汇总 2 7 2 2 2 3 2" xfId="31449"/>
    <cellStyle name="汇总 2 7 2 2 2 4" xfId="31450"/>
    <cellStyle name="汇总 2 7 2 2 2 4 2" xfId="28150"/>
    <cellStyle name="汇总 2 7 2 2 2 5" xfId="22650"/>
    <cellStyle name="汇总 2 7 2 2 3" xfId="31451"/>
    <cellStyle name="汇总 2 7 2 2 3 2" xfId="31452"/>
    <cellStyle name="汇总 2 7 2 2 3 2 2" xfId="28308"/>
    <cellStyle name="汇总 2 7 2 2 3 3" xfId="31453"/>
    <cellStyle name="汇总 2 7 2 2 3 3 2" xfId="24197"/>
    <cellStyle name="汇总 2 7 2 2 3 4" xfId="29964"/>
    <cellStyle name="汇总 2 7 2 2 4" xfId="31454"/>
    <cellStyle name="汇总 2 7 2 2 4 2" xfId="31455"/>
    <cellStyle name="汇总 2 7 2 2 5" xfId="31456"/>
    <cellStyle name="汇总 2 7 2 3" xfId="31457"/>
    <cellStyle name="汇总 2 7 2 3 2" xfId="31458"/>
    <cellStyle name="汇总 2 7 2 3 2 2" xfId="31459"/>
    <cellStyle name="汇总 2 7 2 3 3" xfId="31460"/>
    <cellStyle name="汇总 2 7 2 3 3 2" xfId="31461"/>
    <cellStyle name="汇总 2 7 2 3 4" xfId="31462"/>
    <cellStyle name="汇总 2 7 2 3 4 2" xfId="31463"/>
    <cellStyle name="汇总 2 7 2 3 5" xfId="31464"/>
    <cellStyle name="汇总 2 7 2 4" xfId="31465"/>
    <cellStyle name="汇总 2 7 2 4 2" xfId="31466"/>
    <cellStyle name="汇总 2 7 2 4 2 2" xfId="31467"/>
    <cellStyle name="汇总 2 7 2 4 3" xfId="20561"/>
    <cellStyle name="汇总 2 7 2 4 3 2" xfId="22979"/>
    <cellStyle name="汇总 2 7 2 4 4" xfId="31468"/>
    <cellStyle name="汇总 2 7 2 5" xfId="31469"/>
    <cellStyle name="汇总 2 7 2 5 2" xfId="31470"/>
    <cellStyle name="汇总 2 7 2 6" xfId="31471"/>
    <cellStyle name="汇总 2 7 3" xfId="21125"/>
    <cellStyle name="汇总 2 7 3 2" xfId="31472"/>
    <cellStyle name="汇总 2 7 3 2 2" xfId="31473"/>
    <cellStyle name="汇总 2 7 3 2 2 2" xfId="8223"/>
    <cellStyle name="汇总 2 7 3 2 2 2 2" xfId="31474"/>
    <cellStyle name="汇总 2 7 3 2 2 3" xfId="8225"/>
    <cellStyle name="汇总 2 7 3 2 2 3 2" xfId="31475"/>
    <cellStyle name="汇总 2 7 3 2 2 4" xfId="31476"/>
    <cellStyle name="汇总 2 7 3 2 2 4 2" xfId="31477"/>
    <cellStyle name="汇总 2 7 3 2 2 5" xfId="31478"/>
    <cellStyle name="汇总 2 7 3 2 3" xfId="31479"/>
    <cellStyle name="汇总 2 7 3 2 3 2" xfId="31480"/>
    <cellStyle name="汇总 2 7 3 2 3 2 2" xfId="31481"/>
    <cellStyle name="汇总 2 7 3 2 3 3" xfId="31482"/>
    <cellStyle name="汇总 2 7 3 2 3 3 2" xfId="4609"/>
    <cellStyle name="汇总 2 7 3 2 3 4" xfId="31483"/>
    <cellStyle name="汇总 2 7 3 2 4" xfId="31484"/>
    <cellStyle name="汇总 2 7 3 2 4 2" xfId="31485"/>
    <cellStyle name="汇总 2 7 3 2 5" xfId="31486"/>
    <cellStyle name="汇总 2 7 3 3" xfId="31487"/>
    <cellStyle name="汇总 2 7 3 3 2" xfId="31488"/>
    <cellStyle name="汇总 2 7 3 3 2 2" xfId="8271"/>
    <cellStyle name="汇总 2 7 3 3 3" xfId="31489"/>
    <cellStyle name="汇总 2 7 3 3 3 2" xfId="31490"/>
    <cellStyle name="汇总 2 7 3 3 4" xfId="31491"/>
    <cellStyle name="汇总 2 7 3 3 4 2" xfId="28219"/>
    <cellStyle name="汇总 2 7 3 3 5" xfId="31492"/>
    <cellStyle name="汇总 2 7 3 4" xfId="21825"/>
    <cellStyle name="汇总 2 7 3 4 2" xfId="31493"/>
    <cellStyle name="汇总 2 7 3 4 2 2" xfId="8325"/>
    <cellStyle name="汇总 2 7 3 4 3" xfId="31494"/>
    <cellStyle name="汇总 2 7 3 4 3 2" xfId="29855"/>
    <cellStyle name="汇总 2 7 3 4 4" xfId="31495"/>
    <cellStyle name="汇总 2 7 3 5" xfId="31496"/>
    <cellStyle name="汇总 2 7 3 5 2" xfId="31497"/>
    <cellStyle name="汇总 2 7 3 6" xfId="31498"/>
    <cellStyle name="汇总 2 7 4" xfId="31499"/>
    <cellStyle name="汇总 2 7 4 2" xfId="31500"/>
    <cellStyle name="汇总 2 7 4 2 2" xfId="31501"/>
    <cellStyle name="汇总 2 7 4 2 2 2" xfId="31502"/>
    <cellStyle name="汇总 2 7 4 2 3" xfId="31503"/>
    <cellStyle name="汇总 2 7 4 2 3 2" xfId="31504"/>
    <cellStyle name="汇总 2 7 4 2 4" xfId="3955"/>
    <cellStyle name="汇总 2 7 4 2 4 2" xfId="31505"/>
    <cellStyle name="汇总 2 7 4 2 5" xfId="31506"/>
    <cellStyle name="汇总 2 7 4 3" xfId="31507"/>
    <cellStyle name="汇总 2 7 4 3 2" xfId="31508"/>
    <cellStyle name="汇总 2 7 4 3 2 2" xfId="31509"/>
    <cellStyle name="汇总 2 7 4 3 3" xfId="31510"/>
    <cellStyle name="汇总 2 7 4 3 3 2" xfId="18637"/>
    <cellStyle name="汇总 2 7 4 3 4" xfId="31511"/>
    <cellStyle name="汇总 2 7 4 4" xfId="31512"/>
    <cellStyle name="汇总 2 7 4 4 2" xfId="30662"/>
    <cellStyle name="汇总 2 7 4 5" xfId="31513"/>
    <cellStyle name="汇总 2 7 5" xfId="31514"/>
    <cellStyle name="汇总 2 7 5 2" xfId="31515"/>
    <cellStyle name="汇总 2 7 5 2 2" xfId="31516"/>
    <cellStyle name="汇总 2 7 5 2 2 2" xfId="31517"/>
    <cellStyle name="汇总 2 7 5 2 3" xfId="31518"/>
    <cellStyle name="汇总 2 7 5 2 3 2" xfId="31519"/>
    <cellStyle name="汇总 2 7 5 2 4" xfId="3958"/>
    <cellStyle name="汇总 2 7 5 2 4 2" xfId="31520"/>
    <cellStyle name="汇总 2 7 5 2 5" xfId="31521"/>
    <cellStyle name="汇总 2 7 5 3" xfId="31522"/>
    <cellStyle name="汇总 2 7 5 3 2" xfId="31523"/>
    <cellStyle name="汇总 2 7 5 3 2 2" xfId="31524"/>
    <cellStyle name="汇总 2 7 5 3 3" xfId="29179"/>
    <cellStyle name="汇总 2 7 5 3 3 2" xfId="31525"/>
    <cellStyle name="汇总 2 7 5 3 4" xfId="31526"/>
    <cellStyle name="汇总 2 7 5 4" xfId="31527"/>
    <cellStyle name="汇总 2 7 5 4 2" xfId="31528"/>
    <cellStyle name="汇总 2 7 5 5" xfId="31529"/>
    <cellStyle name="汇总 2 7 6" xfId="31530"/>
    <cellStyle name="汇总 2 7 6 2" xfId="31531"/>
    <cellStyle name="汇总 2 7 6 2 2" xfId="31532"/>
    <cellStyle name="汇总 2 7 6 3" xfId="31533"/>
    <cellStyle name="汇总 2 7 6 3 2" xfId="18698"/>
    <cellStyle name="汇总 2 7 6 4" xfId="31534"/>
    <cellStyle name="汇总 2 7 6 4 2" xfId="31535"/>
    <cellStyle name="汇总 2 7 6 5" xfId="31536"/>
    <cellStyle name="汇总 2 7 7" xfId="31537"/>
    <cellStyle name="汇总 2 7 7 2" xfId="31538"/>
    <cellStyle name="汇总 2 7 7 2 2" xfId="31539"/>
    <cellStyle name="汇总 2 7 7 3" xfId="31540"/>
    <cellStyle name="汇总 2 7 7 3 2" xfId="31541"/>
    <cellStyle name="汇总 2 7 7 4" xfId="31542"/>
    <cellStyle name="汇总 2 7 7 4 2" xfId="31543"/>
    <cellStyle name="汇总 2 7 7 5" xfId="31544"/>
    <cellStyle name="汇总 2 7 8" xfId="15638"/>
    <cellStyle name="汇总 2 7 8 2" xfId="31545"/>
    <cellStyle name="汇总 2 7 8 2 2" xfId="31546"/>
    <cellStyle name="汇总 2 7 8 3" xfId="31547"/>
    <cellStyle name="汇总 2 7 8 3 2" xfId="31548"/>
    <cellStyle name="汇总 2 7 8 4" xfId="31550"/>
    <cellStyle name="汇总 2 7 8 4 2" xfId="31551"/>
    <cellStyle name="汇总 2 7 8 5" xfId="31552"/>
    <cellStyle name="汇总 2 7 9" xfId="23170"/>
    <cellStyle name="汇总 2 8" xfId="31553"/>
    <cellStyle name="汇总 2 8 2" xfId="31554"/>
    <cellStyle name="汇总 2 8 2 2" xfId="31555"/>
    <cellStyle name="汇总 2 8 2 2 2" xfId="30746"/>
    <cellStyle name="汇总 2 8 2 2 2 2" xfId="30748"/>
    <cellStyle name="汇总 2 8 2 2 2 2 2" xfId="19475"/>
    <cellStyle name="汇总 2 8 2 2 2 3" xfId="28521"/>
    <cellStyle name="汇总 2 8 2 2 2 3 2" xfId="28524"/>
    <cellStyle name="汇总 2 8 2 2 2 4" xfId="28528"/>
    <cellStyle name="汇总 2 8 2 2 2 4 2" xfId="19394"/>
    <cellStyle name="汇总 2 8 2 2 2 5" xfId="28530"/>
    <cellStyle name="汇总 2 8 2 2 3" xfId="30750"/>
    <cellStyle name="汇总 2 8 2 2 3 2" xfId="31556"/>
    <cellStyle name="汇总 2 8 2 2 3 2 2" xfId="31557"/>
    <cellStyle name="汇总 2 8 2 2 3 3" xfId="28534"/>
    <cellStyle name="汇总 2 8 2 2 3 3 2" xfId="29077"/>
    <cellStyle name="汇总 2 8 2 2 3 4" xfId="28536"/>
    <cellStyle name="汇总 2 8 2 2 4" xfId="31558"/>
    <cellStyle name="汇总 2 8 2 2 4 2" xfId="31559"/>
    <cellStyle name="汇总 2 8 2 2 5" xfId="31560"/>
    <cellStyle name="汇总 2 8 2 3" xfId="31561"/>
    <cellStyle name="汇总 2 8 2 3 2" xfId="31562"/>
    <cellStyle name="汇总 2 8 2 3 2 2" xfId="21671"/>
    <cellStyle name="汇总 2 8 2 3 3" xfId="31563"/>
    <cellStyle name="汇总 2 8 2 3 3 2" xfId="31564"/>
    <cellStyle name="汇总 2 8 2 3 4" xfId="31565"/>
    <cellStyle name="汇总 2 8 2 3 4 2" xfId="31566"/>
    <cellStyle name="汇总 2 8 2 3 5" xfId="31567"/>
    <cellStyle name="汇总 2 8 2 4" xfId="31568"/>
    <cellStyle name="汇总 2 8 2 4 2" xfId="31569"/>
    <cellStyle name="汇总 2 8 2 4 2 2" xfId="31570"/>
    <cellStyle name="汇总 2 8 2 4 3" xfId="31571"/>
    <cellStyle name="汇总 2 8 2 4 3 2" xfId="31572"/>
    <cellStyle name="汇总 2 8 2 4 4" xfId="9695"/>
    <cellStyle name="汇总 2 8 2 5" xfId="31573"/>
    <cellStyle name="汇总 2 8 2 5 2" xfId="31574"/>
    <cellStyle name="汇总 2 8 2 6" xfId="31575"/>
    <cellStyle name="汇总 2 8 3" xfId="31576"/>
    <cellStyle name="汇总 2 8 3 2" xfId="31577"/>
    <cellStyle name="汇总 2 8 3 2 2" xfId="31578"/>
    <cellStyle name="汇总 2 8 3 2 2 2" xfId="31579"/>
    <cellStyle name="汇总 2 8 3 2 3" xfId="31580"/>
    <cellStyle name="汇总 2 8 3 2 3 2" xfId="27874"/>
    <cellStyle name="汇总 2 8 3 2 4" xfId="31581"/>
    <cellStyle name="汇总 2 8 3 2 4 2" xfId="31582"/>
    <cellStyle name="汇总 2 8 3 2 5" xfId="31583"/>
    <cellStyle name="汇总 2 8 3 3" xfId="31584"/>
    <cellStyle name="汇总 2 8 3 3 2" xfId="31585"/>
    <cellStyle name="汇总 2 8 3 3 2 2" xfId="31586"/>
    <cellStyle name="汇总 2 8 3 3 3" xfId="31587"/>
    <cellStyle name="汇总 2 8 3 3 3 2" xfId="31588"/>
    <cellStyle name="汇总 2 8 3 3 4" xfId="31589"/>
    <cellStyle name="汇总 2 8 3 4" xfId="31590"/>
    <cellStyle name="汇总 2 8 3 4 2" xfId="31591"/>
    <cellStyle name="汇总 2 8 3 5" xfId="31592"/>
    <cellStyle name="汇总 2 8 4" xfId="31593"/>
    <cellStyle name="汇总 2 8 4 2" xfId="31594"/>
    <cellStyle name="汇总 2 8 4 2 2" xfId="31595"/>
    <cellStyle name="汇总 2 8 4 2 2 2" xfId="29107"/>
    <cellStyle name="汇总 2 8 4 2 3" xfId="17253"/>
    <cellStyle name="汇总 2 8 4 2 3 2" xfId="17255"/>
    <cellStyle name="汇总 2 8 4 2 4" xfId="3972"/>
    <cellStyle name="汇总 2 8 4 2 4 2" xfId="31596"/>
    <cellStyle name="汇总 2 8 4 2 5" xfId="17257"/>
    <cellStyle name="汇总 2 8 4 3" xfId="31597"/>
    <cellStyle name="汇总 2 8 4 3 2" xfId="31598"/>
    <cellStyle name="汇总 2 8 4 3 2 2" xfId="31599"/>
    <cellStyle name="汇总 2 8 4 3 3" xfId="17270"/>
    <cellStyle name="汇总 2 8 4 3 3 2" xfId="17272"/>
    <cellStyle name="汇总 2 8 4 3 4" xfId="17274"/>
    <cellStyle name="汇总 2 8 4 4" xfId="31600"/>
    <cellStyle name="汇总 2 8 4 4 2" xfId="31601"/>
    <cellStyle name="汇总 2 8 4 5" xfId="29853"/>
    <cellStyle name="汇总 2 8 5" xfId="31602"/>
    <cellStyle name="汇总 2 8 5 2" xfId="31603"/>
    <cellStyle name="汇总 2 8 5 2 2" xfId="31604"/>
    <cellStyle name="汇总 2 8 5 3" xfId="31605"/>
    <cellStyle name="汇总 2 8 5 3 2" xfId="31606"/>
    <cellStyle name="汇总 2 8 5 4" xfId="31607"/>
    <cellStyle name="汇总 2 8 5 4 2" xfId="31608"/>
    <cellStyle name="汇总 2 8 5 5" xfId="31609"/>
    <cellStyle name="汇总 2 8 6" xfId="31610"/>
    <cellStyle name="汇总 2 8 6 2" xfId="31611"/>
    <cellStyle name="汇总 2 8 6 2 2" xfId="31612"/>
    <cellStyle name="汇总 2 8 6 3" xfId="31613"/>
    <cellStyle name="汇总 2 8 6 3 2" xfId="31614"/>
    <cellStyle name="汇总 2 8 6 4" xfId="31615"/>
    <cellStyle name="汇总 2 8 7" xfId="22283"/>
    <cellStyle name="汇总 2 8 7 2" xfId="31616"/>
    <cellStyle name="汇总 2 8 8" xfId="15640"/>
    <cellStyle name="汇总 2 8 9" xfId="31617"/>
    <cellStyle name="汇总 2 9" xfId="28245"/>
    <cellStyle name="汇总 2 9 2" xfId="28281"/>
    <cellStyle name="汇总 2 9 2 2" xfId="4878"/>
    <cellStyle name="汇总 2 9 2 2 2" xfId="2166"/>
    <cellStyle name="汇总 2 9 2 2 2 2" xfId="31618"/>
    <cellStyle name="汇总 2 9 2 2 3" xfId="31619"/>
    <cellStyle name="汇总 2 9 2 2 3 2" xfId="31620"/>
    <cellStyle name="汇总 2 9 2 2 4" xfId="31621"/>
    <cellStyle name="汇总 2 9 2 2 4 2" xfId="31622"/>
    <cellStyle name="汇总 2 9 2 2 5" xfId="689"/>
    <cellStyle name="汇总 2 9 2 3" xfId="4881"/>
    <cellStyle name="汇总 2 9 2 3 2" xfId="2306"/>
    <cellStyle name="汇总 2 9 2 3 2 2" xfId="31623"/>
    <cellStyle name="汇总 2 9 2 3 3" xfId="31624"/>
    <cellStyle name="汇总 2 9 2 3 3 2" xfId="31625"/>
    <cellStyle name="汇总 2 9 2 3 4" xfId="31626"/>
    <cellStyle name="汇总 2 9 2 4" xfId="4885"/>
    <cellStyle name="汇总 2 9 2 4 2" xfId="17398"/>
    <cellStyle name="汇总 2 9 2 5" xfId="21360"/>
    <cellStyle name="汇总 2 9 3" xfId="31627"/>
    <cellStyle name="汇总 2 9 3 2" xfId="4890"/>
    <cellStyle name="汇总 2 9 3 2 2" xfId="188"/>
    <cellStyle name="汇总 2 9 3 3" xfId="4893"/>
    <cellStyle name="汇总 2 9 3 3 2" xfId="4898"/>
    <cellStyle name="汇总 2 9 3 4" xfId="4901"/>
    <cellStyle name="汇总 2 9 3 4 2" xfId="31628"/>
    <cellStyle name="汇总 2 9 3 5" xfId="31629"/>
    <cellStyle name="汇总 2 9 4" xfId="31630"/>
    <cellStyle name="汇总 2 9 4 2" xfId="5314"/>
    <cellStyle name="汇总 2 9 4 2 2" xfId="4150"/>
    <cellStyle name="汇总 2 9 4 3" xfId="5319"/>
    <cellStyle name="汇总 2 9 4 3 2" xfId="5326"/>
    <cellStyle name="汇总 2 9 4 4" xfId="3562"/>
    <cellStyle name="汇总 2 9 5" xfId="31631"/>
    <cellStyle name="汇总 2 9 5 2" xfId="5335"/>
    <cellStyle name="汇总 2 9 6" xfId="31632"/>
    <cellStyle name="汇总 2 9 7" xfId="31633"/>
    <cellStyle name="汇总 3" xfId="31634"/>
    <cellStyle name="汇总 3 10" xfId="31635"/>
    <cellStyle name="汇总 3 11" xfId="31636"/>
    <cellStyle name="汇总 3 12" xfId="31638"/>
    <cellStyle name="汇总 3 13" xfId="30788"/>
    <cellStyle name="汇总 3 14" xfId="12998"/>
    <cellStyle name="汇总 3 2" xfId="28980"/>
    <cellStyle name="汇总 3 2 2" xfId="28982"/>
    <cellStyle name="汇总 3 2 2 2" xfId="28984"/>
    <cellStyle name="汇总 3 2 2 2 2" xfId="31639"/>
    <cellStyle name="汇总 3 2 2 2 2 2" xfId="21673"/>
    <cellStyle name="汇总 3 2 2 2 2 2 2" xfId="31640"/>
    <cellStyle name="汇总 3 2 2 2 2 3" xfId="31641"/>
    <cellStyle name="汇总 3 2 2 2 2 3 2" xfId="31642"/>
    <cellStyle name="汇总 3 2 2 2 2 4" xfId="21407"/>
    <cellStyle name="汇总 3 2 2 2 2 4 2" xfId="21409"/>
    <cellStyle name="汇总 3 2 2 2 2 5" xfId="21411"/>
    <cellStyle name="汇总 3 2 2 2 3" xfId="31643"/>
    <cellStyle name="汇总 3 2 2 2 3 2" xfId="31644"/>
    <cellStyle name="汇总 3 2 2 2 3 2 2" xfId="31645"/>
    <cellStyle name="汇总 3 2 2 2 3 3" xfId="10415"/>
    <cellStyle name="汇总 3 2 2 2 3 3 2" xfId="31646"/>
    <cellStyle name="汇总 3 2 2 2 3 4" xfId="21419"/>
    <cellStyle name="汇总 3 2 2 2 4" xfId="31647"/>
    <cellStyle name="汇总 3 2 2 2 4 2" xfId="31649"/>
    <cellStyle name="汇总 3 2 2 2 5" xfId="31650"/>
    <cellStyle name="汇总 3 2 2 3" xfId="21823"/>
    <cellStyle name="汇总 3 2 2 3 2" xfId="31651"/>
    <cellStyle name="汇总 3 2 2 3 2 2" xfId="31653"/>
    <cellStyle name="汇总 3 2 2 3 3" xfId="31654"/>
    <cellStyle name="汇总 3 2 2 3 3 2" xfId="31656"/>
    <cellStyle name="汇总 3 2 2 3 4" xfId="31652"/>
    <cellStyle name="汇总 3 2 2 3 4 2" xfId="30437"/>
    <cellStyle name="汇总 3 2 2 3 5" xfId="31657"/>
    <cellStyle name="汇总 3 2 2 4" xfId="31658"/>
    <cellStyle name="汇总 3 2 2 4 2" xfId="31659"/>
    <cellStyle name="汇总 3 2 2 4 2 2" xfId="31661"/>
    <cellStyle name="汇总 3 2 2 4 3" xfId="31662"/>
    <cellStyle name="汇总 3 2 2 4 3 2" xfId="31663"/>
    <cellStyle name="汇总 3 2 2 4 4" xfId="31655"/>
    <cellStyle name="汇总 3 2 2 5" xfId="3850"/>
    <cellStyle name="汇总 3 2 2 5 2" xfId="31664"/>
    <cellStyle name="汇总 3 2 2 6" xfId="10012"/>
    <cellStyle name="汇总 3 2 3" xfId="28986"/>
    <cellStyle name="汇总 3 2 3 2" xfId="28988"/>
    <cellStyle name="汇总 3 2 3 2 2" xfId="31665"/>
    <cellStyle name="汇总 3 2 3 2 2 2" xfId="31666"/>
    <cellStyle name="汇总 3 2 3 2 3" xfId="31667"/>
    <cellStyle name="汇总 3 2 3 2 3 2" xfId="29983"/>
    <cellStyle name="汇总 3 2 3 2 4" xfId="31668"/>
    <cellStyle name="汇总 3 2 3 2 4 2" xfId="24443"/>
    <cellStyle name="汇总 3 2 3 2 5" xfId="31669"/>
    <cellStyle name="汇总 3 2 3 3" xfId="30961"/>
    <cellStyle name="汇总 3 2 3 3 2" xfId="30963"/>
    <cellStyle name="汇总 3 2 3 3 2 2" xfId="31671"/>
    <cellStyle name="汇总 3 2 3 3 3" xfId="31672"/>
    <cellStyle name="汇总 3 2 3 3 3 2" xfId="31673"/>
    <cellStyle name="汇总 3 2 3 3 4" xfId="31660"/>
    <cellStyle name="汇总 3 2 3 4" xfId="31674"/>
    <cellStyle name="汇总 3 2 3 4 2" xfId="31675"/>
    <cellStyle name="汇总 3 2 3 5" xfId="31676"/>
    <cellStyle name="汇总 3 2 4" xfId="28990"/>
    <cellStyle name="汇总 3 2 4 2" xfId="28992"/>
    <cellStyle name="汇总 3 2 4 2 2" xfId="31677"/>
    <cellStyle name="汇总 3 2 4 2 2 2" xfId="15354"/>
    <cellStyle name="汇总 3 2 4 2 3" xfId="31678"/>
    <cellStyle name="汇总 3 2 4 2 3 2" xfId="15364"/>
    <cellStyle name="汇总 3 2 4 2 4" xfId="31679"/>
    <cellStyle name="汇总 3 2 4 2 4 2" xfId="15371"/>
    <cellStyle name="汇总 3 2 4 2 5" xfId="20213"/>
    <cellStyle name="汇总 3 2 4 3" xfId="31680"/>
    <cellStyle name="汇总 3 2 4 3 2" xfId="31681"/>
    <cellStyle name="汇总 3 2 4 3 2 2" xfId="15423"/>
    <cellStyle name="汇总 3 2 4 3 3" xfId="31682"/>
    <cellStyle name="汇总 3 2 4 3 3 2" xfId="15436"/>
    <cellStyle name="汇总 3 2 4 3 4" xfId="31683"/>
    <cellStyle name="汇总 3 2 4 4" xfId="31684"/>
    <cellStyle name="汇总 3 2 4 4 2" xfId="29139"/>
    <cellStyle name="汇总 3 2 4 5" xfId="31685"/>
    <cellStyle name="汇总 3 2 5" xfId="28994"/>
    <cellStyle name="汇总 3 2 5 2" xfId="28996"/>
    <cellStyle name="汇总 3 2 5 2 2" xfId="31686"/>
    <cellStyle name="汇总 3 2 5 3" xfId="31687"/>
    <cellStyle name="汇总 3 2 5 3 2" xfId="31688"/>
    <cellStyle name="汇总 3 2 5 4" xfId="4585"/>
    <cellStyle name="汇总 3 2 5 4 2" xfId="31689"/>
    <cellStyle name="汇总 3 2 5 5" xfId="31690"/>
    <cellStyle name="汇总 3 2 6" xfId="28998"/>
    <cellStyle name="汇总 3 2 6 2" xfId="31691"/>
    <cellStyle name="汇总 3 2 6 2 2" xfId="28287"/>
    <cellStyle name="汇总 3 2 6 3" xfId="31692"/>
    <cellStyle name="汇总 3 2 6 3 2" xfId="28290"/>
    <cellStyle name="汇总 3 2 6 4" xfId="4587"/>
    <cellStyle name="汇总 3 2 7" xfId="23652"/>
    <cellStyle name="汇总 3 2 7 2" xfId="31693"/>
    <cellStyle name="汇总 3 2 8" xfId="15912"/>
    <cellStyle name="汇总 3 2 9" xfId="9752"/>
    <cellStyle name="汇总 3 3" xfId="13479"/>
    <cellStyle name="汇总 3 3 2" xfId="31694"/>
    <cellStyle name="汇总 3 3 2 2" xfId="3269"/>
    <cellStyle name="汇总 3 3 2 2 2" xfId="3272"/>
    <cellStyle name="汇总 3 3 2 2 2 2" xfId="31696"/>
    <cellStyle name="汇总 3 3 2 2 3" xfId="31698"/>
    <cellStyle name="汇总 3 3 2 2 3 2" xfId="31701"/>
    <cellStyle name="汇总 3 3 2 2 4" xfId="31703"/>
    <cellStyle name="汇总 3 3 2 2 4 2" xfId="31706"/>
    <cellStyle name="汇总 3 3 2 2 5" xfId="31707"/>
    <cellStyle name="汇总 3 3 2 3" xfId="3276"/>
    <cellStyle name="汇总 3 3 2 3 2" xfId="3279"/>
    <cellStyle name="汇总 3 3 2 3 2 2" xfId="31709"/>
    <cellStyle name="汇总 3 3 2 3 3" xfId="31710"/>
    <cellStyle name="汇总 3 3 2 3 3 2" xfId="31712"/>
    <cellStyle name="汇总 3 3 2 3 4" xfId="31670"/>
    <cellStyle name="汇总 3 3 2 4" xfId="3283"/>
    <cellStyle name="汇总 3 3 2 4 2" xfId="29917"/>
    <cellStyle name="汇总 3 3 2 5" xfId="31713"/>
    <cellStyle name="汇总 3 3 3" xfId="31714"/>
    <cellStyle name="汇总 3 3 3 2" xfId="2653"/>
    <cellStyle name="汇总 3 3 3 2 2" xfId="3292"/>
    <cellStyle name="汇总 3 3 3 3" xfId="3296"/>
    <cellStyle name="汇总 3 3 3 3 2" xfId="31716"/>
    <cellStyle name="汇总 3 3 3 4" xfId="31718"/>
    <cellStyle name="汇总 3 3 3 4 2" xfId="30344"/>
    <cellStyle name="汇总 3 3 3 5" xfId="31719"/>
    <cellStyle name="汇总 3 3 4" xfId="31720"/>
    <cellStyle name="汇总 3 3 4 2" xfId="31722"/>
    <cellStyle name="汇总 3 3 4 2 2" xfId="31724"/>
    <cellStyle name="汇总 3 3 4 3" xfId="31726"/>
    <cellStyle name="汇总 3 3 4 3 2" xfId="31727"/>
    <cellStyle name="汇总 3 3 4 4" xfId="31728"/>
    <cellStyle name="汇总 3 3 5" xfId="31729"/>
    <cellStyle name="汇总 3 3 5 2" xfId="16832"/>
    <cellStyle name="汇总 3 3 6" xfId="31730"/>
    <cellStyle name="汇总 3 3 7" xfId="23658"/>
    <cellStyle name="汇总 3 4" xfId="19738"/>
    <cellStyle name="汇总 3 4 2" xfId="15386"/>
    <cellStyle name="汇总 3 4 2 2" xfId="3336"/>
    <cellStyle name="汇总 3 4 2 2 2" xfId="3340"/>
    <cellStyle name="汇总 3 4 2 2 2 2" xfId="15389"/>
    <cellStyle name="汇总 3 4 2 2 3" xfId="15393"/>
    <cellStyle name="汇总 3 4 2 2 3 2" xfId="15396"/>
    <cellStyle name="汇总 3 4 2 2 4" xfId="15403"/>
    <cellStyle name="汇总 3 4 2 2 4 2" xfId="15406"/>
    <cellStyle name="汇总 3 4 2 2 5" xfId="12581"/>
    <cellStyle name="汇总 3 4 2 3" xfId="3344"/>
    <cellStyle name="汇总 3 4 2 3 2" xfId="15409"/>
    <cellStyle name="汇总 3 4 2 3 2 2" xfId="15413"/>
    <cellStyle name="汇总 3 4 2 3 3" xfId="15415"/>
    <cellStyle name="汇总 3 4 2 3 3 2" xfId="15419"/>
    <cellStyle name="汇总 3 4 2 3 4" xfId="15421"/>
    <cellStyle name="汇总 3 4 2 4" xfId="15428"/>
    <cellStyle name="汇总 3 4 2 4 2" xfId="15430"/>
    <cellStyle name="汇总 3 4 2 5" xfId="15438"/>
    <cellStyle name="汇总 3 4 3" xfId="15443"/>
    <cellStyle name="汇总 3 4 3 2" xfId="15447"/>
    <cellStyle name="汇总 3 4 3 2 2" xfId="15453"/>
    <cellStyle name="汇总 3 4 3 3" xfId="15479"/>
    <cellStyle name="汇总 3 4 3 3 2" xfId="15485"/>
    <cellStyle name="汇总 3 4 3 4" xfId="15502"/>
    <cellStyle name="汇总 3 4 3 4 2" xfId="15505"/>
    <cellStyle name="汇总 3 4 3 5" xfId="15513"/>
    <cellStyle name="汇总 3 4 4" xfId="15521"/>
    <cellStyle name="汇总 3 4 4 2" xfId="15524"/>
    <cellStyle name="汇总 3 4 4 2 2" xfId="15527"/>
    <cellStyle name="汇总 3 4 4 3" xfId="15540"/>
    <cellStyle name="汇总 3 4 4 3 2" xfId="15543"/>
    <cellStyle name="汇总 3 4 4 4" xfId="15550"/>
    <cellStyle name="汇总 3 4 5" xfId="15555"/>
    <cellStyle name="汇总 3 4 5 2" xfId="15557"/>
    <cellStyle name="汇总 3 4 6" xfId="7511"/>
    <cellStyle name="汇总 3 4 7" xfId="15575"/>
    <cellStyle name="汇总 3 5" xfId="31731"/>
    <cellStyle name="汇总 3 5 2" xfId="15692"/>
    <cellStyle name="汇总 3 5 2 2" xfId="3392"/>
    <cellStyle name="汇总 3 5 2 2 2" xfId="3398"/>
    <cellStyle name="汇总 3 5 2 3" xfId="3402"/>
    <cellStyle name="汇总 3 5 2 3 2" xfId="12450"/>
    <cellStyle name="汇总 3 5 2 4" xfId="15707"/>
    <cellStyle name="汇总 3 5 2 4 2" xfId="15709"/>
    <cellStyle name="汇总 3 5 2 5" xfId="15711"/>
    <cellStyle name="汇总 3 5 3" xfId="15715"/>
    <cellStyle name="汇总 3 5 3 2" xfId="15718"/>
    <cellStyle name="汇总 3 5 3 2 2" xfId="12464"/>
    <cellStyle name="汇总 3 5 3 3" xfId="15725"/>
    <cellStyle name="汇总 3 5 3 3 2" xfId="12481"/>
    <cellStyle name="汇总 3 5 3 4" xfId="15737"/>
    <cellStyle name="汇总 3 5 4" xfId="15744"/>
    <cellStyle name="汇总 3 5 4 2" xfId="15746"/>
    <cellStyle name="汇总 3 5 5" xfId="15755"/>
    <cellStyle name="汇总 3 5 6" xfId="7516"/>
    <cellStyle name="汇总 3 6" xfId="31732"/>
    <cellStyle name="汇总 3 6 2" xfId="15820"/>
    <cellStyle name="汇总 3 6 2 2" xfId="15825"/>
    <cellStyle name="汇总 3 6 2 2 2" xfId="13052"/>
    <cellStyle name="汇总 3 6 2 3" xfId="15835"/>
    <cellStyle name="汇总 3 6 2 3 2" xfId="13088"/>
    <cellStyle name="汇总 3 6 2 4" xfId="15840"/>
    <cellStyle name="汇总 3 6 2 4 2" xfId="15284"/>
    <cellStyle name="汇总 3 6 2 5" xfId="15844"/>
    <cellStyle name="汇总 3 6 3" xfId="15847"/>
    <cellStyle name="汇总 3 6 3 2" xfId="15852"/>
    <cellStyle name="汇总 3 6 3 2 2" xfId="13115"/>
    <cellStyle name="汇总 3 6 3 3" xfId="15857"/>
    <cellStyle name="汇总 3 6 3 3 2" xfId="13138"/>
    <cellStyle name="汇总 3 6 3 4" xfId="15861"/>
    <cellStyle name="汇总 3 6 4" xfId="15866"/>
    <cellStyle name="汇总 3 6 4 2" xfId="15870"/>
    <cellStyle name="汇总 3 6 5" xfId="15889"/>
    <cellStyle name="汇总 3 6 6" xfId="7520"/>
    <cellStyle name="汇总 3 7" xfId="31733"/>
    <cellStyle name="汇总 3 7 2" xfId="13860"/>
    <cellStyle name="汇总 3 7 2 2" xfId="13863"/>
    <cellStyle name="汇总 3 7 3" xfId="13888"/>
    <cellStyle name="汇总 3 7 3 2" xfId="13891"/>
    <cellStyle name="汇总 3 7 4" xfId="13899"/>
    <cellStyle name="汇总 3 7 4 2" xfId="13902"/>
    <cellStyle name="汇总 3 7 5" xfId="13914"/>
    <cellStyle name="汇总 3 7 6" xfId="13923"/>
    <cellStyle name="汇总 3 8" xfId="31735"/>
    <cellStyle name="汇总 3 8 2" xfId="14105"/>
    <cellStyle name="汇总 3 8 2 2" xfId="14108"/>
    <cellStyle name="汇总 3 8 3" xfId="14130"/>
    <cellStyle name="汇总 3 8 3 2" xfId="14133"/>
    <cellStyle name="汇总 3 8 4" xfId="14151"/>
    <cellStyle name="汇总 3 8 4 2" xfId="14154"/>
    <cellStyle name="汇总 3 8 5" xfId="14156"/>
    <cellStyle name="汇总 3 8 6" xfId="14158"/>
    <cellStyle name="汇总 3 9" xfId="28248"/>
    <cellStyle name="汇总 3 9 2" xfId="14276"/>
    <cellStyle name="汇总 3 9 2 2" xfId="14280"/>
    <cellStyle name="汇总 3 9 3" xfId="14297"/>
    <cellStyle name="汇总 3 9 3 2" xfId="14301"/>
    <cellStyle name="汇总 3 9 4" xfId="14317"/>
    <cellStyle name="汇总 3 9 4 2" xfId="14319"/>
    <cellStyle name="汇总 3 9 5" xfId="10973"/>
    <cellStyle name="汇总 3 9 6" xfId="10985"/>
    <cellStyle name="汇总 4" xfId="31736"/>
    <cellStyle name="汇总 4 2" xfId="31737"/>
    <cellStyle name="汇总 4 2 2" xfId="31738"/>
    <cellStyle name="汇总 4 2 2 2" xfId="20207"/>
    <cellStyle name="汇总 4 2 2 2 2" xfId="15321"/>
    <cellStyle name="汇总 4 2 2 2 2 2" xfId="10628"/>
    <cellStyle name="汇总 4 2 2 2 3" xfId="15323"/>
    <cellStyle name="汇总 4 2 2 2 3 2" xfId="29088"/>
    <cellStyle name="汇总 4 2 2 2 4" xfId="31739"/>
    <cellStyle name="汇总 4 2 2 2 4 2" xfId="31740"/>
    <cellStyle name="汇总 4 2 2 2 5" xfId="31741"/>
    <cellStyle name="汇总 4 2 2 3" xfId="31742"/>
    <cellStyle name="汇总 4 2 2 3 2" xfId="31743"/>
    <cellStyle name="汇总 4 2 2 3 2 2" xfId="31744"/>
    <cellStyle name="汇总 4 2 2 3 3" xfId="31745"/>
    <cellStyle name="汇总 4 2 2 3 3 2" xfId="31746"/>
    <cellStyle name="汇总 4 2 2 3 4" xfId="31708"/>
    <cellStyle name="汇总 4 2 2 4" xfId="31747"/>
    <cellStyle name="汇总 4 2 2 4 2" xfId="31748"/>
    <cellStyle name="汇总 4 2 2 5" xfId="30860"/>
    <cellStyle name="汇总 4 2 3" xfId="31749"/>
    <cellStyle name="汇总 4 2 3 2" xfId="20219"/>
    <cellStyle name="汇总 4 2 3 2 2" xfId="30739"/>
    <cellStyle name="汇总 4 2 3 3" xfId="31750"/>
    <cellStyle name="汇总 4 2 3 3 2" xfId="31751"/>
    <cellStyle name="汇总 4 2 3 4" xfId="31752"/>
    <cellStyle name="汇总 4 2 3 4 2" xfId="31753"/>
    <cellStyle name="汇总 4 2 3 5" xfId="31754"/>
    <cellStyle name="汇总 4 2 4" xfId="31755"/>
    <cellStyle name="汇总 4 2 4 2" xfId="31756"/>
    <cellStyle name="汇总 4 2 4 2 2" xfId="31757"/>
    <cellStyle name="汇总 4 2 4 3" xfId="31758"/>
    <cellStyle name="汇总 4 2 4 3 2" xfId="31759"/>
    <cellStyle name="汇总 4 2 4 4" xfId="31760"/>
    <cellStyle name="汇总 4 2 5" xfId="31761"/>
    <cellStyle name="汇总 4 2 5 2" xfId="8211"/>
    <cellStyle name="汇总 4 2 6" xfId="20572"/>
    <cellStyle name="汇总 4 2 7" xfId="24925"/>
    <cellStyle name="汇总 4 3" xfId="13482"/>
    <cellStyle name="汇总 4 3 2" xfId="31762"/>
    <cellStyle name="汇总 4 3 2 2" xfId="3519"/>
    <cellStyle name="汇总 4 3 2 2 2" xfId="3523"/>
    <cellStyle name="汇总 4 3 2 2 2 2" xfId="11130"/>
    <cellStyle name="汇总 4 3 2 2 3" xfId="31764"/>
    <cellStyle name="汇总 4 3 2 2 3 2" xfId="31766"/>
    <cellStyle name="汇总 4 3 2 2 4" xfId="31768"/>
    <cellStyle name="汇总 4 3 2 2 4 2" xfId="31769"/>
    <cellStyle name="汇总 4 3 2 2 5" xfId="4862"/>
    <cellStyle name="汇总 4 3 2 3" xfId="2773"/>
    <cellStyle name="汇总 4 3 2 3 2" xfId="31771"/>
    <cellStyle name="汇总 4 3 2 3 2 2" xfId="31773"/>
    <cellStyle name="汇总 4 3 2 3 3" xfId="31774"/>
    <cellStyle name="汇总 4 3 2 3 3 2" xfId="31776"/>
    <cellStyle name="汇总 4 3 2 3 4" xfId="31777"/>
    <cellStyle name="汇总 4 3 2 4" xfId="28191"/>
    <cellStyle name="汇总 4 3 2 4 2" xfId="29267"/>
    <cellStyle name="汇总 4 3 2 5" xfId="28193"/>
    <cellStyle name="汇总 4 3 3" xfId="31778"/>
    <cellStyle name="汇总 4 3 3 2" xfId="25780"/>
    <cellStyle name="汇总 4 3 3 2 2" xfId="30283"/>
    <cellStyle name="汇总 4 3 3 3" xfId="25783"/>
    <cellStyle name="汇总 4 3 3 3 2" xfId="31780"/>
    <cellStyle name="汇总 4 3 3 4" xfId="25787"/>
    <cellStyle name="汇总 4 3 3 4 2" xfId="17052"/>
    <cellStyle name="汇总 4 3 3 5" xfId="25789"/>
    <cellStyle name="汇总 4 3 4" xfId="31781"/>
    <cellStyle name="汇总 4 3 4 2" xfId="31783"/>
    <cellStyle name="汇总 4 3 4 2 2" xfId="31785"/>
    <cellStyle name="汇总 4 3 4 3" xfId="31787"/>
    <cellStyle name="汇总 4 3 4 3 2" xfId="31788"/>
    <cellStyle name="汇总 4 3 4 4" xfId="31789"/>
    <cellStyle name="汇总 4 3 5" xfId="31790"/>
    <cellStyle name="汇总 4 3 5 2" xfId="8263"/>
    <cellStyle name="汇总 4 3 6" xfId="31791"/>
    <cellStyle name="汇总 4 3 7" xfId="24933"/>
    <cellStyle name="汇总 4 4" xfId="19741"/>
    <cellStyle name="汇总 4 4 2" xfId="31792"/>
    <cellStyle name="汇总 4 4 2 2" xfId="10926"/>
    <cellStyle name="汇总 4 4 2 2 2" xfId="10931"/>
    <cellStyle name="汇总 4 4 2 3" xfId="10934"/>
    <cellStyle name="汇总 4 4 2 3 2" xfId="5690"/>
    <cellStyle name="汇总 4 4 2 4" xfId="28352"/>
    <cellStyle name="汇总 4 4 2 4 2" xfId="5793"/>
    <cellStyle name="汇总 4 4 2 5" xfId="28354"/>
    <cellStyle name="汇总 4 4 3" xfId="31793"/>
    <cellStyle name="汇总 4 4 3 2" xfId="10943"/>
    <cellStyle name="汇总 4 4 3 2 2" xfId="10947"/>
    <cellStyle name="汇总 4 4 3 3" xfId="10950"/>
    <cellStyle name="汇总 4 4 3 3 2" xfId="6231"/>
    <cellStyle name="汇总 4 4 3 4" xfId="31796"/>
    <cellStyle name="汇总 4 4 4" xfId="8714"/>
    <cellStyle name="汇总 4 4 4 2" xfId="29648"/>
    <cellStyle name="汇总 4 4 5" xfId="19749"/>
    <cellStyle name="汇总 4 5" xfId="31797"/>
    <cellStyle name="汇总 4 5 2" xfId="31798"/>
    <cellStyle name="汇总 4 5 2 2" xfId="11473"/>
    <cellStyle name="汇总 4 5 2 2 2" xfId="11476"/>
    <cellStyle name="汇总 4 5 2 3" xfId="11480"/>
    <cellStyle name="汇总 4 5 2 3 2" xfId="31800"/>
    <cellStyle name="汇总 4 5 2 4" xfId="31803"/>
    <cellStyle name="汇总 4 5 2 4 2" xfId="31804"/>
    <cellStyle name="汇总 4 5 2 5" xfId="31805"/>
    <cellStyle name="汇总 4 5 3" xfId="31806"/>
    <cellStyle name="汇总 4 5 3 2" xfId="11491"/>
    <cellStyle name="汇总 4 5 3 2 2" xfId="11495"/>
    <cellStyle name="汇总 4 5 3 3" xfId="11499"/>
    <cellStyle name="汇总 4 5 3 3 2" xfId="23442"/>
    <cellStyle name="汇总 4 5 3 4" xfId="31807"/>
    <cellStyle name="汇总 4 5 4" xfId="31808"/>
    <cellStyle name="汇总 4 5 4 2" xfId="31809"/>
    <cellStyle name="汇总 4 5 5" xfId="19752"/>
    <cellStyle name="汇总 4 6" xfId="15138"/>
    <cellStyle name="汇总 4 6 2" xfId="19819"/>
    <cellStyle name="汇总 4 6 2 2" xfId="11709"/>
    <cellStyle name="汇总 4 6 3" xfId="19823"/>
    <cellStyle name="汇总 4 6 3 2" xfId="11731"/>
    <cellStyle name="汇总 4 6 4" xfId="19825"/>
    <cellStyle name="汇总 4 6 4 2" xfId="23181"/>
    <cellStyle name="汇总 4 6 5" xfId="19755"/>
    <cellStyle name="汇总 4 7" xfId="31810"/>
    <cellStyle name="汇总 4 7 2" xfId="14582"/>
    <cellStyle name="汇总 4 7 2 2" xfId="14584"/>
    <cellStyle name="汇总 4 7 3" xfId="14593"/>
    <cellStyle name="汇总 4 7 3 2" xfId="14595"/>
    <cellStyle name="汇总 4 7 4" xfId="14598"/>
    <cellStyle name="汇总 4 7 4 2" xfId="31812"/>
    <cellStyle name="汇总 4 7 5" xfId="19758"/>
    <cellStyle name="汇总 4 8" xfId="31813"/>
    <cellStyle name="汇总 4 8 2" xfId="14646"/>
    <cellStyle name="汇总 4 8 2 2" xfId="14648"/>
    <cellStyle name="汇总 4 8 3" xfId="14651"/>
    <cellStyle name="汇总 4 8 3 2" xfId="26129"/>
    <cellStyle name="汇总 4 8 4" xfId="31814"/>
    <cellStyle name="汇总 4 8 4 2" xfId="31815"/>
    <cellStyle name="汇总 4 8 5" xfId="31816"/>
    <cellStyle name="汇总 4 9" xfId="28251"/>
    <cellStyle name="汇总 5" xfId="31818"/>
    <cellStyle name="汇总 5 2" xfId="31819"/>
    <cellStyle name="汇总 5 2 2" xfId="41"/>
    <cellStyle name="汇总 5 2 2 2" xfId="31820"/>
    <cellStyle name="汇总 5 2 2 2 2" xfId="31821"/>
    <cellStyle name="汇总 5 2 2 2 2 2" xfId="20166"/>
    <cellStyle name="汇总 5 2 2 2 3" xfId="13520"/>
    <cellStyle name="汇总 5 2 2 2 3 2" xfId="28976"/>
    <cellStyle name="汇总 5 2 2 2 4" xfId="31822"/>
    <cellStyle name="汇总 5 2 2 2 4 2" xfId="31823"/>
    <cellStyle name="汇总 5 2 2 2 5" xfId="14071"/>
    <cellStyle name="汇总 5 2 2 3" xfId="31824"/>
    <cellStyle name="汇总 5 2 2 3 2" xfId="31825"/>
    <cellStyle name="汇总 5 2 2 3 2 2" xfId="31826"/>
    <cellStyle name="汇总 5 2 2 3 3" xfId="13523"/>
    <cellStyle name="汇总 5 2 2 3 3 2" xfId="31827"/>
    <cellStyle name="汇总 5 2 2 3 4" xfId="15412"/>
    <cellStyle name="汇总 5 2 2 4" xfId="31828"/>
    <cellStyle name="汇总 5 2 2 4 2" xfId="31829"/>
    <cellStyle name="汇总 5 2 2 5" xfId="493"/>
    <cellStyle name="汇总 5 2 3" xfId="10788"/>
    <cellStyle name="汇总 5 2 3 2" xfId="10790"/>
    <cellStyle name="汇总 5 2 3 2 2" xfId="31830"/>
    <cellStyle name="汇总 5 2 3 3" xfId="31831"/>
    <cellStyle name="汇总 5 2 3 3 2" xfId="31832"/>
    <cellStyle name="汇总 5 2 3 4" xfId="31833"/>
    <cellStyle name="汇总 5 2 3 4 2" xfId="31834"/>
    <cellStyle name="汇总 5 2 3 5" xfId="525"/>
    <cellStyle name="汇总 5 2 4" xfId="10792"/>
    <cellStyle name="汇总 5 2 4 2" xfId="10794"/>
    <cellStyle name="汇总 5 2 4 2 2" xfId="31835"/>
    <cellStyle name="汇总 5 2 4 3" xfId="31836"/>
    <cellStyle name="汇总 5 2 4 3 2" xfId="31837"/>
    <cellStyle name="汇总 5 2 4 4" xfId="31838"/>
    <cellStyle name="汇总 5 2 5" xfId="10797"/>
    <cellStyle name="汇总 5 2 5 2" xfId="10799"/>
    <cellStyle name="汇总 5 2 6" xfId="10801"/>
    <cellStyle name="汇总 5 2 7" xfId="31839"/>
    <cellStyle name="汇总 5 3" xfId="13487"/>
    <cellStyle name="汇总 5 3 2" xfId="13938"/>
    <cellStyle name="汇总 5 3 2 2" xfId="3640"/>
    <cellStyle name="汇总 5 3 2 2 2" xfId="3645"/>
    <cellStyle name="汇总 5 3 2 2 2 2" xfId="31841"/>
    <cellStyle name="汇总 5 3 2 2 3" xfId="31843"/>
    <cellStyle name="汇总 5 3 2 2 3 2" xfId="31845"/>
    <cellStyle name="汇总 5 3 2 2 4" xfId="31847"/>
    <cellStyle name="汇总 5 3 2 2 4 2" xfId="25160"/>
    <cellStyle name="汇总 5 3 2 2 5" xfId="14259"/>
    <cellStyle name="汇总 5 3 2 3" xfId="2929"/>
    <cellStyle name="汇总 5 3 2 3 2" xfId="26810"/>
    <cellStyle name="汇总 5 3 2 3 2 2" xfId="31848"/>
    <cellStyle name="汇总 5 3 2 3 3" xfId="31849"/>
    <cellStyle name="汇总 5 3 2 3 3 2" xfId="27910"/>
    <cellStyle name="汇总 5 3 2 3 4" xfId="15489"/>
    <cellStyle name="汇总 5 3 2 4" xfId="31852"/>
    <cellStyle name="汇总 5 3 2 4 2" xfId="26822"/>
    <cellStyle name="汇总 5 3 2 5" xfId="31853"/>
    <cellStyle name="汇总 5 3 3" xfId="10804"/>
    <cellStyle name="汇总 5 3 3 2" xfId="10807"/>
    <cellStyle name="汇总 5 3 3 2 2" xfId="31855"/>
    <cellStyle name="汇总 5 3 3 3" xfId="30185"/>
    <cellStyle name="汇总 5 3 3 3 2" xfId="30188"/>
    <cellStyle name="汇总 5 3 3 4" xfId="30193"/>
    <cellStyle name="汇总 5 3 3 4 2" xfId="30195"/>
    <cellStyle name="汇总 5 3 3 5" xfId="30198"/>
    <cellStyle name="汇总 5 3 4" xfId="10809"/>
    <cellStyle name="汇总 5 3 4 2" xfId="10812"/>
    <cellStyle name="汇总 5 3 4 2 2" xfId="30272"/>
    <cellStyle name="汇总 5 3 4 3" xfId="30275"/>
    <cellStyle name="汇总 5 3 4 3 2" xfId="31856"/>
    <cellStyle name="汇总 5 3 4 4" xfId="31857"/>
    <cellStyle name="汇总 5 3 5" xfId="10815"/>
    <cellStyle name="汇总 5 3 5 2" xfId="31858"/>
    <cellStyle name="汇总 5 3 6" xfId="31859"/>
    <cellStyle name="汇总 5 3 7" xfId="31860"/>
    <cellStyle name="汇总 5 4" xfId="13941"/>
    <cellStyle name="汇总 5 4 2" xfId="13943"/>
    <cellStyle name="汇总 5 4 2 2" xfId="31862"/>
    <cellStyle name="汇总 5 4 2 2 2" xfId="12689"/>
    <cellStyle name="汇总 5 4 2 3" xfId="31864"/>
    <cellStyle name="汇总 5 4 2 3 2" xfId="12708"/>
    <cellStyle name="汇总 5 4 2 4" xfId="31867"/>
    <cellStyle name="汇总 5 4 2 4 2" xfId="31868"/>
    <cellStyle name="汇总 5 4 2 5" xfId="30968"/>
    <cellStyle name="汇总 5 4 3" xfId="10818"/>
    <cellStyle name="汇总 5 4 3 2" xfId="31870"/>
    <cellStyle name="汇总 5 4 3 2 2" xfId="12734"/>
    <cellStyle name="汇总 5 4 3 3" xfId="31872"/>
    <cellStyle name="汇总 5 4 3 3 2" xfId="31874"/>
    <cellStyle name="汇总 5 4 3 4" xfId="31877"/>
    <cellStyle name="汇总 5 4 4" xfId="31878"/>
    <cellStyle name="汇总 5 4 4 2" xfId="31880"/>
    <cellStyle name="汇总 5 4 5" xfId="31881"/>
    <cellStyle name="汇总 5 5" xfId="13945"/>
    <cellStyle name="汇总 5 5 2" xfId="13947"/>
    <cellStyle name="汇总 5 5 2 2" xfId="28773"/>
    <cellStyle name="汇总 5 5 2 2 2" xfId="21797"/>
    <cellStyle name="汇总 5 5 2 3" xfId="27428"/>
    <cellStyle name="汇总 5 5 2 3 2" xfId="31883"/>
    <cellStyle name="汇总 5 5 2 4" xfId="27433"/>
    <cellStyle name="汇总 5 5 2 4 2" xfId="31884"/>
    <cellStyle name="汇总 5 5 2 5" xfId="31885"/>
    <cellStyle name="汇总 5 5 3" xfId="31886"/>
    <cellStyle name="汇总 5 5 3 2" xfId="31888"/>
    <cellStyle name="汇总 5 5 3 2 2" xfId="31890"/>
    <cellStyle name="汇总 5 5 3 3" xfId="27438"/>
    <cellStyle name="汇总 5 5 3 3 2" xfId="29988"/>
    <cellStyle name="汇总 5 5 3 4" xfId="27440"/>
    <cellStyle name="汇总 5 5 4" xfId="22364"/>
    <cellStyle name="汇总 5 5 4 2" xfId="31891"/>
    <cellStyle name="汇总 5 5 5" xfId="31892"/>
    <cellStyle name="汇总 5 6" xfId="13951"/>
    <cellStyle name="汇总 5 6 2" xfId="31893"/>
    <cellStyle name="汇总 5 6 2 2" xfId="31896"/>
    <cellStyle name="汇总 5 6 3" xfId="31897"/>
    <cellStyle name="汇总 5 6 3 2" xfId="31900"/>
    <cellStyle name="汇总 5 6 4" xfId="22367"/>
    <cellStyle name="汇总 5 6 4 2" xfId="21"/>
    <cellStyle name="汇总 5 6 5" xfId="31901"/>
    <cellStyle name="汇总 5 7" xfId="31902"/>
    <cellStyle name="汇总 5 7 2" xfId="14792"/>
    <cellStyle name="汇总 5 7 2 2" xfId="14795"/>
    <cellStyle name="汇总 5 7 3" xfId="14797"/>
    <cellStyle name="汇总 5 7 3 2" xfId="31904"/>
    <cellStyle name="汇总 5 7 4" xfId="22371"/>
    <cellStyle name="汇总 5 7 4 2" xfId="31905"/>
    <cellStyle name="汇总 5 7 5" xfId="31906"/>
    <cellStyle name="汇总 5 8" xfId="31907"/>
    <cellStyle name="汇总 5 8 2" xfId="14828"/>
    <cellStyle name="汇总 5 8 2 2" xfId="31909"/>
    <cellStyle name="汇总 5 8 3" xfId="31910"/>
    <cellStyle name="汇总 5 8 3 2" xfId="27383"/>
    <cellStyle name="汇总 5 8 4" xfId="22374"/>
    <cellStyle name="汇总 5 8 4 2" xfId="20464"/>
    <cellStyle name="汇总 5 8 5" xfId="31911"/>
    <cellStyle name="汇总 5 9" xfId="28254"/>
    <cellStyle name="汇总 6" xfId="31912"/>
    <cellStyle name="汇总 6 2" xfId="22140"/>
    <cellStyle name="汇总 6 2 2" xfId="22143"/>
    <cellStyle name="汇总 6 2 2 2" xfId="7711"/>
    <cellStyle name="汇总 6 2 2 2 2" xfId="7713"/>
    <cellStyle name="汇总 6 2 2 2 2 2" xfId="31913"/>
    <cellStyle name="汇总 6 2 2 2 3" xfId="11763"/>
    <cellStyle name="汇总 6 2 2 2 3 2" xfId="31914"/>
    <cellStyle name="汇总 6 2 2 2 4" xfId="12446"/>
    <cellStyle name="汇总 6 2 2 2 4 2" xfId="21735"/>
    <cellStyle name="汇总 6 2 2 2 5" xfId="14641"/>
    <cellStyle name="汇总 6 2 2 3" xfId="7715"/>
    <cellStyle name="汇总 6 2 2 3 2" xfId="22229"/>
    <cellStyle name="汇总 6 2 2 3 2 2" xfId="22231"/>
    <cellStyle name="汇总 6 2 2 3 3" xfId="22234"/>
    <cellStyle name="汇总 6 2 2 3 3 2" xfId="10665"/>
    <cellStyle name="汇总 6 2 2 3 4" xfId="15699"/>
    <cellStyle name="汇总 6 2 2 4" xfId="31915"/>
    <cellStyle name="汇总 6 2 2 4 2" xfId="31916"/>
    <cellStyle name="汇总 6 2 2 5" xfId="31917"/>
    <cellStyle name="汇总 6 2 3" xfId="10826"/>
    <cellStyle name="汇总 6 2 3 2" xfId="7725"/>
    <cellStyle name="汇总 6 2 3 2 2" xfId="27028"/>
    <cellStyle name="汇总 6 2 3 3" xfId="31918"/>
    <cellStyle name="汇总 6 2 3 3 2" xfId="27035"/>
    <cellStyle name="汇总 6 2 3 4" xfId="31919"/>
    <cellStyle name="汇总 6 2 3 4 2" xfId="31920"/>
    <cellStyle name="汇总 6 2 3 5" xfId="31921"/>
    <cellStyle name="汇总 6 2 4" xfId="31923"/>
    <cellStyle name="汇总 6 2 4 2" xfId="31924"/>
    <cellStyle name="汇总 6 2 4 2 2" xfId="31925"/>
    <cellStyle name="汇总 6 2 4 3" xfId="31926"/>
    <cellStyle name="汇总 6 2 4 3 2" xfId="31927"/>
    <cellStyle name="汇总 6 2 4 4" xfId="31928"/>
    <cellStyle name="汇总 6 2 5" xfId="31929"/>
    <cellStyle name="汇总 6 2 5 2" xfId="31931"/>
    <cellStyle name="汇总 6 2 6" xfId="31932"/>
    <cellStyle name="汇总 6 2 7" xfId="13200"/>
    <cellStyle name="汇总 6 3" xfId="13954"/>
    <cellStyle name="汇总 6 3 2" xfId="13958"/>
    <cellStyle name="汇总 6 3 2 2" xfId="31935"/>
    <cellStyle name="汇总 6 3 2 2 2" xfId="23332"/>
    <cellStyle name="汇总 6 3 2 2 2 2" xfId="31937"/>
    <cellStyle name="汇总 6 3 2 2 3" xfId="23335"/>
    <cellStyle name="汇总 6 3 2 2 3 2" xfId="31938"/>
    <cellStyle name="汇总 6 3 2 2 4" xfId="12476"/>
    <cellStyle name="汇总 6 3 2 2 4 2" xfId="31941"/>
    <cellStyle name="汇总 6 3 2 2 5" xfId="23338"/>
    <cellStyle name="汇总 6 3 2 3" xfId="31944"/>
    <cellStyle name="汇总 6 3 2 3 2" xfId="31946"/>
    <cellStyle name="汇总 6 3 2 3 2 2" xfId="12541"/>
    <cellStyle name="汇总 6 3 2 3 3" xfId="31947"/>
    <cellStyle name="汇总 6 3 2 3 3 2" xfId="22583"/>
    <cellStyle name="汇总 6 3 2 3 4" xfId="15728"/>
    <cellStyle name="汇总 6 3 2 4" xfId="31950"/>
    <cellStyle name="汇总 6 3 2 4 2" xfId="31951"/>
    <cellStyle name="汇总 6 3 2 5" xfId="31952"/>
    <cellStyle name="汇总 6 3 3" xfId="10830"/>
    <cellStyle name="汇总 6 3 3 2" xfId="31954"/>
    <cellStyle name="汇总 6 3 3 2 2" xfId="23518"/>
    <cellStyle name="汇总 6 3 3 3" xfId="31956"/>
    <cellStyle name="汇总 6 3 3 3 2" xfId="31958"/>
    <cellStyle name="汇总 6 3 3 4" xfId="31961"/>
    <cellStyle name="汇总 6 3 3 4 2" xfId="31962"/>
    <cellStyle name="汇总 6 3 3 5" xfId="19775"/>
    <cellStyle name="汇总 6 3 4" xfId="31963"/>
    <cellStyle name="汇总 6 3 4 2" xfId="29337"/>
    <cellStyle name="汇总 6 3 4 2 2" xfId="29340"/>
    <cellStyle name="汇总 6 3 4 3" xfId="29343"/>
    <cellStyle name="汇总 6 3 4 3 2" xfId="31964"/>
    <cellStyle name="汇总 6 3 4 4" xfId="31965"/>
    <cellStyle name="汇总 6 3 5" xfId="31966"/>
    <cellStyle name="汇总 6 3 5 2" xfId="31968"/>
    <cellStyle name="汇总 6 3 6" xfId="31969"/>
    <cellStyle name="汇总 6 3 7" xfId="13203"/>
    <cellStyle name="汇总 6 4" xfId="13961"/>
    <cellStyle name="汇总 6 4 2" xfId="13964"/>
    <cellStyle name="汇总 6 4 2 2" xfId="31971"/>
    <cellStyle name="汇总 6 4 2 2 2" xfId="26897"/>
    <cellStyle name="汇总 6 4 2 3" xfId="31973"/>
    <cellStyle name="汇总 6 4 2 3 2" xfId="31975"/>
    <cellStyle name="汇总 6 4 2 4" xfId="31978"/>
    <cellStyle name="汇总 6 4 2 4 2" xfId="31979"/>
    <cellStyle name="汇总 6 4 2 5" xfId="31980"/>
    <cellStyle name="汇总 6 4 3" xfId="10833"/>
    <cellStyle name="汇总 6 4 3 2" xfId="31982"/>
    <cellStyle name="汇总 6 4 3 2 2" xfId="31984"/>
    <cellStyle name="汇总 6 4 3 3" xfId="31986"/>
    <cellStyle name="汇总 6 4 3 3 2" xfId="22438"/>
    <cellStyle name="汇总 6 4 3 4" xfId="31989"/>
    <cellStyle name="汇总 6 4 4" xfId="31990"/>
    <cellStyle name="汇总 6 4 4 2" xfId="30470"/>
    <cellStyle name="汇总 6 4 5" xfId="31991"/>
    <cellStyle name="汇总 6 5" xfId="13968"/>
    <cellStyle name="汇总 6 5 2" xfId="31994"/>
    <cellStyle name="汇总 6 5 2 2" xfId="31996"/>
    <cellStyle name="汇总 6 5 2 2 2" xfId="27337"/>
    <cellStyle name="汇总 6 5 2 3" xfId="31998"/>
    <cellStyle name="汇总 6 5 2 3 2" xfId="12714"/>
    <cellStyle name="汇总 6 5 2 4" xfId="32001"/>
    <cellStyle name="汇总 6 5 2 4 2" xfId="12838"/>
    <cellStyle name="汇总 6 5 2 5" xfId="32002"/>
    <cellStyle name="汇总 6 5 3" xfId="32003"/>
    <cellStyle name="汇总 6 5 3 2" xfId="32005"/>
    <cellStyle name="汇总 6 5 3 2 2" xfId="21085"/>
    <cellStyle name="汇总 6 5 3 3" xfId="32007"/>
    <cellStyle name="汇总 6 5 3 3 2" xfId="13226"/>
    <cellStyle name="汇总 6 5 3 4" xfId="32008"/>
    <cellStyle name="汇总 6 5 4" xfId="32009"/>
    <cellStyle name="汇总 6 5 4 2" xfId="32010"/>
    <cellStyle name="汇总 6 5 5" xfId="29627"/>
    <cellStyle name="汇总 6 6" xfId="32012"/>
    <cellStyle name="汇总 6 6 2" xfId="32014"/>
    <cellStyle name="汇总 6 6 2 2" xfId="19792"/>
    <cellStyle name="汇总 6 6 3" xfId="32015"/>
    <cellStyle name="汇总 6 6 3 2" xfId="30931"/>
    <cellStyle name="汇总 6 6 4" xfId="32016"/>
    <cellStyle name="汇总 6 6 4 2" xfId="32017"/>
    <cellStyle name="汇总 6 6 5" xfId="32018"/>
    <cellStyle name="汇总 6 7" xfId="15993"/>
    <cellStyle name="汇总 6 7 2" xfId="14970"/>
    <cellStyle name="汇总 6 7 2 2" xfId="14974"/>
    <cellStyle name="汇总 6 7 3" xfId="14975"/>
    <cellStyle name="汇总 6 7 3 2" xfId="30154"/>
    <cellStyle name="汇总 6 7 4" xfId="32019"/>
    <cellStyle name="汇总 6 7 4 2" xfId="32021"/>
    <cellStyle name="汇总 6 7 5" xfId="32022"/>
    <cellStyle name="汇总 6 8" xfId="32024"/>
    <cellStyle name="汇总 6 8 2" xfId="15003"/>
    <cellStyle name="汇总 6 8 2 2" xfId="23802"/>
    <cellStyle name="汇总 6 8 3" xfId="30288"/>
    <cellStyle name="汇总 6 8 3 2" xfId="23845"/>
    <cellStyle name="汇总 6 8 4" xfId="32025"/>
    <cellStyle name="汇总 6 8 4 2" xfId="23911"/>
    <cellStyle name="汇总 6 8 5" xfId="32026"/>
    <cellStyle name="汇总 6 9" xfId="28294"/>
    <cellStyle name="汇总 7" xfId="24369"/>
    <cellStyle name="汇总 7 2" xfId="28334"/>
    <cellStyle name="汇总 7 2 2" xfId="32028"/>
    <cellStyle name="汇总 7 2 2 2" xfId="32030"/>
    <cellStyle name="汇总 7 2 2 2 2" xfId="32031"/>
    <cellStyle name="汇总 7 2 2 2 2 2" xfId="31445"/>
    <cellStyle name="汇总 7 2 2 2 3" xfId="32032"/>
    <cellStyle name="汇总 7 2 2 2 3 2" xfId="31734"/>
    <cellStyle name="汇总 7 2 2 2 4" xfId="13082"/>
    <cellStyle name="汇总 7 2 2 2 4 2" xfId="31811"/>
    <cellStyle name="汇总 7 2 2 2 5" xfId="32034"/>
    <cellStyle name="汇总 7 2 2 3" xfId="28472"/>
    <cellStyle name="汇总 7 2 2 3 2" xfId="32035"/>
    <cellStyle name="汇总 7 2 2 3 2 2" xfId="32036"/>
    <cellStyle name="汇总 7 2 2 3 3" xfId="32037"/>
    <cellStyle name="汇总 7 2 2 3 3 2" xfId="32038"/>
    <cellStyle name="汇总 7 2 2 3 4" xfId="14871"/>
    <cellStyle name="汇总 7 2 2 4" xfId="28474"/>
    <cellStyle name="汇总 7 2 2 4 2" xfId="32039"/>
    <cellStyle name="汇总 7 2 2 5" xfId="28476"/>
    <cellStyle name="汇总 7 2 3" xfId="10843"/>
    <cellStyle name="汇总 7 2 3 2" xfId="32041"/>
    <cellStyle name="汇总 7 2 3 2 2" xfId="32042"/>
    <cellStyle name="汇总 7 2 3 3" xfId="28479"/>
    <cellStyle name="汇总 7 2 3 3 2" xfId="32043"/>
    <cellStyle name="汇总 7 2 3 4" xfId="28481"/>
    <cellStyle name="汇总 7 2 3 4 2" xfId="32044"/>
    <cellStyle name="汇总 7 2 3 5" xfId="32045"/>
    <cellStyle name="汇总 7 2 4" xfId="32047"/>
    <cellStyle name="汇总 7 2 4 2" xfId="24659"/>
    <cellStyle name="汇总 7 2 4 2 2" xfId="32048"/>
    <cellStyle name="汇总 7 2 4 3" xfId="28484"/>
    <cellStyle name="汇总 7 2 4 3 2" xfId="32049"/>
    <cellStyle name="汇总 7 2 4 4" xfId="28486"/>
    <cellStyle name="汇总 7 2 5" xfId="32050"/>
    <cellStyle name="汇总 7 2 5 2" xfId="32051"/>
    <cellStyle name="汇总 7 2 6" xfId="32052"/>
    <cellStyle name="汇总 7 2 7" xfId="13210"/>
    <cellStyle name="汇总 7 3" xfId="13972"/>
    <cellStyle name="汇总 7 3 2" xfId="32054"/>
    <cellStyle name="汇总 7 3 2 2" xfId="32056"/>
    <cellStyle name="汇总 7 3 2 2 2" xfId="32057"/>
    <cellStyle name="汇总 7 3 2 2 2 2" xfId="32058"/>
    <cellStyle name="汇总 7 3 2 2 3" xfId="32059"/>
    <cellStyle name="汇总 7 3 2 2 3 2" xfId="32060"/>
    <cellStyle name="汇总 7 3 2 2 4" xfId="13133"/>
    <cellStyle name="汇总 7 3 2 2 4 2" xfId="32061"/>
    <cellStyle name="汇总 7 3 2 2 5" xfId="22194"/>
    <cellStyle name="汇总 7 3 2 3" xfId="28550"/>
    <cellStyle name="汇总 7 3 2 3 2" xfId="7799"/>
    <cellStyle name="汇总 7 3 2 3 2 2" xfId="7803"/>
    <cellStyle name="汇总 7 3 2 3 3" xfId="7807"/>
    <cellStyle name="汇总 7 3 2 3 3 2" xfId="7811"/>
    <cellStyle name="汇总 7 3 2 3 4" xfId="15047"/>
    <cellStyle name="汇总 7 3 2 4" xfId="28552"/>
    <cellStyle name="汇总 7 3 2 4 2" xfId="32062"/>
    <cellStyle name="汇总 7 3 2 5" xfId="32063"/>
    <cellStyle name="汇总 7 3 3" xfId="10847"/>
    <cellStyle name="汇总 7 3 3 2" xfId="32064"/>
    <cellStyle name="汇总 7 3 3 2 2" xfId="32065"/>
    <cellStyle name="汇总 7 3 3 3" xfId="32066"/>
    <cellStyle name="汇总 7 3 3 3 2" xfId="32068"/>
    <cellStyle name="汇总 7 3 3 4" xfId="32069"/>
    <cellStyle name="汇总 7 3 3 4 2" xfId="32070"/>
    <cellStyle name="汇总 7 3 3 5" xfId="32071"/>
    <cellStyle name="汇总 7 3 4" xfId="32072"/>
    <cellStyle name="汇总 7 3 4 2" xfId="32073"/>
    <cellStyle name="汇总 7 3 4 2 2" xfId="32074"/>
    <cellStyle name="汇总 7 3 4 3" xfId="32075"/>
    <cellStyle name="汇总 7 3 4 3 2" xfId="32077"/>
    <cellStyle name="汇总 7 3 4 4" xfId="32078"/>
    <cellStyle name="汇总 7 3 5" xfId="32079"/>
    <cellStyle name="汇总 7 3 5 2" xfId="32080"/>
    <cellStyle name="汇总 7 3 6" xfId="32081"/>
    <cellStyle name="汇总 7 3 7" xfId="32083"/>
    <cellStyle name="汇总 7 4" xfId="21382"/>
    <cellStyle name="汇总 7 4 2" xfId="21384"/>
    <cellStyle name="汇总 7 4 2 2" xfId="21386"/>
    <cellStyle name="汇总 7 4 2 2 2" xfId="32084"/>
    <cellStyle name="汇总 7 4 2 3" xfId="32085"/>
    <cellStyle name="汇总 7 4 2 3 2" xfId="32086"/>
    <cellStyle name="汇总 7 4 2 4" xfId="32087"/>
    <cellStyle name="汇总 7 4 2 4 2" xfId="27603"/>
    <cellStyle name="汇总 7 4 2 5" xfId="32088"/>
    <cellStyle name="汇总 7 4 3" xfId="21388"/>
    <cellStyle name="汇总 7 4 3 2" xfId="21390"/>
    <cellStyle name="汇总 7 4 3 2 2" xfId="27275"/>
    <cellStyle name="汇总 7 4 3 3" xfId="32089"/>
    <cellStyle name="汇总 7 4 3 3 2" xfId="27761"/>
    <cellStyle name="汇总 7 4 3 4" xfId="32090"/>
    <cellStyle name="汇总 7 4 4" xfId="21392"/>
    <cellStyle name="汇总 7 4 4 2" xfId="21394"/>
    <cellStyle name="汇总 7 4 5" xfId="21396"/>
    <cellStyle name="汇总 7 5" xfId="32092"/>
    <cellStyle name="汇总 7 5 2" xfId="18915"/>
    <cellStyle name="汇总 7 5 2 2" xfId="18193"/>
    <cellStyle name="汇总 7 5 2 2 2" xfId="18916"/>
    <cellStyle name="汇总 7 5 2 3" xfId="18924"/>
    <cellStyle name="汇总 7 5 2 3 2" xfId="18926"/>
    <cellStyle name="汇总 7 5 2 4" xfId="18929"/>
    <cellStyle name="汇总 7 5 2 4 2" xfId="27354"/>
    <cellStyle name="汇总 7 5 2 5" xfId="18931"/>
    <cellStyle name="汇总 7 5 3" xfId="18937"/>
    <cellStyle name="汇总 7 5 3 2" xfId="18939"/>
    <cellStyle name="汇总 7 5 3 2 2" xfId="18941"/>
    <cellStyle name="汇总 7 5 3 3" xfId="18949"/>
    <cellStyle name="汇总 7 5 3 3 2" xfId="18951"/>
    <cellStyle name="汇总 7 5 3 4" xfId="18954"/>
    <cellStyle name="汇总 7 5 4" xfId="18959"/>
    <cellStyle name="汇总 7 5 4 2" xfId="18961"/>
    <cellStyle name="汇总 7 5 5" xfId="18991"/>
    <cellStyle name="汇总 7 6" xfId="32094"/>
    <cellStyle name="汇总 7 6 2" xfId="32096"/>
    <cellStyle name="汇总 7 6 2 2" xfId="8839"/>
    <cellStyle name="汇总 7 6 3" xfId="32097"/>
    <cellStyle name="汇总 7 6 3 2" xfId="32099"/>
    <cellStyle name="汇总 7 6 4" xfId="32100"/>
    <cellStyle name="汇总 7 6 4 2" xfId="32101"/>
    <cellStyle name="汇总 7 6 5" xfId="32102"/>
    <cellStyle name="汇总 7 7" xfId="15999"/>
    <cellStyle name="汇总 7 7 2" xfId="15077"/>
    <cellStyle name="汇总 7 7 2 2" xfId="32104"/>
    <cellStyle name="汇总 7 7 3" xfId="32105"/>
    <cellStyle name="汇总 7 7 3 2" xfId="32107"/>
    <cellStyle name="汇总 7 7 4" xfId="32108"/>
    <cellStyle name="汇总 7 7 4 2" xfId="32109"/>
    <cellStyle name="汇总 7 7 5" xfId="32110"/>
    <cellStyle name="汇总 7 8" xfId="1444"/>
    <cellStyle name="汇总 7 8 2" xfId="671"/>
    <cellStyle name="汇总 7 8 2 2" xfId="4067"/>
    <cellStyle name="汇总 7 8 3" xfId="4073"/>
    <cellStyle name="汇总 7 8 3 2" xfId="4079"/>
    <cellStyle name="汇总 7 8 4" xfId="4082"/>
    <cellStyle name="汇总 7 8 4 2" xfId="4084"/>
    <cellStyle name="汇总 7 8 5" xfId="4090"/>
    <cellStyle name="汇总 7 9" xfId="536"/>
    <cellStyle name="汇总 8" xfId="24372"/>
    <cellStyle name="汇总 8 2" xfId="28336"/>
    <cellStyle name="汇总 8 2 2" xfId="31086"/>
    <cellStyle name="汇总 8 2 2 2" xfId="31089"/>
    <cellStyle name="汇总 8 2 2 2 2" xfId="28617"/>
    <cellStyle name="汇总 8 2 2 2 2 2" xfId="8394"/>
    <cellStyle name="汇总 8 2 2 2 3" xfId="28619"/>
    <cellStyle name="汇总 8 2 2 2 3 2" xfId="32111"/>
    <cellStyle name="汇总 8 2 2 2 4" xfId="3929"/>
    <cellStyle name="汇总 8 2 2 2 4 2" xfId="17450"/>
    <cellStyle name="汇总 8 2 2 2 5" xfId="23767"/>
    <cellStyle name="汇总 8 2 2 3" xfId="32112"/>
    <cellStyle name="汇总 8 2 2 3 2" xfId="32113"/>
    <cellStyle name="汇总 8 2 2 3 2 2" xfId="23215"/>
    <cellStyle name="汇总 8 2 2 3 3" xfId="32114"/>
    <cellStyle name="汇总 8 2 2 3 3 2" xfId="17988"/>
    <cellStyle name="汇总 8 2 2 3 4" xfId="13874"/>
    <cellStyle name="汇总 8 2 2 4" xfId="31772"/>
    <cellStyle name="汇总 8 2 2 4 2" xfId="32115"/>
    <cellStyle name="汇总 8 2 2 5" xfId="32116"/>
    <cellStyle name="汇总 8 2 3" xfId="31092"/>
    <cellStyle name="汇总 8 2 3 2" xfId="31094"/>
    <cellStyle name="汇总 8 2 3 2 2" xfId="27451"/>
    <cellStyle name="汇总 8 2 3 3" xfId="32117"/>
    <cellStyle name="汇总 8 2 3 3 2" xfId="32118"/>
    <cellStyle name="汇总 8 2 3 4" xfId="31775"/>
    <cellStyle name="汇总 8 2 3 4 2" xfId="20232"/>
    <cellStyle name="汇总 8 2 3 5" xfId="32119"/>
    <cellStyle name="汇总 8 2 4" xfId="31096"/>
    <cellStyle name="汇总 8 2 4 2" xfId="31098"/>
    <cellStyle name="汇总 8 2 4 2 2" xfId="27620"/>
    <cellStyle name="汇总 8 2 4 3" xfId="32120"/>
    <cellStyle name="汇总 8 2 4 3 2" xfId="32121"/>
    <cellStyle name="汇总 8 2 4 4" xfId="32122"/>
    <cellStyle name="汇总 8 2 5" xfId="31100"/>
    <cellStyle name="汇总 8 2 5 2" xfId="32123"/>
    <cellStyle name="汇总 8 2 6" xfId="32124"/>
    <cellStyle name="汇总 8 3" xfId="31102"/>
    <cellStyle name="汇总 8 3 2" xfId="31104"/>
    <cellStyle name="汇总 8 3 2 2" xfId="31106"/>
    <cellStyle name="汇总 8 3 2 2 2" xfId="32125"/>
    <cellStyle name="汇总 8 3 2 2 2 2" xfId="17825"/>
    <cellStyle name="汇总 8 3 2 2 3" xfId="32126"/>
    <cellStyle name="汇总 8 3 2 2 3 2" xfId="17832"/>
    <cellStyle name="汇总 8 3 2 2 4" xfId="32127"/>
    <cellStyle name="汇总 8 3 2 2 4 2" xfId="32129"/>
    <cellStyle name="汇总 8 3 2 2 5" xfId="24240"/>
    <cellStyle name="汇总 8 3 2 3" xfId="25199"/>
    <cellStyle name="汇总 8 3 2 3 2" xfId="25202"/>
    <cellStyle name="汇总 8 3 2 3 2 2" xfId="32130"/>
    <cellStyle name="汇总 8 3 2 3 3" xfId="32131"/>
    <cellStyle name="汇总 8 3 2 3 3 2" xfId="32132"/>
    <cellStyle name="汇总 8 3 2 3 4" xfId="32133"/>
    <cellStyle name="汇总 8 3 2 4" xfId="25205"/>
    <cellStyle name="汇总 8 3 2 4 2" xfId="25211"/>
    <cellStyle name="汇总 8 3 2 5" xfId="25214"/>
    <cellStyle name="汇总 8 3 3" xfId="31108"/>
    <cellStyle name="汇总 8 3 3 2" xfId="31110"/>
    <cellStyle name="汇总 8 3 3 2 2" xfId="32134"/>
    <cellStyle name="汇总 8 3 3 3" xfId="25221"/>
    <cellStyle name="汇总 8 3 3 3 2" xfId="25224"/>
    <cellStyle name="汇总 8 3 3 4" xfId="21845"/>
    <cellStyle name="汇总 8 3 3 4 2" xfId="25227"/>
    <cellStyle name="汇总 8 3 3 5" xfId="25230"/>
    <cellStyle name="汇总 8 3 4" xfId="31112"/>
    <cellStyle name="汇总 8 3 4 2" xfId="32135"/>
    <cellStyle name="汇总 8 3 4 2 2" xfId="16334"/>
    <cellStyle name="汇总 8 3 4 3" xfId="19242"/>
    <cellStyle name="汇总 8 3 4 3 2" xfId="16365"/>
    <cellStyle name="汇总 8 3 4 4" xfId="19248"/>
    <cellStyle name="汇总 8 3 5" xfId="32136"/>
    <cellStyle name="汇总 8 3 5 2" xfId="32137"/>
    <cellStyle name="汇总 8 3 6" xfId="29"/>
    <cellStyle name="汇总 8 4" xfId="31114"/>
    <cellStyle name="汇总 8 4 2" xfId="31116"/>
    <cellStyle name="汇总 8 4 2 2" xfId="32138"/>
    <cellStyle name="汇总 8 4 2 2 2" xfId="32139"/>
    <cellStyle name="汇总 8 4 2 3" xfId="32140"/>
    <cellStyle name="汇总 8 4 2 3 2" xfId="32141"/>
    <cellStyle name="汇总 8 4 2 4" xfId="32142"/>
    <cellStyle name="汇总 8 4 2 4 2" xfId="18431"/>
    <cellStyle name="汇总 8 4 2 5" xfId="27969"/>
    <cellStyle name="汇总 8 4 3" xfId="32143"/>
    <cellStyle name="汇总 8 4 3 2" xfId="32144"/>
    <cellStyle name="汇总 8 4 3 2 2" xfId="30540"/>
    <cellStyle name="汇总 8 4 3 3" xfId="32145"/>
    <cellStyle name="汇总 8 4 3 3 2" xfId="32146"/>
    <cellStyle name="汇总 8 4 3 4" xfId="32147"/>
    <cellStyle name="汇总 8 4 4" xfId="32148"/>
    <cellStyle name="汇总 8 4 4 2" xfId="32149"/>
    <cellStyle name="汇总 8 4 5" xfId="32150"/>
    <cellStyle name="汇总 8 5" xfId="31119"/>
    <cellStyle name="汇总 8 5 2" xfId="32151"/>
    <cellStyle name="汇总 8 5 2 2" xfId="32152"/>
    <cellStyle name="汇总 8 5 2 2 2" xfId="30909"/>
    <cellStyle name="汇总 8 5 2 3" xfId="32153"/>
    <cellStyle name="汇总 8 5 2 3 2" xfId="32154"/>
    <cellStyle name="汇总 8 5 2 4" xfId="32155"/>
    <cellStyle name="汇总 8 5 2 4 2" xfId="24111"/>
    <cellStyle name="汇总 8 5 2 5" xfId="20265"/>
    <cellStyle name="汇总 8 5 3" xfId="32156"/>
    <cellStyle name="汇总 8 5 3 2" xfId="23023"/>
    <cellStyle name="汇总 8 5 3 2 2" xfId="23025"/>
    <cellStyle name="汇总 8 5 3 3" xfId="23028"/>
    <cellStyle name="汇总 8 5 3 3 2" xfId="23030"/>
    <cellStyle name="汇总 8 5 3 4" xfId="23032"/>
    <cellStyle name="汇总 8 5 4" xfId="32157"/>
    <cellStyle name="汇总 8 5 4 2" xfId="32158"/>
    <cellStyle name="汇总 8 5 5" xfId="23050"/>
    <cellStyle name="汇总 8 6" xfId="31032"/>
    <cellStyle name="汇总 8 6 2" xfId="27858"/>
    <cellStyle name="汇总 8 6 2 2" xfId="32160"/>
    <cellStyle name="汇总 8 6 3" xfId="27861"/>
    <cellStyle name="汇总 8 6 3 2" xfId="32162"/>
    <cellStyle name="汇总 8 6 4" xfId="27864"/>
    <cellStyle name="汇总 8 6 4 2" xfId="32163"/>
    <cellStyle name="汇总 8 6 5" xfId="27867"/>
    <cellStyle name="汇总 8 7" xfId="16002"/>
    <cellStyle name="汇总 8 7 2" xfId="15124"/>
    <cellStyle name="汇总 8 7 2 2" xfId="10421"/>
    <cellStyle name="汇总 8 7 3" xfId="32164"/>
    <cellStyle name="汇总 8 7 3 2" xfId="32166"/>
    <cellStyle name="汇总 8 7 4" xfId="32167"/>
    <cellStyle name="汇总 8 7 4 2" xfId="32168"/>
    <cellStyle name="汇总 8 7 5" xfId="32169"/>
    <cellStyle name="汇总 8 8" xfId="1332"/>
    <cellStyle name="汇总 8 8 2" xfId="4108"/>
    <cellStyle name="汇总 8 8 2 2" xfId="25604"/>
    <cellStyle name="汇总 8 8 3" xfId="32170"/>
    <cellStyle name="汇总 8 8 3 2" xfId="25610"/>
    <cellStyle name="汇总 8 8 4" xfId="32171"/>
    <cellStyle name="汇总 8 8 4 2" xfId="160"/>
    <cellStyle name="汇总 8 8 5" xfId="32172"/>
    <cellStyle name="汇总 8 9" xfId="4114"/>
    <cellStyle name="货币 2" xfId="15597"/>
    <cellStyle name="货币 2 2" xfId="32173"/>
    <cellStyle name="货币 2 3" xfId="32174"/>
    <cellStyle name="货币 2 4" xfId="32175"/>
    <cellStyle name="货币[0] 2" xfId="32177"/>
    <cellStyle name="货币[0] 2 2" xfId="15340"/>
    <cellStyle name="货币[0] 2 3" xfId="4945"/>
    <cellStyle name="货币[0] 2 4" xfId="20632"/>
    <cellStyle name="计算" xfId="25127"/>
    <cellStyle name="计算 2" xfId="25189"/>
    <cellStyle name="计算 2 10" xfId="16822"/>
    <cellStyle name="计算 2 10 2" xfId="32178"/>
    <cellStyle name="计算 2 10 2 2" xfId="21802"/>
    <cellStyle name="计算 2 10 2 2 2" xfId="4479"/>
    <cellStyle name="计算 2 10 2 2 2 2" xfId="21805"/>
    <cellStyle name="计算 2 10 2 2 3" xfId="19796"/>
    <cellStyle name="计算 2 10 2 2 3 2" xfId="19898"/>
    <cellStyle name="计算 2 10 2 2 4" xfId="19858"/>
    <cellStyle name="计算 2 10 2 2 4 2" xfId="21807"/>
    <cellStyle name="计算 2 10 2 2 5" xfId="11080"/>
    <cellStyle name="计算 2 10 2 3" xfId="19502"/>
    <cellStyle name="计算 2 10 2 3 2" xfId="4535"/>
    <cellStyle name="计算 2 10 2 3 2 2" xfId="32179"/>
    <cellStyle name="计算 2 10 2 3 3" xfId="32180"/>
    <cellStyle name="计算 2 10 2 3 3 2" xfId="10967"/>
    <cellStyle name="计算 2 10 2 3 4" xfId="19862"/>
    <cellStyle name="计算 2 10 2 4" xfId="32181"/>
    <cellStyle name="计算 2 10 2 4 2" xfId="4596"/>
    <cellStyle name="计算 2 10 2 5" xfId="17139"/>
    <cellStyle name="计算 2 10 3" xfId="32182"/>
    <cellStyle name="计算 2 10 3 2" xfId="19292"/>
    <cellStyle name="计算 2 10 3 2 2" xfId="9527"/>
    <cellStyle name="计算 2 10 3 3" xfId="19507"/>
    <cellStyle name="计算 2 10 3 3 2" xfId="9541"/>
    <cellStyle name="计算 2 10 3 4" xfId="32183"/>
    <cellStyle name="计算 2 10 3 4 2" xfId="9552"/>
    <cellStyle name="计算 2 10 3 5" xfId="17151"/>
    <cellStyle name="计算 2 10 4" xfId="32184"/>
    <cellStyle name="计算 2 10 4 2" xfId="32185"/>
    <cellStyle name="计算 2 10 4 2 2" xfId="9665"/>
    <cellStyle name="计算 2 10 4 3" xfId="32186"/>
    <cellStyle name="计算 2 10 4 3 2" xfId="32187"/>
    <cellStyle name="计算 2 10 4 4" xfId="12004"/>
    <cellStyle name="计算 2 10 5" xfId="32188"/>
    <cellStyle name="计算 2 10 5 2" xfId="11591"/>
    <cellStyle name="计算 2 10 6" xfId="23580"/>
    <cellStyle name="计算 2 10 7" xfId="23582"/>
    <cellStyle name="计算 2 11" xfId="2201"/>
    <cellStyle name="计算 2 11 2" xfId="2204"/>
    <cellStyle name="计算 2 11 2 2" xfId="32189"/>
    <cellStyle name="计算 2 11 2 2 2" xfId="32190"/>
    <cellStyle name="计算 2 11 2 3" xfId="32191"/>
    <cellStyle name="计算 2 11 2 3 2" xfId="32192"/>
    <cellStyle name="计算 2 11 2 4" xfId="32193"/>
    <cellStyle name="计算 2 11 2 4 2" xfId="32194"/>
    <cellStyle name="计算 2 11 2 5" xfId="32195"/>
    <cellStyle name="计算 2 11 3" xfId="32196"/>
    <cellStyle name="计算 2 11 3 2" xfId="32197"/>
    <cellStyle name="计算 2 11 3 2 2" xfId="32198"/>
    <cellStyle name="计算 2 11 3 3" xfId="32199"/>
    <cellStyle name="计算 2 11 3 3 2" xfId="32200"/>
    <cellStyle name="计算 2 11 3 4" xfId="32201"/>
    <cellStyle name="计算 2 11 4" xfId="32202"/>
    <cellStyle name="计算 2 11 4 2" xfId="29394"/>
    <cellStyle name="计算 2 11 5" xfId="32203"/>
    <cellStyle name="计算 2 11 6" xfId="32204"/>
    <cellStyle name="计算 2 12" xfId="2206"/>
    <cellStyle name="计算 2 12 2" xfId="2208"/>
    <cellStyle name="计算 2 12 2 2" xfId="94"/>
    <cellStyle name="计算 2 12 2 2 2" xfId="32205"/>
    <cellStyle name="计算 2 12 2 3" xfId="97"/>
    <cellStyle name="计算 2 12 2 3 2" xfId="27324"/>
    <cellStyle name="计算 2 12 2 4" xfId="111"/>
    <cellStyle name="计算 2 12 2 4 2" xfId="28559"/>
    <cellStyle name="计算 2 12 2 5" xfId="32206"/>
    <cellStyle name="计算 2 12 3" xfId="32207"/>
    <cellStyle name="计算 2 12 3 2" xfId="32208"/>
    <cellStyle name="计算 2 12 3 2 2" xfId="32209"/>
    <cellStyle name="计算 2 12 3 3" xfId="32210"/>
    <cellStyle name="计算 2 12 3 3 2" xfId="32211"/>
    <cellStyle name="计算 2 12 3 4" xfId="32212"/>
    <cellStyle name="计算 2 12 4" xfId="32213"/>
    <cellStyle name="计算 2 12 4 2" xfId="32214"/>
    <cellStyle name="计算 2 12 5" xfId="32215"/>
    <cellStyle name="计算 2 12 6" xfId="20163"/>
    <cellStyle name="计算 2 13" xfId="2210"/>
    <cellStyle name="计算 2 13 2" xfId="2215"/>
    <cellStyle name="计算 2 13 2 2" xfId="32216"/>
    <cellStyle name="计算 2 13 3" xfId="32217"/>
    <cellStyle name="计算 2 13 3 2" xfId="32218"/>
    <cellStyle name="计算 2 13 4" xfId="32219"/>
    <cellStyle name="计算 2 13 4 2" xfId="32220"/>
    <cellStyle name="计算 2 13 5" xfId="21792"/>
    <cellStyle name="计算 2 13 6" xfId="21794"/>
    <cellStyle name="计算 2 14" xfId="2218"/>
    <cellStyle name="计算 2 14 2" xfId="32221"/>
    <cellStyle name="计算 2 14 2 2" xfId="16259"/>
    <cellStyle name="计算 2 14 3" xfId="12513"/>
    <cellStyle name="计算 2 14 3 2" xfId="12515"/>
    <cellStyle name="计算 2 14 4" xfId="12531"/>
    <cellStyle name="计算 2 14 4 2" xfId="16683"/>
    <cellStyle name="计算 2 14 5" xfId="30014"/>
    <cellStyle name="计算 2 14 6" xfId="30644"/>
    <cellStyle name="计算 2 15" xfId="32222"/>
    <cellStyle name="计算 2 15 2" xfId="11343"/>
    <cellStyle name="计算 2 15 2 2" xfId="32223"/>
    <cellStyle name="计算 2 15 3" xfId="19544"/>
    <cellStyle name="计算 2 15 3 2" xfId="32224"/>
    <cellStyle name="计算 2 15 4" xfId="32226"/>
    <cellStyle name="计算 2 15 4 2" xfId="32227"/>
    <cellStyle name="计算 2 15 5" xfId="30016"/>
    <cellStyle name="计算 2 15 6" xfId="32228"/>
    <cellStyle name="计算 2 16" xfId="32229"/>
    <cellStyle name="计算 2 16 2" xfId="11364"/>
    <cellStyle name="计算 2 16 3" xfId="32230"/>
    <cellStyle name="计算 2 17" xfId="32231"/>
    <cellStyle name="计算 2 17 2" xfId="18092"/>
    <cellStyle name="计算 2 18" xfId="32232"/>
    <cellStyle name="计算 2 19" xfId="32234"/>
    <cellStyle name="计算 2 2" xfId="32235"/>
    <cellStyle name="计算 2 2 2" xfId="32237"/>
    <cellStyle name="计算 2 2 2 2" xfId="32238"/>
    <cellStyle name="计算 2 2 2 2 2" xfId="32239"/>
    <cellStyle name="计算 2 2 2 2 2 2" xfId="32240"/>
    <cellStyle name="计算 2 2 2 2 2 2 2" xfId="32241"/>
    <cellStyle name="计算 2 2 2 2 2 3" xfId="32242"/>
    <cellStyle name="计算 2 2 2 2 2 3 2" xfId="11449"/>
    <cellStyle name="计算 2 2 2 2 2 4" xfId="32243"/>
    <cellStyle name="计算 2 2 2 2 2 4 2" xfId="11460"/>
    <cellStyle name="计算 2 2 2 2 2 5" xfId="32244"/>
    <cellStyle name="计算 2 2 2 2 3" xfId="14379"/>
    <cellStyle name="计算 2 2 2 2 3 2" xfId="19511"/>
    <cellStyle name="计算 2 2 2 2 3 2 2" xfId="32245"/>
    <cellStyle name="计算 2 2 2 2 3 3" xfId="32246"/>
    <cellStyle name="计算 2 2 2 2 3 3 2" xfId="32247"/>
    <cellStyle name="计算 2 2 2 2 3 4" xfId="32248"/>
    <cellStyle name="计算 2 2 2 2 4" xfId="19513"/>
    <cellStyle name="计算 2 2 2 2 4 2" xfId="19515"/>
    <cellStyle name="计算 2 2 2 2 5" xfId="4918"/>
    <cellStyle name="计算 2 2 2 3" xfId="32249"/>
    <cellStyle name="计算 2 2 2 3 2" xfId="32250"/>
    <cellStyle name="计算 2 2 2 3 2 2" xfId="32251"/>
    <cellStyle name="计算 2 2 2 3 3" xfId="32252"/>
    <cellStyle name="计算 2 2 2 3 3 2" xfId="32253"/>
    <cellStyle name="计算 2 2 2 3 4" xfId="32254"/>
    <cellStyle name="计算 2 2 2 3 4 2" xfId="32255"/>
    <cellStyle name="计算 2 2 2 3 5" xfId="32256"/>
    <cellStyle name="计算 2 2 2 4" xfId="32257"/>
    <cellStyle name="计算 2 2 2 4 2" xfId="32258"/>
    <cellStyle name="计算 2 2 2 4 2 2" xfId="32259"/>
    <cellStyle name="计算 2 2 2 4 3" xfId="32260"/>
    <cellStyle name="计算 2 2 2 4 3 2" xfId="32261"/>
    <cellStyle name="计算 2 2 2 4 4" xfId="32262"/>
    <cellStyle name="计算 2 2 2 5" xfId="32263"/>
    <cellStyle name="计算 2 2 2 5 2" xfId="16852"/>
    <cellStyle name="计算 2 2 2 6" xfId="32264"/>
    <cellStyle name="计算 2 2 2 7" xfId="25976"/>
    <cellStyle name="计算 2 2 3" xfId="32265"/>
    <cellStyle name="计算 2 2 3 2" xfId="32266"/>
    <cellStyle name="计算 2 2 3 2 2" xfId="17196"/>
    <cellStyle name="计算 2 2 3 2 2 2" xfId="7889"/>
    <cellStyle name="计算 2 2 3 2 2 2 2" xfId="7892"/>
    <cellStyle name="计算 2 2 3 2 2 3" xfId="7894"/>
    <cellStyle name="计算 2 2 3 2 2 3 2" xfId="32233"/>
    <cellStyle name="计算 2 2 3 2 2 4" xfId="7896"/>
    <cellStyle name="计算 2 2 3 2 2 4 2" xfId="12809"/>
    <cellStyle name="计算 2 2 3 2 2 5" xfId="13644"/>
    <cellStyle name="计算 2 2 3 2 3" xfId="14451"/>
    <cellStyle name="计算 2 2 3 2 3 2" xfId="32267"/>
    <cellStyle name="计算 2 2 3 2 3 2 2" xfId="23586"/>
    <cellStyle name="计算 2 2 3 2 3 3" xfId="32268"/>
    <cellStyle name="计算 2 2 3 2 3 3 2" xfId="22361"/>
    <cellStyle name="计算 2 2 3 2 3 4" xfId="28444"/>
    <cellStyle name="计算 2 2 3 2 4" xfId="17199"/>
    <cellStyle name="计算 2 2 3 2 4 2" xfId="29994"/>
    <cellStyle name="计算 2 2 3 2 5" xfId="8454"/>
    <cellStyle name="计算 2 2 3 3" xfId="32269"/>
    <cellStyle name="计算 2 2 3 3 2" xfId="17209"/>
    <cellStyle name="计算 2 2 3 3 2 2" xfId="7928"/>
    <cellStyle name="计算 2 2 3 3 3" xfId="17212"/>
    <cellStyle name="计算 2 2 3 3 3 2" xfId="32270"/>
    <cellStyle name="计算 2 2 3 3 4" xfId="17215"/>
    <cellStyle name="计算 2 2 3 3 4 2" xfId="32271"/>
    <cellStyle name="计算 2 2 3 3 5" xfId="8477"/>
    <cellStyle name="计算 2 2 3 4" xfId="32272"/>
    <cellStyle name="计算 2 2 3 4 2" xfId="17225"/>
    <cellStyle name="计算 2 2 3 4 2 2" xfId="7970"/>
    <cellStyle name="计算 2 2 3 4 3" xfId="17228"/>
    <cellStyle name="计算 2 2 3 4 3 2" xfId="23093"/>
    <cellStyle name="计算 2 2 3 4 4" xfId="17231"/>
    <cellStyle name="计算 2 2 3 5" xfId="32273"/>
    <cellStyle name="计算 2 2 3 5 2" xfId="17243"/>
    <cellStyle name="计算 2 2 3 6" xfId="10530"/>
    <cellStyle name="计算 2 2 4" xfId="32274"/>
    <cellStyle name="计算 2 2 4 2" xfId="32275"/>
    <cellStyle name="计算 2 2 4 2 2" xfId="8910"/>
    <cellStyle name="计算 2 2 4 2 2 2" xfId="32276"/>
    <cellStyle name="计算 2 2 4 2 3" xfId="32277"/>
    <cellStyle name="计算 2 2 4 2 3 2" xfId="32278"/>
    <cellStyle name="计算 2 2 4 2 4" xfId="32279"/>
    <cellStyle name="计算 2 2 4 2 4 2" xfId="32280"/>
    <cellStyle name="计算 2 2 4 2 5" xfId="8489"/>
    <cellStyle name="计算 2 2 4 3" xfId="32281"/>
    <cellStyle name="计算 2 2 4 3 2" xfId="32282"/>
    <cellStyle name="计算 2 2 4 3 2 2" xfId="32283"/>
    <cellStyle name="计算 2 2 4 3 3" xfId="32284"/>
    <cellStyle name="计算 2 2 4 3 3 2" xfId="169"/>
    <cellStyle name="计算 2 2 4 3 4" xfId="32285"/>
    <cellStyle name="计算 2 2 4 4" xfId="32286"/>
    <cellStyle name="计算 2 2 4 4 2" xfId="20822"/>
    <cellStyle name="计算 2 2 4 5" xfId="32287"/>
    <cellStyle name="计算 2 2 5" xfId="32288"/>
    <cellStyle name="计算 2 2 5 2" xfId="32289"/>
    <cellStyle name="计算 2 2 5 2 2" xfId="30309"/>
    <cellStyle name="计算 2 2 5 2 2 2" xfId="26423"/>
    <cellStyle name="计算 2 2 5 2 3" xfId="26963"/>
    <cellStyle name="计算 2 2 5 2 3 2" xfId="26966"/>
    <cellStyle name="计算 2 2 5 2 4" xfId="26970"/>
    <cellStyle name="计算 2 2 5 2 4 2" xfId="26973"/>
    <cellStyle name="计算 2 2 5 2 5" xfId="8532"/>
    <cellStyle name="计算 2 2 5 3" xfId="32290"/>
    <cellStyle name="计算 2 2 5 3 2" xfId="32291"/>
    <cellStyle name="计算 2 2 5 3 2 2" xfId="26575"/>
    <cellStyle name="计算 2 2 5 3 3" xfId="32292"/>
    <cellStyle name="计算 2 2 5 3 3 2" xfId="32293"/>
    <cellStyle name="计算 2 2 5 3 4" xfId="32294"/>
    <cellStyle name="计算 2 2 5 4" xfId="32295"/>
    <cellStyle name="计算 2 2 5 4 2" xfId="32296"/>
    <cellStyle name="计算 2 2 5 5" xfId="32297"/>
    <cellStyle name="计算 2 2 6" xfId="32298"/>
    <cellStyle name="计算 2 2 6 2" xfId="32299"/>
    <cellStyle name="计算 2 2 6 2 2" xfId="11510"/>
    <cellStyle name="计算 2 2 6 3" xfId="32300"/>
    <cellStyle name="计算 2 2 6 3 2" xfId="11520"/>
    <cellStyle name="计算 2 2 6 4" xfId="18963"/>
    <cellStyle name="计算 2 2 6 4 2" xfId="29455"/>
    <cellStyle name="计算 2 2 6 5" xfId="18967"/>
    <cellStyle name="计算 2 2 7" xfId="32301"/>
    <cellStyle name="计算 2 2 7 2" xfId="32302"/>
    <cellStyle name="计算 2 2 7 2 2" xfId="32303"/>
    <cellStyle name="计算 2 2 7 3" xfId="32304"/>
    <cellStyle name="计算 2 2 7 3 2" xfId="32306"/>
    <cellStyle name="计算 2 2 7 4" xfId="18980"/>
    <cellStyle name="计算 2 2 7 4 2" xfId="32307"/>
    <cellStyle name="计算 2 2 7 5" xfId="18983"/>
    <cellStyle name="计算 2 2 8" xfId="32308"/>
    <cellStyle name="计算 2 2 8 2" xfId="32309"/>
    <cellStyle name="计算 2 2 8 2 2" xfId="32310"/>
    <cellStyle name="计算 2 2 8 3" xfId="22107"/>
    <cellStyle name="计算 2 2 8 3 2" xfId="32311"/>
    <cellStyle name="计算 2 2 8 4" xfId="32312"/>
    <cellStyle name="计算 2 2 8 4 2" xfId="32313"/>
    <cellStyle name="计算 2 2 8 5" xfId="22806"/>
    <cellStyle name="计算 2 2 9" xfId="32314"/>
    <cellStyle name="计算 2 3" xfId="32315"/>
    <cellStyle name="计算 2 3 2" xfId="30164"/>
    <cellStyle name="计算 2 3 2 2" xfId="30166"/>
    <cellStyle name="计算 2 3 2 2 2" xfId="19183"/>
    <cellStyle name="计算 2 3 2 2 2 2" xfId="19185"/>
    <cellStyle name="计算 2 3 2 2 2 2 2" xfId="28597"/>
    <cellStyle name="计算 2 3 2 2 2 3" xfId="32316"/>
    <cellStyle name="计算 2 3 2 2 2 3 2" xfId="7020"/>
    <cellStyle name="计算 2 3 2 2 2 4" xfId="32317"/>
    <cellStyle name="计算 2 3 2 2 2 4 2" xfId="7036"/>
    <cellStyle name="计算 2 3 2 2 2 5" xfId="32318"/>
    <cellStyle name="计算 2 3 2 2 3" xfId="15809"/>
    <cellStyle name="计算 2 3 2 2 3 2" xfId="32319"/>
    <cellStyle name="计算 2 3 2 2 3 2 2" xfId="22268"/>
    <cellStyle name="计算 2 3 2 2 3 3" xfId="32320"/>
    <cellStyle name="计算 2 3 2 2 3 3 2" xfId="1051"/>
    <cellStyle name="计算 2 3 2 2 3 4" xfId="27388"/>
    <cellStyle name="计算 2 3 2 2 4" xfId="32321"/>
    <cellStyle name="计算 2 3 2 2 4 2" xfId="32322"/>
    <cellStyle name="计算 2 3 2 2 5" xfId="32323"/>
    <cellStyle name="计算 2 3 2 3" xfId="32324"/>
    <cellStyle name="计算 2 3 2 3 2" xfId="32325"/>
    <cellStyle name="计算 2 3 2 3 2 2" xfId="32326"/>
    <cellStyle name="计算 2 3 2 3 3" xfId="20024"/>
    <cellStyle name="计算 2 3 2 3 3 2" xfId="32327"/>
    <cellStyle name="计算 2 3 2 3 4" xfId="32328"/>
    <cellStyle name="计算 2 3 2 3 4 2" xfId="32329"/>
    <cellStyle name="计算 2 3 2 3 5" xfId="32330"/>
    <cellStyle name="计算 2 3 2 4" xfId="21352"/>
    <cellStyle name="计算 2 3 2 4 2" xfId="32331"/>
    <cellStyle name="计算 2 3 2 4 2 2" xfId="32332"/>
    <cellStyle name="计算 2 3 2 4 3" xfId="32333"/>
    <cellStyle name="计算 2 3 2 4 3 2" xfId="32334"/>
    <cellStyle name="计算 2 3 2 4 4" xfId="29056"/>
    <cellStyle name="计算 2 3 2 5" xfId="32335"/>
    <cellStyle name="计算 2 3 2 5 2" xfId="32336"/>
    <cellStyle name="计算 2 3 2 6" xfId="32337"/>
    <cellStyle name="计算 2 3 2 7" xfId="26181"/>
    <cellStyle name="计算 2 3 3" xfId="30168"/>
    <cellStyle name="计算 2 3 3 2" xfId="32338"/>
    <cellStyle name="计算 2 3 3 2 2" xfId="29534"/>
    <cellStyle name="计算 2 3 3 2 2 2" xfId="29536"/>
    <cellStyle name="计算 2 3 3 2 2 2 2" xfId="32339"/>
    <cellStyle name="计算 2 3 3 2 2 3" xfId="12016"/>
    <cellStyle name="计算 2 3 3 2 2 3 2" xfId="12018"/>
    <cellStyle name="计算 2 3 3 2 2 4" xfId="12027"/>
    <cellStyle name="计算 2 3 3 2 2 4 2" xfId="12029"/>
    <cellStyle name="计算 2 3 3 2 2 5" xfId="12038"/>
    <cellStyle name="计算 2 3 3 2 3" xfId="5049"/>
    <cellStyle name="计算 2 3 3 2 3 2" xfId="5385"/>
    <cellStyle name="计算 2 3 3 2 3 2 2" xfId="5388"/>
    <cellStyle name="计算 2 3 3 2 3 3" xfId="5390"/>
    <cellStyle name="计算 2 3 3 2 3 3 2" xfId="5392"/>
    <cellStyle name="计算 2 3 3 2 3 4" xfId="5394"/>
    <cellStyle name="计算 2 3 3 2 4" xfId="5398"/>
    <cellStyle name="计算 2 3 3 2 4 2" xfId="29539"/>
    <cellStyle name="计算 2 3 3 2 5" xfId="29541"/>
    <cellStyle name="计算 2 3 3 3" xfId="32340"/>
    <cellStyle name="计算 2 3 3 3 2" xfId="30322"/>
    <cellStyle name="计算 2 3 3 3 2 2" xfId="32341"/>
    <cellStyle name="计算 2 3 3 3 3" xfId="32342"/>
    <cellStyle name="计算 2 3 3 3 3 2" xfId="32343"/>
    <cellStyle name="计算 2 3 3 3 4" xfId="32344"/>
    <cellStyle name="计算 2 3 3 3 4 2" xfId="32345"/>
    <cellStyle name="计算 2 3 3 3 5" xfId="21071"/>
    <cellStyle name="计算 2 3 3 4" xfId="32346"/>
    <cellStyle name="计算 2 3 3 4 2" xfId="32347"/>
    <cellStyle name="计算 2 3 3 4 2 2" xfId="21379"/>
    <cellStyle name="计算 2 3 3 4 3" xfId="32348"/>
    <cellStyle name="计算 2 3 3 4 3 2" xfId="32349"/>
    <cellStyle name="计算 2 3 3 4 4" xfId="32350"/>
    <cellStyle name="计算 2 3 3 5" xfId="19856"/>
    <cellStyle name="计算 2 3 3 5 2" xfId="19859"/>
    <cellStyle name="计算 2 3 3 6" xfId="10569"/>
    <cellStyle name="计算 2 3 4" xfId="32351"/>
    <cellStyle name="计算 2 3 4 2" xfId="32352"/>
    <cellStyle name="计算 2 3 4 2 2" xfId="9418"/>
    <cellStyle name="计算 2 3 4 2 2 2" xfId="32353"/>
    <cellStyle name="计算 2 3 4 2 3" xfId="32355"/>
    <cellStyle name="计算 2 3 4 2 3 2" xfId="32356"/>
    <cellStyle name="计算 2 3 4 2 4" xfId="32357"/>
    <cellStyle name="计算 2 3 4 2 4 2" xfId="32358"/>
    <cellStyle name="计算 2 3 4 2 5" xfId="32359"/>
    <cellStyle name="计算 2 3 4 3" xfId="32360"/>
    <cellStyle name="计算 2 3 4 3 2" xfId="32361"/>
    <cellStyle name="计算 2 3 4 3 2 2" xfId="32362"/>
    <cellStyle name="计算 2 3 4 3 3" xfId="32363"/>
    <cellStyle name="计算 2 3 4 3 3 2" xfId="32364"/>
    <cellStyle name="计算 2 3 4 3 4" xfId="32365"/>
    <cellStyle name="计算 2 3 4 4" xfId="32366"/>
    <cellStyle name="计算 2 3 4 4 2" xfId="32367"/>
    <cellStyle name="计算 2 3 4 5" xfId="32368"/>
    <cellStyle name="计算 2 3 5" xfId="32369"/>
    <cellStyle name="计算 2 3 5 2" xfId="32370"/>
    <cellStyle name="计算 2 3 5 2 2" xfId="23402"/>
    <cellStyle name="计算 2 3 5 2 2 2" xfId="23189"/>
    <cellStyle name="计算 2 3 5 2 3" xfId="23407"/>
    <cellStyle name="计算 2 3 5 2 3 2" xfId="28139"/>
    <cellStyle name="计算 2 3 5 2 4" xfId="23409"/>
    <cellStyle name="计算 2 3 5 2 4 2" xfId="22988"/>
    <cellStyle name="计算 2 3 5 2 5" xfId="32371"/>
    <cellStyle name="计算 2 3 5 3" xfId="32372"/>
    <cellStyle name="计算 2 3 5 3 2" xfId="24210"/>
    <cellStyle name="计算 2 3 5 3 2 2" xfId="28922"/>
    <cellStyle name="计算 2 3 5 3 3" xfId="26499"/>
    <cellStyle name="计算 2 3 5 3 3 2" xfId="32375"/>
    <cellStyle name="计算 2 3 5 3 4" xfId="26501"/>
    <cellStyle name="计算 2 3 5 4" xfId="32376"/>
    <cellStyle name="计算 2 3 5 4 2" xfId="29387"/>
    <cellStyle name="计算 2 3 5 5" xfId="23122"/>
    <cellStyle name="计算 2 3 6" xfId="32377"/>
    <cellStyle name="计算 2 3 6 2" xfId="32378"/>
    <cellStyle name="计算 2 3 6 2 2" xfId="11575"/>
    <cellStyle name="计算 2 3 6 3" xfId="7369"/>
    <cellStyle name="计算 2 3 6 3 2" xfId="7371"/>
    <cellStyle name="计算 2 3 6 4" xfId="7374"/>
    <cellStyle name="计算 2 3 6 4 2" xfId="7377"/>
    <cellStyle name="计算 2 3 6 5" xfId="7380"/>
    <cellStyle name="计算 2 3 7" xfId="32379"/>
    <cellStyle name="计算 2 3 7 2" xfId="32380"/>
    <cellStyle name="计算 2 3 7 2 2" xfId="18811"/>
    <cellStyle name="计算 2 3 7 3" xfId="7389"/>
    <cellStyle name="计算 2 3 7 3 2" xfId="7392"/>
    <cellStyle name="计算 2 3 7 4" xfId="7394"/>
    <cellStyle name="计算 2 3 7 4 2" xfId="7397"/>
    <cellStyle name="计算 2 3 7 5" xfId="7400"/>
    <cellStyle name="计算 2 3 8" xfId="32381"/>
    <cellStyle name="计算 2 3 8 2" xfId="20509"/>
    <cellStyle name="计算 2 3 8 2 2" xfId="32382"/>
    <cellStyle name="计算 2 3 8 3" xfId="7405"/>
    <cellStyle name="计算 2 3 8 3 2" xfId="32383"/>
    <cellStyle name="计算 2 3 8 4" xfId="32384"/>
    <cellStyle name="计算 2 3 8 4 2" xfId="32385"/>
    <cellStyle name="计算 2 3 8 5" xfId="32386"/>
    <cellStyle name="计算 2 3 9" xfId="32387"/>
    <cellStyle name="计算 2 4" xfId="19474"/>
    <cellStyle name="计算 2 4 2" xfId="19478"/>
    <cellStyle name="计算 2 4 2 2" xfId="19481"/>
    <cellStyle name="计算 2 4 2 2 2" xfId="21758"/>
    <cellStyle name="计算 2 4 2 2 2 2" xfId="21760"/>
    <cellStyle name="计算 2 4 2 2 2 2 2" xfId="32388"/>
    <cellStyle name="计算 2 4 2 2 2 3" xfId="32389"/>
    <cellStyle name="计算 2 4 2 2 2 3 2" xfId="32390"/>
    <cellStyle name="计算 2 4 2 2 2 4" xfId="32391"/>
    <cellStyle name="计算 2 4 2 2 2 4 2" xfId="2230"/>
    <cellStyle name="计算 2 4 2 2 2 5" xfId="32392"/>
    <cellStyle name="计算 2 4 2 2 3" xfId="15830"/>
    <cellStyle name="计算 2 4 2 2 3 2" xfId="21762"/>
    <cellStyle name="计算 2 4 2 2 3 2 2" xfId="30410"/>
    <cellStyle name="计算 2 4 2 2 3 3" xfId="16083"/>
    <cellStyle name="计算 2 4 2 2 3 3 2" xfId="30412"/>
    <cellStyle name="计算 2 4 2 2 3 4" xfId="30414"/>
    <cellStyle name="计算 2 4 2 2 4" xfId="21765"/>
    <cellStyle name="计算 2 4 2 2 4 2" xfId="32393"/>
    <cellStyle name="计算 2 4 2 2 5" xfId="28657"/>
    <cellStyle name="计算 2 4 2 3" xfId="29354"/>
    <cellStyle name="计算 2 4 2 3 2" xfId="32395"/>
    <cellStyle name="计算 2 4 2 3 2 2" xfId="32396"/>
    <cellStyle name="计算 2 4 2 3 3" xfId="32397"/>
    <cellStyle name="计算 2 4 2 3 3 2" xfId="24694"/>
    <cellStyle name="计算 2 4 2 3 4" xfId="32398"/>
    <cellStyle name="计算 2 4 2 3 4 2" xfId="13590"/>
    <cellStyle name="计算 2 4 2 3 5" xfId="28668"/>
    <cellStyle name="计算 2 4 2 4" xfId="32400"/>
    <cellStyle name="计算 2 4 2 4 2" xfId="32401"/>
    <cellStyle name="计算 2 4 2 4 2 2" xfId="32402"/>
    <cellStyle name="计算 2 4 2 4 3" xfId="32403"/>
    <cellStyle name="计算 2 4 2 4 3 2" xfId="26681"/>
    <cellStyle name="计算 2 4 2 4 4" xfId="32404"/>
    <cellStyle name="计算 2 4 2 5" xfId="32405"/>
    <cellStyle name="计算 2 4 2 5 2" xfId="32406"/>
    <cellStyle name="计算 2 4 2 6" xfId="32407"/>
    <cellStyle name="计算 2 4 3" xfId="19483"/>
    <cellStyle name="计算 2 4 3 2" xfId="19486"/>
    <cellStyle name="计算 2 4 3 2 2" xfId="32409"/>
    <cellStyle name="计算 2 4 3 2 2 2" xfId="32410"/>
    <cellStyle name="计算 2 4 3 2 2 2 2" xfId="32411"/>
    <cellStyle name="计算 2 4 3 2 2 3" xfId="32412"/>
    <cellStyle name="计算 2 4 3 2 2 3 2" xfId="20114"/>
    <cellStyle name="计算 2 4 3 2 2 4" xfId="32413"/>
    <cellStyle name="计算 2 4 3 2 2 4 2" xfId="32414"/>
    <cellStyle name="计算 2 4 3 2 2 5" xfId="32415"/>
    <cellStyle name="计算 2 4 3 2 3" xfId="32416"/>
    <cellStyle name="计算 2 4 3 2 3 2" xfId="18945"/>
    <cellStyle name="计算 2 4 3 2 3 2 2" xfId="21875"/>
    <cellStyle name="计算 2 4 3 2 3 3" xfId="12009"/>
    <cellStyle name="计算 2 4 3 2 3 3 2" xfId="32417"/>
    <cellStyle name="计算 2 4 3 2 3 4" xfId="18947"/>
    <cellStyle name="计算 2 4 3 2 4" xfId="32418"/>
    <cellStyle name="计算 2 4 3 2 4 2" xfId="32419"/>
    <cellStyle name="计算 2 4 3 2 5" xfId="28748"/>
    <cellStyle name="计算 2 4 3 3" xfId="29358"/>
    <cellStyle name="计算 2 4 3 3 2" xfId="25983"/>
    <cellStyle name="计算 2 4 3 3 2 2" xfId="25986"/>
    <cellStyle name="计算 2 4 3 3 3" xfId="25991"/>
    <cellStyle name="计算 2 4 3 3 3 2" xfId="18970"/>
    <cellStyle name="计算 2 4 3 3 4" xfId="25994"/>
    <cellStyle name="计算 2 4 3 3 4 2" xfId="25999"/>
    <cellStyle name="计算 2 4 3 3 5" xfId="26004"/>
    <cellStyle name="计算 2 4 3 4" xfId="32421"/>
    <cellStyle name="计算 2 4 3 4 2" xfId="32422"/>
    <cellStyle name="计算 2 4 3 4 2 2" xfId="32423"/>
    <cellStyle name="计算 2 4 3 4 3" xfId="32424"/>
    <cellStyle name="计算 2 4 3 4 3 2" xfId="18994"/>
    <cellStyle name="计算 2 4 3 4 4" xfId="32425"/>
    <cellStyle name="计算 2 4 3 5" xfId="32426"/>
    <cellStyle name="计算 2 4 3 5 2" xfId="32427"/>
    <cellStyle name="计算 2 4 3 6" xfId="10583"/>
    <cellStyle name="计算 2 4 4" xfId="19488"/>
    <cellStyle name="计算 2 4 4 2" xfId="19491"/>
    <cellStyle name="计算 2 4 4 2 2" xfId="32429"/>
    <cellStyle name="计算 2 4 4 2 2 2" xfId="32431"/>
    <cellStyle name="计算 2 4 4 2 3" xfId="32432"/>
    <cellStyle name="计算 2 4 4 2 3 2" xfId="32434"/>
    <cellStyle name="计算 2 4 4 2 4" xfId="28978"/>
    <cellStyle name="计算 2 4 4 2 4 2" xfId="29099"/>
    <cellStyle name="计算 2 4 4 2 5" xfId="20028"/>
    <cellStyle name="计算 2 4 4 3" xfId="32436"/>
    <cellStyle name="计算 2 4 4 3 2" xfId="32438"/>
    <cellStyle name="计算 2 4 4 3 2 2" xfId="32439"/>
    <cellStyle name="计算 2 4 4 3 3" xfId="32440"/>
    <cellStyle name="计算 2 4 4 3 3 2" xfId="32441"/>
    <cellStyle name="计算 2 4 4 3 4" xfId="32442"/>
    <cellStyle name="计算 2 4 4 4" xfId="32444"/>
    <cellStyle name="计算 2 4 4 4 2" xfId="32445"/>
    <cellStyle name="计算 2 4 4 5" xfId="32446"/>
    <cellStyle name="计算 2 4 5" xfId="19493"/>
    <cellStyle name="计算 2 4 5 2" xfId="19496"/>
    <cellStyle name="计算 2 4 5 2 2" xfId="22843"/>
    <cellStyle name="计算 2 4 5 2 2 2" xfId="22845"/>
    <cellStyle name="计算 2 4 5 2 3" xfId="22848"/>
    <cellStyle name="计算 2 4 5 2 3 2" xfId="32447"/>
    <cellStyle name="计算 2 4 5 2 4" xfId="32448"/>
    <cellStyle name="计算 2 4 5 2 4 2" xfId="32449"/>
    <cellStyle name="计算 2 4 5 2 5" xfId="32450"/>
    <cellStyle name="计算 2 4 5 3" xfId="29701"/>
    <cellStyle name="计算 2 4 5 3 2" xfId="29703"/>
    <cellStyle name="计算 2 4 5 3 2 2" xfId="32451"/>
    <cellStyle name="计算 2 4 5 3 3" xfId="32452"/>
    <cellStyle name="计算 2 4 5 3 3 2" xfId="32453"/>
    <cellStyle name="计算 2 4 5 3 4" xfId="32454"/>
    <cellStyle name="计算 2 4 5 4" xfId="29705"/>
    <cellStyle name="计算 2 4 5 4 2" xfId="29707"/>
    <cellStyle name="计算 2 4 5 5" xfId="29709"/>
    <cellStyle name="计算 2 4 6" xfId="19498"/>
    <cellStyle name="计算 2 4 6 2" xfId="32455"/>
    <cellStyle name="计算 2 4 6 2 2" xfId="32456"/>
    <cellStyle name="计算 2 4 6 3" xfId="7413"/>
    <cellStyle name="计算 2 4 6 3 2" xfId="32457"/>
    <cellStyle name="计算 2 4 6 4" xfId="32458"/>
    <cellStyle name="计算 2 4 6 4 2" xfId="32459"/>
    <cellStyle name="计算 2 4 6 5" xfId="32460"/>
    <cellStyle name="计算 2 4 7" xfId="32461"/>
    <cellStyle name="计算 2 4 7 2" xfId="32462"/>
    <cellStyle name="计算 2 4 7 2 2" xfId="32463"/>
    <cellStyle name="计算 2 4 7 3" xfId="7417"/>
    <cellStyle name="计算 2 4 7 3 2" xfId="32464"/>
    <cellStyle name="计算 2 4 7 4" xfId="32465"/>
    <cellStyle name="计算 2 4 7 4 2" xfId="8867"/>
    <cellStyle name="计算 2 4 7 5" xfId="32466"/>
    <cellStyle name="计算 2 4 8" xfId="32467"/>
    <cellStyle name="计算 2 4 8 2" xfId="32468"/>
    <cellStyle name="计算 2 4 8 2 2" xfId="32469"/>
    <cellStyle name="计算 2 4 8 3" xfId="7423"/>
    <cellStyle name="计算 2 4 8 3 2" xfId="27214"/>
    <cellStyle name="计算 2 4 8 4" xfId="32470"/>
    <cellStyle name="计算 2 4 8 4 2" xfId="8931"/>
    <cellStyle name="计算 2 4 8 5" xfId="32471"/>
    <cellStyle name="计算 2 4 9" xfId="32472"/>
    <cellStyle name="计算 2 5" xfId="32473"/>
    <cellStyle name="计算 2 5 2" xfId="32475"/>
    <cellStyle name="计算 2 5 2 2" xfId="24748"/>
    <cellStyle name="计算 2 5 2 2 2" xfId="24751"/>
    <cellStyle name="计算 2 5 2 2 2 2" xfId="9427"/>
    <cellStyle name="计算 2 5 2 2 2 2 2" xfId="9429"/>
    <cellStyle name="计算 2 5 2 2 2 3" xfId="9431"/>
    <cellStyle name="计算 2 5 2 2 2 3 2" xfId="32476"/>
    <cellStyle name="计算 2 5 2 2 2 4" xfId="22097"/>
    <cellStyle name="计算 2 5 2 2 2 4 2" xfId="22100"/>
    <cellStyle name="计算 2 5 2 2 2 5" xfId="22102"/>
    <cellStyle name="计算 2 5 2 2 3" xfId="24753"/>
    <cellStyle name="计算 2 5 2 2 3 2" xfId="9444"/>
    <cellStyle name="计算 2 5 2 2 3 2 2" xfId="15936"/>
    <cellStyle name="计算 2 5 2 2 3 3" xfId="32477"/>
    <cellStyle name="计算 2 5 2 2 3 3 2" xfId="32480"/>
    <cellStyle name="计算 2 5 2 2 3 4" xfId="22110"/>
    <cellStyle name="计算 2 5 2 2 4" xfId="24755"/>
    <cellStyle name="计算 2 5 2 2 4 2" xfId="32481"/>
    <cellStyle name="计算 2 5 2 2 5" xfId="3226"/>
    <cellStyle name="计算 2 5 2 3" xfId="24758"/>
    <cellStyle name="计算 2 5 2 3 2" xfId="24762"/>
    <cellStyle name="计算 2 5 2 3 2 2" xfId="29759"/>
    <cellStyle name="计算 2 5 2 3 3" xfId="24765"/>
    <cellStyle name="计算 2 5 2 3 3 2" xfId="32482"/>
    <cellStyle name="计算 2 5 2 3 4" xfId="24768"/>
    <cellStyle name="计算 2 5 2 3 4 2" xfId="32483"/>
    <cellStyle name="计算 2 5 2 3 5" xfId="3306"/>
    <cellStyle name="计算 2 5 2 4" xfId="24771"/>
    <cellStyle name="计算 2 5 2 4 2" xfId="24774"/>
    <cellStyle name="计算 2 5 2 4 2 2" xfId="32484"/>
    <cellStyle name="计算 2 5 2 4 3" xfId="24776"/>
    <cellStyle name="计算 2 5 2 4 3 2" xfId="30342"/>
    <cellStyle name="计算 2 5 2 4 4" xfId="24778"/>
    <cellStyle name="计算 2 5 2 5" xfId="24780"/>
    <cellStyle name="计算 2 5 2 5 2" xfId="24783"/>
    <cellStyle name="计算 2 5 2 6" xfId="5412"/>
    <cellStyle name="计算 2 5 3" xfId="32485"/>
    <cellStyle name="计算 2 5 3 2" xfId="24868"/>
    <cellStyle name="计算 2 5 3 2 2" xfId="32487"/>
    <cellStyle name="计算 2 5 3 2 2 2" xfId="20771"/>
    <cellStyle name="计算 2 5 3 2 2 2 2" xfId="20775"/>
    <cellStyle name="计算 2 5 3 2 2 3" xfId="20782"/>
    <cellStyle name="计算 2 5 3 2 2 3 2" xfId="20785"/>
    <cellStyle name="计算 2 5 3 2 2 4" xfId="20787"/>
    <cellStyle name="计算 2 5 3 2 2 4 2" xfId="20790"/>
    <cellStyle name="计算 2 5 3 2 2 5" xfId="20792"/>
    <cellStyle name="计算 2 5 3 2 3" xfId="32488"/>
    <cellStyle name="计算 2 5 3 2 3 2" xfId="10441"/>
    <cellStyle name="计算 2 5 3 2 3 2 2" xfId="6134"/>
    <cellStyle name="计算 2 5 3 2 3 3" xfId="10444"/>
    <cellStyle name="计算 2 5 3 2 3 3 2" xfId="6204"/>
    <cellStyle name="计算 2 5 3 2 3 4" xfId="29907"/>
    <cellStyle name="计算 2 5 3 2 4" xfId="32489"/>
    <cellStyle name="计算 2 5 3 2 4 2" xfId="10451"/>
    <cellStyle name="计算 2 5 3 2 5" xfId="3500"/>
    <cellStyle name="计算 2 5 3 3" xfId="24871"/>
    <cellStyle name="计算 2 5 3 3 2" xfId="32491"/>
    <cellStyle name="计算 2 5 3 3 2 2" xfId="10821"/>
    <cellStyle name="计算 2 5 3 3 3" xfId="20888"/>
    <cellStyle name="计算 2 5 3 3 3 2" xfId="10868"/>
    <cellStyle name="计算 2 5 3 3 4" xfId="20890"/>
    <cellStyle name="计算 2 5 3 3 4 2" xfId="10887"/>
    <cellStyle name="计算 2 5 3 3 5" xfId="3537"/>
    <cellStyle name="计算 2 5 3 4" xfId="24875"/>
    <cellStyle name="计算 2 5 3 4 2" xfId="32492"/>
    <cellStyle name="计算 2 5 3 4 2 2" xfId="11346"/>
    <cellStyle name="计算 2 5 3 4 3" xfId="32493"/>
    <cellStyle name="计算 2 5 3 4 3 2" xfId="11401"/>
    <cellStyle name="计算 2 5 3 4 4" xfId="32494"/>
    <cellStyle name="计算 2 5 3 5" xfId="24878"/>
    <cellStyle name="计算 2 5 3 5 2" xfId="32495"/>
    <cellStyle name="计算 2 5 3 6" xfId="24882"/>
    <cellStyle name="计算 2 5 4" xfId="32496"/>
    <cellStyle name="计算 2 5 4 2" xfId="24950"/>
    <cellStyle name="计算 2 5 4 2 2" xfId="21486"/>
    <cellStyle name="计算 2 5 4 2 2 2" xfId="32497"/>
    <cellStyle name="计算 2 5 4 2 3" xfId="32498"/>
    <cellStyle name="计算 2 5 4 2 3 2" xfId="32499"/>
    <cellStyle name="计算 2 5 4 2 4" xfId="32500"/>
    <cellStyle name="计算 2 5 4 2 4 2" xfId="32501"/>
    <cellStyle name="计算 2 5 4 2 5" xfId="3594"/>
    <cellStyle name="计算 2 5 4 3" xfId="24953"/>
    <cellStyle name="计算 2 5 4 3 2" xfId="32503"/>
    <cellStyle name="计算 2 5 4 3 2 2" xfId="32504"/>
    <cellStyle name="计算 2 5 4 3 3" xfId="32505"/>
    <cellStyle name="计算 2 5 4 3 3 2" xfId="8786"/>
    <cellStyle name="计算 2 5 4 3 4" xfId="32506"/>
    <cellStyle name="计算 2 5 4 4" xfId="24956"/>
    <cellStyle name="计算 2 5 4 4 2" xfId="21873"/>
    <cellStyle name="计算 2 5 4 5" xfId="24959"/>
    <cellStyle name="计算 2 5 5" xfId="32507"/>
    <cellStyle name="计算 2 5 5 2" xfId="24981"/>
    <cellStyle name="计算 2 5 5 2 2" xfId="32508"/>
    <cellStyle name="计算 2 5 5 2 2 2" xfId="32509"/>
    <cellStyle name="计算 2 5 5 2 3" xfId="32510"/>
    <cellStyle name="计算 2 5 5 2 3 2" xfId="32511"/>
    <cellStyle name="计算 2 5 5 2 4" xfId="32512"/>
    <cellStyle name="计算 2 5 5 2 4 2" xfId="32513"/>
    <cellStyle name="计算 2 5 5 2 5" xfId="3734"/>
    <cellStyle name="计算 2 5 5 3" xfId="24983"/>
    <cellStyle name="计算 2 5 5 3 2" xfId="32514"/>
    <cellStyle name="计算 2 5 5 3 2 2" xfId="32515"/>
    <cellStyle name="计算 2 5 5 3 3" xfId="32516"/>
    <cellStyle name="计算 2 5 5 3 3 2" xfId="30073"/>
    <cellStyle name="计算 2 5 5 3 4" xfId="32517"/>
    <cellStyle name="计算 2 5 5 4" xfId="24985"/>
    <cellStyle name="计算 2 5 5 4 2" xfId="32518"/>
    <cellStyle name="计算 2 5 5 5" xfId="24987"/>
    <cellStyle name="计算 2 5 6" xfId="32519"/>
    <cellStyle name="计算 2 5 6 2" xfId="25000"/>
    <cellStyle name="计算 2 5 6 2 2" xfId="32520"/>
    <cellStyle name="计算 2 5 6 3" xfId="7431"/>
    <cellStyle name="计算 2 5 6 3 2" xfId="32521"/>
    <cellStyle name="计算 2 5 6 4" xfId="25002"/>
    <cellStyle name="计算 2 5 6 4 2" xfId="32522"/>
    <cellStyle name="计算 2 5 6 5" xfId="25004"/>
    <cellStyle name="计算 2 5 7" xfId="10378"/>
    <cellStyle name="计算 2 5 7 2" xfId="25014"/>
    <cellStyle name="计算 2 5 7 2 2" xfId="32523"/>
    <cellStyle name="计算 2 5 7 3" xfId="7436"/>
    <cellStyle name="计算 2 5 7 3 2" xfId="30528"/>
    <cellStyle name="计算 2 5 7 4" xfId="25016"/>
    <cellStyle name="计算 2 5 7 4 2" xfId="9080"/>
    <cellStyle name="计算 2 5 7 5" xfId="25018"/>
    <cellStyle name="计算 2 5 8" xfId="32524"/>
    <cellStyle name="计算 2 5 8 2" xfId="29010"/>
    <cellStyle name="计算 2 5 8 2 2" xfId="32525"/>
    <cellStyle name="计算 2 5 8 3" xfId="32526"/>
    <cellStyle name="计算 2 5 8 3 2" xfId="32527"/>
    <cellStyle name="计算 2 5 8 4" xfId="32528"/>
    <cellStyle name="计算 2 5 8 4 2" xfId="1149"/>
    <cellStyle name="计算 2 5 8 5" xfId="29015"/>
    <cellStyle name="计算 2 5 9" xfId="32529"/>
    <cellStyle name="计算 2 6" xfId="14887"/>
    <cellStyle name="计算 2 6 2" xfId="14889"/>
    <cellStyle name="计算 2 6 2 2" xfId="14892"/>
    <cellStyle name="计算 2 6 2 2 2" xfId="25340"/>
    <cellStyle name="计算 2 6 2 2 2 2" xfId="32530"/>
    <cellStyle name="计算 2 6 2 2 2 2 2" xfId="4254"/>
    <cellStyle name="计算 2 6 2 2 2 3" xfId="4704"/>
    <cellStyle name="计算 2 6 2 2 2 3 2" xfId="4269"/>
    <cellStyle name="计算 2 6 2 2 2 4" xfId="28223"/>
    <cellStyle name="计算 2 6 2 2 2 4 2" xfId="4290"/>
    <cellStyle name="计算 2 6 2 2 2 5" xfId="32531"/>
    <cellStyle name="计算 2 6 2 2 3" xfId="25342"/>
    <cellStyle name="计算 2 6 2 2 3 2" xfId="32532"/>
    <cellStyle name="计算 2 6 2 2 3 2 2" xfId="2115"/>
    <cellStyle name="计算 2 6 2 2 3 3" xfId="4710"/>
    <cellStyle name="计算 2 6 2 2 3 3 2" xfId="4328"/>
    <cellStyle name="计算 2 6 2 2 3 4" xfId="31082"/>
    <cellStyle name="计算 2 6 2 2 4" xfId="32533"/>
    <cellStyle name="计算 2 6 2 2 4 2" xfId="32534"/>
    <cellStyle name="计算 2 6 2 2 5" xfId="890"/>
    <cellStyle name="计算 2 6 2 3" xfId="25345"/>
    <cellStyle name="计算 2 6 2 3 2" xfId="25348"/>
    <cellStyle name="计算 2 6 2 3 2 2" xfId="32535"/>
    <cellStyle name="计算 2 6 2 3 3" xfId="25350"/>
    <cellStyle name="计算 2 6 2 3 3 2" xfId="32536"/>
    <cellStyle name="计算 2 6 2 3 4" xfId="32537"/>
    <cellStyle name="计算 2 6 2 3 4 2" xfId="32538"/>
    <cellStyle name="计算 2 6 2 3 5" xfId="1282"/>
    <cellStyle name="计算 2 6 2 4" xfId="25353"/>
    <cellStyle name="计算 2 6 2 4 2" xfId="32539"/>
    <cellStyle name="计算 2 6 2 4 2 2" xfId="32540"/>
    <cellStyle name="计算 2 6 2 4 3" xfId="32541"/>
    <cellStyle name="计算 2 6 2 4 3 2" xfId="18632"/>
    <cellStyle name="计算 2 6 2 4 4" xfId="32542"/>
    <cellStyle name="计算 2 6 2 5" xfId="25355"/>
    <cellStyle name="计算 2 6 2 5 2" xfId="32543"/>
    <cellStyle name="计算 2 6 2 6" xfId="25358"/>
    <cellStyle name="计算 2 6 3" xfId="14895"/>
    <cellStyle name="计算 2 6 3 2" xfId="14898"/>
    <cellStyle name="计算 2 6 3 2 2" xfId="25378"/>
    <cellStyle name="计算 2 6 3 2 2 2" xfId="32544"/>
    <cellStyle name="计算 2 6 3 2 2 2 2" xfId="32545"/>
    <cellStyle name="计算 2 6 3 2 2 3" xfId="4770"/>
    <cellStyle name="计算 2 6 3 2 2 3 2" xfId="32546"/>
    <cellStyle name="计算 2 6 3 2 2 4" xfId="32547"/>
    <cellStyle name="计算 2 6 3 2 2 4 2" xfId="11203"/>
    <cellStyle name="计算 2 6 3 2 2 5" xfId="32548"/>
    <cellStyle name="计算 2 6 3 2 3" xfId="25380"/>
    <cellStyle name="计算 2 6 3 2 3 2" xfId="32549"/>
    <cellStyle name="计算 2 6 3 2 3 2 2" xfId="32550"/>
    <cellStyle name="计算 2 6 3 2 3 3" xfId="4776"/>
    <cellStyle name="计算 2 6 3 2 3 3 2" xfId="32551"/>
    <cellStyle name="计算 2 6 3 2 3 4" xfId="32552"/>
    <cellStyle name="计算 2 6 3 2 4" xfId="28109"/>
    <cellStyle name="计算 2 6 3 2 4 2" xfId="32553"/>
    <cellStyle name="计算 2 6 3 2 5" xfId="720"/>
    <cellStyle name="计算 2 6 3 3" xfId="25383"/>
    <cellStyle name="计算 2 6 3 3 2" xfId="25386"/>
    <cellStyle name="计算 2 6 3 3 2 2" xfId="32554"/>
    <cellStyle name="计算 2 6 3 3 3" xfId="25388"/>
    <cellStyle name="计算 2 6 3 3 3 2" xfId="32555"/>
    <cellStyle name="计算 2 6 3 3 4" xfId="28111"/>
    <cellStyle name="计算 2 6 3 3 4 2" xfId="32556"/>
    <cellStyle name="计算 2 6 3 3 5" xfId="3977"/>
    <cellStyle name="计算 2 6 3 4" xfId="25391"/>
    <cellStyle name="计算 2 6 3 4 2" xfId="32557"/>
    <cellStyle name="计算 2 6 3 4 2 2" xfId="22313"/>
    <cellStyle name="计算 2 6 3 4 3" xfId="32558"/>
    <cellStyle name="计算 2 6 3 4 3 2" xfId="32559"/>
    <cellStyle name="计算 2 6 3 4 4" xfId="32560"/>
    <cellStyle name="计算 2 6 3 5" xfId="25393"/>
    <cellStyle name="计算 2 6 3 5 2" xfId="32561"/>
    <cellStyle name="计算 2 6 3 6" xfId="25396"/>
    <cellStyle name="计算 2 6 4" xfId="14901"/>
    <cellStyle name="计算 2 6 4 2" xfId="14904"/>
    <cellStyle name="计算 2 6 4 2 2" xfId="25415"/>
    <cellStyle name="计算 2 6 4 2 2 2" xfId="32562"/>
    <cellStyle name="计算 2 6 4 2 3" xfId="25417"/>
    <cellStyle name="计算 2 6 4 2 3 2" xfId="32563"/>
    <cellStyle name="计算 2 6 4 2 4" xfId="32564"/>
    <cellStyle name="计算 2 6 4 2 4 2" xfId="32565"/>
    <cellStyle name="计算 2 6 4 2 5" xfId="1375"/>
    <cellStyle name="计算 2 6 4 3" xfId="25420"/>
    <cellStyle name="计算 2 6 4 3 2" xfId="25423"/>
    <cellStyle name="计算 2 6 4 3 2 2" xfId="32566"/>
    <cellStyle name="计算 2 6 4 3 3" xfId="25426"/>
    <cellStyle name="计算 2 6 4 3 3 2" xfId="7942"/>
    <cellStyle name="计算 2 6 4 3 4" xfId="32567"/>
    <cellStyle name="计算 2 6 4 4" xfId="25429"/>
    <cellStyle name="计算 2 6 4 4 2" xfId="32568"/>
    <cellStyle name="计算 2 6 4 5" xfId="25431"/>
    <cellStyle name="计算 2 6 5" xfId="14907"/>
    <cellStyle name="计算 2 6 5 2" xfId="25441"/>
    <cellStyle name="计算 2 6 5 2 2" xfId="30039"/>
    <cellStyle name="计算 2 6 5 2 2 2" xfId="30041"/>
    <cellStyle name="计算 2 6 5 2 3" xfId="30043"/>
    <cellStyle name="计算 2 6 5 2 3 2" xfId="30045"/>
    <cellStyle name="计算 2 6 5 2 4" xfId="22240"/>
    <cellStyle name="计算 2 6 5 2 4 2" xfId="22243"/>
    <cellStyle name="计算 2 6 5 2 5" xfId="1388"/>
    <cellStyle name="计算 2 6 5 3" xfId="25443"/>
    <cellStyle name="计算 2 6 5 3 2" xfId="32569"/>
    <cellStyle name="计算 2 6 5 3 2 2" xfId="32570"/>
    <cellStyle name="计算 2 6 5 3 3" xfId="32571"/>
    <cellStyle name="计算 2 6 5 3 3 2" xfId="32572"/>
    <cellStyle name="计算 2 6 5 3 4" xfId="19191"/>
    <cellStyle name="计算 2 6 5 4" xfId="25445"/>
    <cellStyle name="计算 2 6 5 4 2" xfId="25235"/>
    <cellStyle name="计算 2 6 5 5" xfId="25447"/>
    <cellStyle name="计算 2 6 6" xfId="32573"/>
    <cellStyle name="计算 2 6 6 2" xfId="19273"/>
    <cellStyle name="计算 2 6 6 2 2" xfId="32574"/>
    <cellStyle name="计算 2 6 6 3" xfId="22659"/>
    <cellStyle name="计算 2 6 6 3 2" xfId="22663"/>
    <cellStyle name="计算 2 6 6 4" xfId="22665"/>
    <cellStyle name="计算 2 6 6 4 2" xfId="22668"/>
    <cellStyle name="计算 2 6 6 5" xfId="22670"/>
    <cellStyle name="计算 2 6 7" xfId="10381"/>
    <cellStyle name="计算 2 6 7 2" xfId="22391"/>
    <cellStyle name="计算 2 6 7 2 2" xfId="25463"/>
    <cellStyle name="计算 2 6 7 3" xfId="25466"/>
    <cellStyle name="计算 2 6 7 3 2" xfId="25469"/>
    <cellStyle name="计算 2 6 7 4" xfId="25471"/>
    <cellStyle name="计算 2 6 7 4 2" xfId="9179"/>
    <cellStyle name="计算 2 6 7 5" xfId="25473"/>
    <cellStyle name="计算 2 6 8" xfId="2136"/>
    <cellStyle name="计算 2 6 8 2" xfId="1746"/>
    <cellStyle name="计算 2 6 8 2 2" xfId="30101"/>
    <cellStyle name="计算 2 6 8 3" xfId="32575"/>
    <cellStyle name="计算 2 6 8 3 2" xfId="30108"/>
    <cellStyle name="计算 2 6 8 4" xfId="32576"/>
    <cellStyle name="计算 2 6 8 4 2" xfId="1845"/>
    <cellStyle name="计算 2 6 8 5" xfId="16407"/>
    <cellStyle name="计算 2 6 9" xfId="2140"/>
    <cellStyle name="计算 2 7" xfId="14909"/>
    <cellStyle name="计算 2 7 2" xfId="14911"/>
    <cellStyle name="计算 2 7 2 2" xfId="14914"/>
    <cellStyle name="计算 2 7 2 2 2" xfId="32578"/>
    <cellStyle name="计算 2 7 2 2 2 2" xfId="17522"/>
    <cellStyle name="计算 2 7 2 2 2 2 2" xfId="17525"/>
    <cellStyle name="计算 2 7 2 2 2 3" xfId="17658"/>
    <cellStyle name="计算 2 7 2 2 2 3 2" xfId="17661"/>
    <cellStyle name="计算 2 7 2 2 2 4" xfId="17696"/>
    <cellStyle name="计算 2 7 2 2 2 4 2" xfId="17699"/>
    <cellStyle name="计算 2 7 2 2 2 5" xfId="17718"/>
    <cellStyle name="计算 2 7 2 2 3" xfId="32579"/>
    <cellStyle name="计算 2 7 2 2 3 2" xfId="10426"/>
    <cellStyle name="计算 2 7 2 2 3 2 2" xfId="20839"/>
    <cellStyle name="计算 2 7 2 2 3 3" xfId="10429"/>
    <cellStyle name="计算 2 7 2 2 3 3 2" xfId="32580"/>
    <cellStyle name="计算 2 7 2 2 3 4" xfId="10432"/>
    <cellStyle name="计算 2 7 2 2 4" xfId="16012"/>
    <cellStyle name="计算 2 7 2 2 4 2" xfId="32581"/>
    <cellStyle name="计算 2 7 2 2 5" xfId="194"/>
    <cellStyle name="计算 2 7 2 3" xfId="21767"/>
    <cellStyle name="计算 2 7 2 3 2" xfId="31139"/>
    <cellStyle name="计算 2 7 2 3 2 2" xfId="32582"/>
    <cellStyle name="计算 2 7 2 3 3" xfId="32583"/>
    <cellStyle name="计算 2 7 2 3 3 2" xfId="32584"/>
    <cellStyle name="计算 2 7 2 3 4" xfId="32585"/>
    <cellStyle name="计算 2 7 2 3 4 2" xfId="32586"/>
    <cellStyle name="计算 2 7 2 3 5" xfId="4176"/>
    <cellStyle name="计算 2 7 2 4" xfId="25674"/>
    <cellStyle name="计算 2 7 2 4 2" xfId="31143"/>
    <cellStyle name="计算 2 7 2 4 2 2" xfId="18217"/>
    <cellStyle name="计算 2 7 2 4 3" xfId="32587"/>
    <cellStyle name="计算 2 7 2 4 3 2" xfId="18223"/>
    <cellStyle name="计算 2 7 2 4 4" xfId="32588"/>
    <cellStyle name="计算 2 7 2 5" xfId="7140"/>
    <cellStyle name="计算 2 7 2 5 2" xfId="32589"/>
    <cellStyle name="计算 2 7 2 6" xfId="25676"/>
    <cellStyle name="计算 2 7 3" xfId="14917"/>
    <cellStyle name="计算 2 7 3 2" xfId="14920"/>
    <cellStyle name="计算 2 7 3 2 2" xfId="16043"/>
    <cellStyle name="计算 2 7 3 2 2 2" xfId="16045"/>
    <cellStyle name="计算 2 7 3 2 2 2 2" xfId="16047"/>
    <cellStyle name="计算 2 7 3 2 2 3" xfId="16056"/>
    <cellStyle name="计算 2 7 3 2 2 3 2" xfId="16058"/>
    <cellStyle name="计算 2 7 3 2 2 4" xfId="16064"/>
    <cellStyle name="计算 2 7 3 2 2 4 2" xfId="16066"/>
    <cellStyle name="计算 2 7 3 2 2 5" xfId="12044"/>
    <cellStyle name="计算 2 7 3 2 3" xfId="16068"/>
    <cellStyle name="计算 2 7 3 2 3 2" xfId="16070"/>
    <cellStyle name="计算 2 7 3 2 3 2 2" xfId="16072"/>
    <cellStyle name="计算 2 7 3 2 3 3" xfId="16079"/>
    <cellStyle name="计算 2 7 3 2 3 3 2" xfId="16081"/>
    <cellStyle name="计算 2 7 3 2 3 4" xfId="16089"/>
    <cellStyle name="计算 2 7 3 2 4" xfId="16092"/>
    <cellStyle name="计算 2 7 3 2 4 2" xfId="16094"/>
    <cellStyle name="计算 2 7 3 2 5" xfId="1496"/>
    <cellStyle name="计算 2 7 3 3" xfId="25795"/>
    <cellStyle name="计算 2 7 3 3 2" xfId="16184"/>
    <cellStyle name="计算 2 7 3 3 2 2" xfId="16187"/>
    <cellStyle name="计算 2 7 3 3 3" xfId="16214"/>
    <cellStyle name="计算 2 7 3 3 3 2" xfId="3581"/>
    <cellStyle name="计算 2 7 3 3 4" xfId="16218"/>
    <cellStyle name="计算 2 7 3 3 4 2" xfId="16220"/>
    <cellStyle name="计算 2 7 3 3 5" xfId="4204"/>
    <cellStyle name="计算 2 7 3 4" xfId="25798"/>
    <cellStyle name="计算 2 7 3 4 2" xfId="16248"/>
    <cellStyle name="计算 2 7 3 4 2 2" xfId="16250"/>
    <cellStyle name="计算 2 7 3 4 3" xfId="16254"/>
    <cellStyle name="计算 2 7 3 4 3 2" xfId="8142"/>
    <cellStyle name="计算 2 7 3 4 4" xfId="16256"/>
    <cellStyle name="计算 2 7 3 5" xfId="7143"/>
    <cellStyle name="计算 2 7 3 5 2" xfId="16299"/>
    <cellStyle name="计算 2 7 3 6" xfId="25800"/>
    <cellStyle name="计算 2 7 4" xfId="14923"/>
    <cellStyle name="计算 2 7 4 2" xfId="24321"/>
    <cellStyle name="计算 2 7 4 2 2" xfId="16450"/>
    <cellStyle name="计算 2 7 4 2 2 2" xfId="16452"/>
    <cellStyle name="计算 2 7 4 2 3" xfId="16463"/>
    <cellStyle name="计算 2 7 4 2 3 2" xfId="16467"/>
    <cellStyle name="计算 2 7 4 2 4" xfId="16470"/>
    <cellStyle name="计算 2 7 4 2 4 2" xfId="32590"/>
    <cellStyle name="计算 2 7 4 2 5" xfId="198"/>
    <cellStyle name="计算 2 7 4 3" xfId="24325"/>
    <cellStyle name="计算 2 7 4 3 2" xfId="16499"/>
    <cellStyle name="计算 2 7 4 3 2 2" xfId="16502"/>
    <cellStyle name="计算 2 7 4 3 3" xfId="16508"/>
    <cellStyle name="计算 2 7 4 3 3 2" xfId="16511"/>
    <cellStyle name="计算 2 7 4 3 4" xfId="16514"/>
    <cellStyle name="计算 2 7 4 4" xfId="24329"/>
    <cellStyle name="计算 2 7 4 4 2" xfId="16542"/>
    <cellStyle name="计算 2 7 4 5" xfId="25854"/>
    <cellStyle name="计算 2 7 5" xfId="32591"/>
    <cellStyle name="计算 2 7 5 2" xfId="25865"/>
    <cellStyle name="计算 2 7 5 2 2" xfId="16631"/>
    <cellStyle name="计算 2 7 5 2 2 2" xfId="16633"/>
    <cellStyle name="计算 2 7 5 2 3" xfId="16639"/>
    <cellStyle name="计算 2 7 5 2 3 2" xfId="16641"/>
    <cellStyle name="计算 2 7 5 2 4" xfId="16643"/>
    <cellStyle name="计算 2 7 5 2 4 2" xfId="32592"/>
    <cellStyle name="计算 2 7 5 2 5" xfId="4234"/>
    <cellStyle name="计算 2 7 5 3" xfId="25867"/>
    <cellStyle name="计算 2 7 5 3 2" xfId="16656"/>
    <cellStyle name="计算 2 7 5 3 2 2" xfId="16658"/>
    <cellStyle name="计算 2 7 5 3 3" xfId="16660"/>
    <cellStyle name="计算 2 7 5 3 3 2" xfId="32593"/>
    <cellStyle name="计算 2 7 5 3 4" xfId="26055"/>
    <cellStyle name="计算 2 7 5 4" xfId="25869"/>
    <cellStyle name="计算 2 7 5 4 2" xfId="16679"/>
    <cellStyle name="计算 2 7 5 5" xfId="22298"/>
    <cellStyle name="计算 2 7 6" xfId="32594"/>
    <cellStyle name="计算 2 7 6 2" xfId="25879"/>
    <cellStyle name="计算 2 7 6 2 2" xfId="16737"/>
    <cellStyle name="计算 2 7 6 3" xfId="25881"/>
    <cellStyle name="计算 2 7 6 3 2" xfId="16747"/>
    <cellStyle name="计算 2 7 6 4" xfId="19829"/>
    <cellStyle name="计算 2 7 6 4 2" xfId="16758"/>
    <cellStyle name="计算 2 7 6 5" xfId="25883"/>
    <cellStyle name="计算 2 7 7" xfId="10384"/>
    <cellStyle name="计算 2 7 7 2" xfId="25892"/>
    <cellStyle name="计算 2 7 7 2 2" xfId="16777"/>
    <cellStyle name="计算 2 7 7 3" xfId="25894"/>
    <cellStyle name="计算 2 7 7 3 2" xfId="16786"/>
    <cellStyle name="计算 2 7 7 4" xfId="22447"/>
    <cellStyle name="计算 2 7 7 4 2" xfId="9247"/>
    <cellStyle name="计算 2 7 7 5" xfId="25896"/>
    <cellStyle name="计算 2 7 8" xfId="2157"/>
    <cellStyle name="计算 2 7 8 2" xfId="4713"/>
    <cellStyle name="计算 2 7 8 2 2" xfId="16796"/>
    <cellStyle name="计算 2 7 8 3" xfId="29018"/>
    <cellStyle name="计算 2 7 8 3 2" xfId="16805"/>
    <cellStyle name="计算 2 7 8 4" xfId="29020"/>
    <cellStyle name="计算 2 7 8 4 2" xfId="2120"/>
    <cellStyle name="计算 2 7 8 5" xfId="16420"/>
    <cellStyle name="计算 2 7 9" xfId="4716"/>
    <cellStyle name="计算 2 8" xfId="14925"/>
    <cellStyle name="计算 2 8 2" xfId="14928"/>
    <cellStyle name="计算 2 8 2 2" xfId="930"/>
    <cellStyle name="计算 2 8 2 2 2" xfId="20966"/>
    <cellStyle name="计算 2 8 2 2 2 2" xfId="32595"/>
    <cellStyle name="计算 2 8 2 2 2 2 2" xfId="24654"/>
    <cellStyle name="计算 2 8 2 2 2 3" xfId="32596"/>
    <cellStyle name="计算 2 8 2 2 2 3 2" xfId="32597"/>
    <cellStyle name="计算 2 8 2 2 2 4" xfId="32598"/>
    <cellStyle name="计算 2 8 2 2 2 4 2" xfId="32599"/>
    <cellStyle name="计算 2 8 2 2 2 5" xfId="32601"/>
    <cellStyle name="计算 2 8 2 2 3" xfId="32602"/>
    <cellStyle name="计算 2 8 2 2 3 2" xfId="32603"/>
    <cellStyle name="计算 2 8 2 2 3 2 2" xfId="5820"/>
    <cellStyle name="计算 2 8 2 2 3 3" xfId="32604"/>
    <cellStyle name="计算 2 8 2 2 3 3 2" xfId="32605"/>
    <cellStyle name="计算 2 8 2 2 3 4" xfId="32606"/>
    <cellStyle name="计算 2 8 2 2 4" xfId="32607"/>
    <cellStyle name="计算 2 8 2 2 4 2" xfId="32608"/>
    <cellStyle name="计算 2 8 2 2 5" xfId="1593"/>
    <cellStyle name="计算 2 8 2 3" xfId="26095"/>
    <cellStyle name="计算 2 8 2 3 2" xfId="31204"/>
    <cellStyle name="计算 2 8 2 3 2 2" xfId="32609"/>
    <cellStyle name="计算 2 8 2 3 3" xfId="32610"/>
    <cellStyle name="计算 2 8 2 3 3 2" xfId="32611"/>
    <cellStyle name="计算 2 8 2 3 4" xfId="21522"/>
    <cellStyle name="计算 2 8 2 3 4 2" xfId="32612"/>
    <cellStyle name="计算 2 8 2 3 5" xfId="4267"/>
    <cellStyle name="计算 2 8 2 4" xfId="477"/>
    <cellStyle name="计算 2 8 2 4 2" xfId="22868"/>
    <cellStyle name="计算 2 8 2 4 2 2" xfId="23883"/>
    <cellStyle name="计算 2 8 2 4 3" xfId="32613"/>
    <cellStyle name="计算 2 8 2 4 3 2" xfId="23898"/>
    <cellStyle name="计算 2 8 2 4 4" xfId="32614"/>
    <cellStyle name="计算 2 8 2 5" xfId="7160"/>
    <cellStyle name="计算 2 8 2 5 2" xfId="32615"/>
    <cellStyle name="计算 2 8 2 6" xfId="15907"/>
    <cellStyle name="计算 2 8 3" xfId="32616"/>
    <cellStyle name="计算 2 8 3 2" xfId="26137"/>
    <cellStyle name="计算 2 8 3 2 2" xfId="32618"/>
    <cellStyle name="计算 2 8 3 2 2 2" xfId="21771"/>
    <cellStyle name="计算 2 8 3 2 3" xfId="32619"/>
    <cellStyle name="计算 2 8 3 2 3 2" xfId="32620"/>
    <cellStyle name="计算 2 8 3 2 4" xfId="32621"/>
    <cellStyle name="计算 2 8 3 2 4 2" xfId="29558"/>
    <cellStyle name="计算 2 8 3 2 5" xfId="4282"/>
    <cellStyle name="计算 2 8 3 3" xfId="26140"/>
    <cellStyle name="计算 2 8 3 3 2" xfId="22042"/>
    <cellStyle name="计算 2 8 3 3 2 2" xfId="22045"/>
    <cellStyle name="计算 2 8 3 3 3" xfId="22047"/>
    <cellStyle name="计算 2 8 3 3 3 2" xfId="22049"/>
    <cellStyle name="计算 2 8 3 3 4" xfId="22052"/>
    <cellStyle name="计算 2 8 3 4" xfId="13"/>
    <cellStyle name="计算 2 8 3 4 2" xfId="32622"/>
    <cellStyle name="计算 2 8 3 5" xfId="20317"/>
    <cellStyle name="计算 2 8 4" xfId="32623"/>
    <cellStyle name="计算 2 8 4 2" xfId="26190"/>
    <cellStyle name="计算 2 8 4 2 2" xfId="32624"/>
    <cellStyle name="计算 2 8 4 2 2 2" xfId="32625"/>
    <cellStyle name="计算 2 8 4 2 3" xfId="25056"/>
    <cellStyle name="计算 2 8 4 2 3 2" xfId="32626"/>
    <cellStyle name="计算 2 8 4 2 4" xfId="25058"/>
    <cellStyle name="计算 2 8 4 2 4 2" xfId="32627"/>
    <cellStyle name="计算 2 8 4 2 5" xfId="25060"/>
    <cellStyle name="计算 2 8 4 3" xfId="26192"/>
    <cellStyle name="计算 2 8 4 3 2" xfId="31227"/>
    <cellStyle name="计算 2 8 4 3 2 2" xfId="32628"/>
    <cellStyle name="计算 2 8 4 3 3" xfId="32629"/>
    <cellStyle name="计算 2 8 4 3 3 2" xfId="32630"/>
    <cellStyle name="计算 2 8 4 3 4" xfId="32631"/>
    <cellStyle name="计算 2 8 4 4" xfId="26194"/>
    <cellStyle name="计算 2 8 4 4 2" xfId="8705"/>
    <cellStyle name="计算 2 8 4 5" xfId="20322"/>
    <cellStyle name="计算 2 8 5" xfId="32632"/>
    <cellStyle name="计算 2 8 5 2" xfId="26202"/>
    <cellStyle name="计算 2 8 5 2 2" xfId="32633"/>
    <cellStyle name="计算 2 8 5 3" xfId="26204"/>
    <cellStyle name="计算 2 8 5 3 2" xfId="32634"/>
    <cellStyle name="计算 2 8 5 4" xfId="19343"/>
    <cellStyle name="计算 2 8 5 4 2" xfId="32635"/>
    <cellStyle name="计算 2 8 5 5" xfId="26206"/>
    <cellStyle name="计算 2 8 6" xfId="32636"/>
    <cellStyle name="计算 2 8 6 2" xfId="26218"/>
    <cellStyle name="计算 2 8 6 2 2" xfId="32637"/>
    <cellStyle name="计算 2 8 6 3" xfId="26220"/>
    <cellStyle name="计算 2 8 6 3 2" xfId="32638"/>
    <cellStyle name="计算 2 8 6 4" xfId="19346"/>
    <cellStyle name="计算 2 8 7" xfId="32639"/>
    <cellStyle name="计算 2 8 7 2" xfId="26231"/>
    <cellStyle name="计算 2 8 8" xfId="4729"/>
    <cellStyle name="计算 2 8 9" xfId="31302"/>
    <cellStyle name="计算 2 9" xfId="14930"/>
    <cellStyle name="计算 2 9 2" xfId="32640"/>
    <cellStyle name="计算 2 9 2 2" xfId="16234"/>
    <cellStyle name="计算 2 9 2 2 2" xfId="32641"/>
    <cellStyle name="计算 2 9 2 2 2 2" xfId="29562"/>
    <cellStyle name="计算 2 9 2 2 3" xfId="32642"/>
    <cellStyle name="计算 2 9 2 2 3 2" xfId="32643"/>
    <cellStyle name="计算 2 9 2 2 4" xfId="32644"/>
    <cellStyle name="计算 2 9 2 2 4 2" xfId="32645"/>
    <cellStyle name="计算 2 9 2 2 5" xfId="1692"/>
    <cellStyle name="计算 2 9 2 3" xfId="26425"/>
    <cellStyle name="计算 2 9 2 3 2" xfId="25536"/>
    <cellStyle name="计算 2 9 2 3 2 2" xfId="32646"/>
    <cellStyle name="计算 2 9 2 3 3" xfId="25539"/>
    <cellStyle name="计算 2 9 2 3 3 2" xfId="32647"/>
    <cellStyle name="计算 2 9 2 3 4" xfId="25541"/>
    <cellStyle name="计算 2 9 2 4" xfId="6226"/>
    <cellStyle name="计算 2 9 2 4 2" xfId="25553"/>
    <cellStyle name="计算 2 9 2 5" xfId="26427"/>
    <cellStyle name="计算 2 9 3" xfId="32648"/>
    <cellStyle name="计算 2 9 3 2" xfId="26505"/>
    <cellStyle name="计算 2 9 3 2 2" xfId="30112"/>
    <cellStyle name="计算 2 9 3 3" xfId="26507"/>
    <cellStyle name="计算 2 9 3 3 2" xfId="31290"/>
    <cellStyle name="计算 2 9 3 4" xfId="26509"/>
    <cellStyle name="计算 2 9 3 4 2" xfId="32649"/>
    <cellStyle name="计算 2 9 3 5" xfId="26511"/>
    <cellStyle name="计算 2 9 4" xfId="32650"/>
    <cellStyle name="计算 2 9 4 2" xfId="26536"/>
    <cellStyle name="计算 2 9 4 2 2" xfId="32651"/>
    <cellStyle name="计算 2 9 4 3" xfId="26538"/>
    <cellStyle name="计算 2 9 4 3 2" xfId="31297"/>
    <cellStyle name="计算 2 9 4 4" xfId="26540"/>
    <cellStyle name="计算 2 9 5" xfId="32652"/>
    <cellStyle name="计算 2 9 5 2" xfId="26551"/>
    <cellStyle name="计算 2 9 6" xfId="30767"/>
    <cellStyle name="计算 2 9 7" xfId="22450"/>
    <cellStyle name="计算 3" xfId="32653"/>
    <cellStyle name="计算 3 10" xfId="11259"/>
    <cellStyle name="计算 3 10 2" xfId="11263"/>
    <cellStyle name="计算 3 10 3" xfId="11266"/>
    <cellStyle name="计算 3 11" xfId="11269"/>
    <cellStyle name="计算 3 11 2" xfId="11272"/>
    <cellStyle name="计算 3 12" xfId="11274"/>
    <cellStyle name="计算 3 13" xfId="16324"/>
    <cellStyle name="计算 3 14" xfId="26411"/>
    <cellStyle name="计算 3 15" xfId="26439"/>
    <cellStyle name="计算 3 2" xfId="32654"/>
    <cellStyle name="计算 3 2 2" xfId="23812"/>
    <cellStyle name="计算 3 2 2 2" xfId="32655"/>
    <cellStyle name="计算 3 2 2 2 2" xfId="32656"/>
    <cellStyle name="计算 3 2 2 2 2 2" xfId="4528"/>
    <cellStyle name="计算 3 2 2 2 2 2 2" xfId="6798"/>
    <cellStyle name="计算 3 2 2 2 2 3" xfId="4532"/>
    <cellStyle name="计算 3 2 2 2 2 3 2" xfId="12109"/>
    <cellStyle name="计算 3 2 2 2 2 4" xfId="12112"/>
    <cellStyle name="计算 3 2 2 2 2 4 2" xfId="12114"/>
    <cellStyle name="计算 3 2 2 2 2 5" xfId="12116"/>
    <cellStyle name="计算 3 2 2 2 3" xfId="13798"/>
    <cellStyle name="计算 3 2 2 2 3 2" xfId="32657"/>
    <cellStyle name="计算 3 2 2 2 3 2 2" xfId="32658"/>
    <cellStyle name="计算 3 2 2 2 3 3" xfId="7765"/>
    <cellStyle name="计算 3 2 2 2 3 3 2" xfId="12121"/>
    <cellStyle name="计算 3 2 2 2 3 4" xfId="12123"/>
    <cellStyle name="计算 3 2 2 2 4" xfId="32659"/>
    <cellStyle name="计算 3 2 2 2 4 2" xfId="32660"/>
    <cellStyle name="计算 3 2 2 2 5" xfId="508"/>
    <cellStyle name="计算 3 2 2 3" xfId="32661"/>
    <cellStyle name="计算 3 2 2 3 2" xfId="27581"/>
    <cellStyle name="计算 3 2 2 3 2 2" xfId="4990"/>
    <cellStyle name="计算 3 2 2 3 3" xfId="27583"/>
    <cellStyle name="计算 3 2 2 3 3 2" xfId="5095"/>
    <cellStyle name="计算 3 2 2 3 4" xfId="21538"/>
    <cellStyle name="计算 3 2 2 3 4 2" xfId="5171"/>
    <cellStyle name="计算 3 2 2 3 5" xfId="27585"/>
    <cellStyle name="计算 3 2 2 4" xfId="2625"/>
    <cellStyle name="计算 3 2 2 4 2" xfId="32662"/>
    <cellStyle name="计算 3 2 2 4 2 2" xfId="5624"/>
    <cellStyle name="计算 3 2 2 4 3" xfId="32663"/>
    <cellStyle name="计算 3 2 2 4 3 2" xfId="5780"/>
    <cellStyle name="计算 3 2 2 4 4" xfId="32664"/>
    <cellStyle name="计算 3 2 2 5" xfId="32665"/>
    <cellStyle name="计算 3 2 2 5 2" xfId="32667"/>
    <cellStyle name="计算 3 2 2 6" xfId="32668"/>
    <cellStyle name="计算 3 2 3" xfId="869"/>
    <cellStyle name="计算 3 2 3 2" xfId="879"/>
    <cellStyle name="计算 3 2 3 2 2" xfId="32669"/>
    <cellStyle name="计算 3 2 3 2 2 2" xfId="7120"/>
    <cellStyle name="计算 3 2 3 2 3" xfId="13811"/>
    <cellStyle name="计算 3 2 3 2 3 2" xfId="32671"/>
    <cellStyle name="计算 3 2 3 2 4" xfId="32672"/>
    <cellStyle name="计算 3 2 3 2 4 2" xfId="32674"/>
    <cellStyle name="计算 3 2 3 2 5" xfId="32675"/>
    <cellStyle name="计算 3 2 3 3" xfId="885"/>
    <cellStyle name="计算 3 2 3 3 2" xfId="32676"/>
    <cellStyle name="计算 3 2 3 3 2 2" xfId="32677"/>
    <cellStyle name="计算 3 2 3 3 3" xfId="32678"/>
    <cellStyle name="计算 3 2 3 3 3 2" xfId="32680"/>
    <cellStyle name="计算 3 2 3 3 4" xfId="32681"/>
    <cellStyle name="计算 3 2 3 4" xfId="574"/>
    <cellStyle name="计算 3 2 3 4 2" xfId="32682"/>
    <cellStyle name="计算 3 2 3 5" xfId="32683"/>
    <cellStyle name="计算 3 2 4" xfId="4547"/>
    <cellStyle name="计算 3 2 4 2" xfId="32684"/>
    <cellStyle name="计算 3 2 4 2 2" xfId="32685"/>
    <cellStyle name="计算 3 2 4 2 2 2" xfId="32686"/>
    <cellStyle name="计算 3 2 4 2 3" xfId="32687"/>
    <cellStyle name="计算 3 2 4 2 3 2" xfId="32688"/>
    <cellStyle name="计算 3 2 4 2 4" xfId="30901"/>
    <cellStyle name="计算 3 2 4 2 4 2" xfId="32689"/>
    <cellStyle name="计算 3 2 4 2 5" xfId="32690"/>
    <cellStyle name="计算 3 2 4 3" xfId="32691"/>
    <cellStyle name="计算 3 2 4 3 2" xfId="22467"/>
    <cellStyle name="计算 3 2 4 3 2 2" xfId="32692"/>
    <cellStyle name="计算 3 2 4 3 3" xfId="32694"/>
    <cellStyle name="计算 3 2 4 3 3 2" xfId="32695"/>
    <cellStyle name="计算 3 2 4 3 4" xfId="30254"/>
    <cellStyle name="计算 3 2 4 4" xfId="32696"/>
    <cellStyle name="计算 3 2 4 4 2" xfId="32698"/>
    <cellStyle name="计算 3 2 4 5" xfId="32699"/>
    <cellStyle name="计算 3 2 5" xfId="23814"/>
    <cellStyle name="计算 3 2 5 2" xfId="32700"/>
    <cellStyle name="计算 3 2 5 2 2" xfId="32701"/>
    <cellStyle name="计算 3 2 5 3" xfId="32702"/>
    <cellStyle name="计算 3 2 5 3 2" xfId="32703"/>
    <cellStyle name="计算 3 2 5 4" xfId="32704"/>
    <cellStyle name="计算 3 2 5 4 2" xfId="32705"/>
    <cellStyle name="计算 3 2 5 5" xfId="22249"/>
    <cellStyle name="计算 3 2 6" xfId="32706"/>
    <cellStyle name="计算 3 2 6 2" xfId="32707"/>
    <cellStyle name="计算 3 2 6 2 2" xfId="11748"/>
    <cellStyle name="计算 3 2 6 3" xfId="32708"/>
    <cellStyle name="计算 3 2 6 3 2" xfId="11765"/>
    <cellStyle name="计算 3 2 6 4" xfId="32709"/>
    <cellStyle name="计算 3 2 7" xfId="32710"/>
    <cellStyle name="计算 3 2 7 2" xfId="32711"/>
    <cellStyle name="计算 3 2 8" xfId="32712"/>
    <cellStyle name="计算 3 2 9" xfId="32713"/>
    <cellStyle name="计算 3 3" xfId="32714"/>
    <cellStyle name="计算 3 3 2" xfId="23849"/>
    <cellStyle name="计算 3 3 2 2" xfId="32715"/>
    <cellStyle name="计算 3 3 2 2 2" xfId="18030"/>
    <cellStyle name="计算 3 3 2 2 2 2" xfId="27226"/>
    <cellStyle name="计算 3 3 2 2 3" xfId="13847"/>
    <cellStyle name="计算 3 3 2 2 3 2" xfId="27230"/>
    <cellStyle name="计算 3 3 2 2 4" xfId="32716"/>
    <cellStyle name="计算 3 3 2 2 4 2" xfId="16272"/>
    <cellStyle name="计算 3 3 2 2 5" xfId="3819"/>
    <cellStyle name="计算 3 3 2 3" xfId="29569"/>
    <cellStyle name="计算 3 3 2 3 2" xfId="18037"/>
    <cellStyle name="计算 3 3 2 3 2 2" xfId="26906"/>
    <cellStyle name="计算 3 3 2 3 3" xfId="22133"/>
    <cellStyle name="计算 3 3 2 3 3 2" xfId="26915"/>
    <cellStyle name="计算 3 3 2 3 4" xfId="26921"/>
    <cellStyle name="计算 3 3 2 4" xfId="19952"/>
    <cellStyle name="计算 3 3 2 4 2" xfId="18042"/>
    <cellStyle name="计算 3 3 2 5" xfId="19954"/>
    <cellStyle name="计算 3 3 3" xfId="23851"/>
    <cellStyle name="计算 3 3 3 2" xfId="20282"/>
    <cellStyle name="计算 3 3 3 2 2" xfId="20284"/>
    <cellStyle name="计算 3 3 3 3" xfId="20286"/>
    <cellStyle name="计算 3 3 3 3 2" xfId="20289"/>
    <cellStyle name="计算 3 3 3 4" xfId="19961"/>
    <cellStyle name="计算 3 3 3 4 2" xfId="19964"/>
    <cellStyle name="计算 3 3 3 5" xfId="19966"/>
    <cellStyle name="计算 3 3 4" xfId="4553"/>
    <cellStyle name="计算 3 3 4 2" xfId="32718"/>
    <cellStyle name="计算 3 3 4 2 2" xfId="32719"/>
    <cellStyle name="计算 3 3 4 3" xfId="32720"/>
    <cellStyle name="计算 3 3 4 3 2" xfId="32721"/>
    <cellStyle name="计算 3 3 4 4" xfId="19972"/>
    <cellStyle name="计算 3 3 5" xfId="23853"/>
    <cellStyle name="计算 3 3 5 2" xfId="32722"/>
    <cellStyle name="计算 3 3 6" xfId="29753"/>
    <cellStyle name="计算 3 3 7" xfId="32723"/>
    <cellStyle name="计算 3 4" xfId="28523"/>
    <cellStyle name="计算 3 4 2" xfId="23915"/>
    <cellStyle name="计算 3 4 2 2" xfId="32724"/>
    <cellStyle name="计算 3 4 2 2 2" xfId="18795"/>
    <cellStyle name="计算 3 4 2 2 2 2" xfId="25080"/>
    <cellStyle name="计算 3 4 2 2 3" xfId="13869"/>
    <cellStyle name="计算 3 4 2 2 3 2" xfId="32725"/>
    <cellStyle name="计算 3 4 2 2 4" xfId="32726"/>
    <cellStyle name="计算 3 4 2 2 4 2" xfId="32727"/>
    <cellStyle name="计算 3 4 2 2 5" xfId="32728"/>
    <cellStyle name="计算 3 4 2 3" xfId="32729"/>
    <cellStyle name="计算 3 4 2 3 2" xfId="18801"/>
    <cellStyle name="计算 3 4 2 3 2 2" xfId="22797"/>
    <cellStyle name="计算 3 4 2 3 3" xfId="32730"/>
    <cellStyle name="计算 3 4 2 3 3 2" xfId="32731"/>
    <cellStyle name="计算 3 4 2 3 4" xfId="32732"/>
    <cellStyle name="计算 3 4 2 4" xfId="32733"/>
    <cellStyle name="计算 3 4 2 4 2" xfId="18805"/>
    <cellStyle name="计算 3 4 2 5" xfId="32734"/>
    <cellStyle name="计算 3 4 3" xfId="2673"/>
    <cellStyle name="计算 3 4 3 2" xfId="2677"/>
    <cellStyle name="计算 3 4 3 2 2" xfId="2681"/>
    <cellStyle name="计算 3 4 3 3" xfId="2684"/>
    <cellStyle name="计算 3 4 3 3 2" xfId="2688"/>
    <cellStyle name="计算 3 4 3 4" xfId="2690"/>
    <cellStyle name="计算 3 4 3 4 2" xfId="2694"/>
    <cellStyle name="计算 3 4 3 5" xfId="2696"/>
    <cellStyle name="计算 3 4 4" xfId="2699"/>
    <cellStyle name="计算 3 4 4 2" xfId="32735"/>
    <cellStyle name="计算 3 4 4 2 2" xfId="32736"/>
    <cellStyle name="计算 3 4 4 3" xfId="32737"/>
    <cellStyle name="计算 3 4 4 3 2" xfId="32738"/>
    <cellStyle name="计算 3 4 4 4" xfId="32739"/>
    <cellStyle name="计算 3 4 5" xfId="23917"/>
    <cellStyle name="计算 3 4 5 2" xfId="32740"/>
    <cellStyle name="计算 3 4 6" xfId="19355"/>
    <cellStyle name="计算 3 4 7" xfId="32741"/>
    <cellStyle name="计算 3 5" xfId="28526"/>
    <cellStyle name="计算 3 5 2" xfId="23398"/>
    <cellStyle name="计算 3 5 2 2" xfId="23414"/>
    <cellStyle name="计算 3 5 2 2 2" xfId="25663"/>
    <cellStyle name="计算 3 5 2 3" xfId="23419"/>
    <cellStyle name="计算 3 5 2 3 2" xfId="25666"/>
    <cellStyle name="计算 3 5 2 4" xfId="23003"/>
    <cellStyle name="计算 3 5 2 4 2" xfId="25670"/>
    <cellStyle name="计算 3 5 2 5" xfId="23423"/>
    <cellStyle name="计算 3 5 3" xfId="23446"/>
    <cellStyle name="计算 3 5 3 2" xfId="23460"/>
    <cellStyle name="计算 3 5 3 2 2" xfId="31817"/>
    <cellStyle name="计算 3 5 3 3" xfId="23464"/>
    <cellStyle name="计算 3 5 3 3 2" xfId="32742"/>
    <cellStyle name="计算 3 5 3 4" xfId="23467"/>
    <cellStyle name="计算 3 5 4" xfId="18175"/>
    <cellStyle name="计算 3 5 4 2" xfId="23495"/>
    <cellStyle name="计算 3 5 5" xfId="18180"/>
    <cellStyle name="计算 3 5 6" xfId="23536"/>
    <cellStyle name="计算 3 6" xfId="14933"/>
    <cellStyle name="计算 3 6 2" xfId="14937"/>
    <cellStyle name="计算 3 6 2 2" xfId="21653"/>
    <cellStyle name="计算 3 6 2 2 2" xfId="18424"/>
    <cellStyle name="计算 3 6 2 3" xfId="26277"/>
    <cellStyle name="计算 3 6 2 3 2" xfId="26280"/>
    <cellStyle name="计算 3 6 2 4" xfId="26283"/>
    <cellStyle name="计算 3 6 2 4 2" xfId="32743"/>
    <cellStyle name="计算 3 6 2 5" xfId="26286"/>
    <cellStyle name="计算 3 6 3" xfId="21658"/>
    <cellStyle name="计算 3 6 3 2" xfId="21663"/>
    <cellStyle name="计算 3 6 3 2 2" xfId="18439"/>
    <cellStyle name="计算 3 6 3 3" xfId="26289"/>
    <cellStyle name="计算 3 6 3 3 2" xfId="26292"/>
    <cellStyle name="计算 3 6 3 4" xfId="26295"/>
    <cellStyle name="计算 3 6 4" xfId="21668"/>
    <cellStyle name="计算 3 6 4 2" xfId="26581"/>
    <cellStyle name="计算 3 6 5" xfId="23996"/>
    <cellStyle name="计算 3 6 6" xfId="26604"/>
    <cellStyle name="计算 3 7" xfId="14941"/>
    <cellStyle name="计算 3 7 2" xfId="14943"/>
    <cellStyle name="计算 3 7 2 2" xfId="27202"/>
    <cellStyle name="计算 3 7 3" xfId="20198"/>
    <cellStyle name="计算 3 7 3 2" xfId="20201"/>
    <cellStyle name="计算 3 7 4" xfId="24008"/>
    <cellStyle name="计算 3 7 4 2" xfId="10459"/>
    <cellStyle name="计算 3 7 5" xfId="24010"/>
    <cellStyle name="计算 3 7 6" xfId="32744"/>
    <cellStyle name="计算 3 8" xfId="14946"/>
    <cellStyle name="计算 3 8 2" xfId="14950"/>
    <cellStyle name="计算 3 8 2 2" xfId="27216"/>
    <cellStyle name="计算 3 8 3" xfId="24020"/>
    <cellStyle name="计算 3 8 3 2" xfId="27218"/>
    <cellStyle name="计算 3 8 4" xfId="24022"/>
    <cellStyle name="计算 3 8 4 2" xfId="30990"/>
    <cellStyle name="计算 3 8 5" xfId="24024"/>
    <cellStyle name="计算 3 8 6" xfId="32745"/>
    <cellStyle name="计算 3 9" xfId="14953"/>
    <cellStyle name="计算 3 9 2" xfId="32717"/>
    <cellStyle name="计算 3 9 2 2" xfId="16273"/>
    <cellStyle name="计算 3 9 3" xfId="3820"/>
    <cellStyle name="计算 3 9 3 2" xfId="27234"/>
    <cellStyle name="计算 3 9 4" xfId="32746"/>
    <cellStyle name="计算 3 9 4 2" xfId="32747"/>
    <cellStyle name="计算 3 9 5" xfId="32748"/>
    <cellStyle name="计算 3 9 6" xfId="4801"/>
    <cellStyle name="计算 4" xfId="32749"/>
    <cellStyle name="计算 4 2" xfId="32750"/>
    <cellStyle name="计算 4 2 2" xfId="2753"/>
    <cellStyle name="计算 4 2 2 2" xfId="2756"/>
    <cellStyle name="计算 4 2 2 2 2" xfId="2759"/>
    <cellStyle name="计算 4 2 2 2 2 2" xfId="19800"/>
    <cellStyle name="计算 4 2 2 2 3" xfId="14026"/>
    <cellStyle name="计算 4 2 2 2 3 2" xfId="19802"/>
    <cellStyle name="计算 4 2 2 2 4" xfId="19805"/>
    <cellStyle name="计算 4 2 2 2 4 2" xfId="19807"/>
    <cellStyle name="计算 4 2 2 2 5" xfId="2869"/>
    <cellStyle name="计算 4 2 2 3" xfId="2762"/>
    <cellStyle name="计算 4 2 2 3 2" xfId="2766"/>
    <cellStyle name="计算 4 2 2 3 2 2" xfId="31179"/>
    <cellStyle name="计算 4 2 2 3 3" xfId="21268"/>
    <cellStyle name="计算 4 2 2 3 3 2" xfId="21272"/>
    <cellStyle name="计算 4 2 2 3 4" xfId="21296"/>
    <cellStyle name="计算 4 2 2 4" xfId="2769"/>
    <cellStyle name="计算 4 2 2 4 2" xfId="2776"/>
    <cellStyle name="计算 4 2 2 5" xfId="2781"/>
    <cellStyle name="计算 4 2 3" xfId="2784"/>
    <cellStyle name="计算 4 2 3 2" xfId="2787"/>
    <cellStyle name="计算 4 2 3 2 2" xfId="2789"/>
    <cellStyle name="计算 4 2 3 3" xfId="2791"/>
    <cellStyle name="计算 4 2 3 3 2" xfId="2794"/>
    <cellStyle name="计算 4 2 3 4" xfId="2797"/>
    <cellStyle name="计算 4 2 3 4 2" xfId="2800"/>
    <cellStyle name="计算 4 2 3 5" xfId="2804"/>
    <cellStyle name="计算 4 2 4" xfId="2807"/>
    <cellStyle name="计算 4 2 4 2" xfId="2812"/>
    <cellStyle name="计算 4 2 4 2 2" xfId="2814"/>
    <cellStyle name="计算 4 2 4 3" xfId="2816"/>
    <cellStyle name="计算 4 2 4 3 2" xfId="2819"/>
    <cellStyle name="计算 4 2 4 4" xfId="2822"/>
    <cellStyle name="计算 4 2 5" xfId="897"/>
    <cellStyle name="计算 4 2 5 2" xfId="2829"/>
    <cellStyle name="计算 4 2 6" xfId="2837"/>
    <cellStyle name="计算 4 2 7" xfId="9341"/>
    <cellStyle name="计算 4 3" xfId="19390"/>
    <cellStyle name="计算 4 3 2" xfId="2901"/>
    <cellStyle name="计算 4 3 2 2" xfId="2905"/>
    <cellStyle name="计算 4 3 2 2 2" xfId="2908"/>
    <cellStyle name="计算 4 3 2 2 2 2" xfId="20262"/>
    <cellStyle name="计算 4 3 2 2 3" xfId="14080"/>
    <cellStyle name="计算 4 3 2 2 3 2" xfId="27210"/>
    <cellStyle name="计算 4 3 2 2 4" xfId="32751"/>
    <cellStyle name="计算 4 3 2 2 4 2" xfId="32752"/>
    <cellStyle name="计算 4 3 2 2 5" xfId="32753"/>
    <cellStyle name="计算 4 3 2 3" xfId="2911"/>
    <cellStyle name="计算 4 3 2 3 2" xfId="2919"/>
    <cellStyle name="计算 4 3 2 3 2 2" xfId="12534"/>
    <cellStyle name="计算 4 3 2 3 3" xfId="24095"/>
    <cellStyle name="计算 4 3 2 3 3 2" xfId="29544"/>
    <cellStyle name="计算 4 3 2 3 4" xfId="24098"/>
    <cellStyle name="计算 4 3 2 4" xfId="2922"/>
    <cellStyle name="计算 4 3 2 4 2" xfId="2931"/>
    <cellStyle name="计算 4 3 2 5" xfId="2936"/>
    <cellStyle name="计算 4 3 3" xfId="2939"/>
    <cellStyle name="计算 4 3 3 2" xfId="2942"/>
    <cellStyle name="计算 4 3 3 2 2" xfId="2944"/>
    <cellStyle name="计算 4 3 3 3" xfId="2946"/>
    <cellStyle name="计算 4 3 3 3 2" xfId="802"/>
    <cellStyle name="计算 4 3 3 4" xfId="2949"/>
    <cellStyle name="计算 4 3 3 4 2" xfId="25548"/>
    <cellStyle name="计算 4 3 3 5" xfId="31278"/>
    <cellStyle name="计算 4 3 4" xfId="2952"/>
    <cellStyle name="计算 4 3 4 2" xfId="2956"/>
    <cellStyle name="计算 4 3 4 2 2" xfId="25772"/>
    <cellStyle name="计算 4 3 4 3" xfId="28206"/>
    <cellStyle name="计算 4 3 4 3 2" xfId="25810"/>
    <cellStyle name="计算 4 3 4 4" xfId="28210"/>
    <cellStyle name="计算 4 3 5" xfId="1322"/>
    <cellStyle name="计算 4 3 5 2" xfId="32754"/>
    <cellStyle name="计算 4 3 6" xfId="32755"/>
    <cellStyle name="计算 4 3 7" xfId="32756"/>
    <cellStyle name="计算 4 4" xfId="19392"/>
    <cellStyle name="计算 4 4 2" xfId="2976"/>
    <cellStyle name="计算 4 4 2 2" xfId="2980"/>
    <cellStyle name="计算 4 4 2 2 2" xfId="2982"/>
    <cellStyle name="计算 4 4 2 3" xfId="2984"/>
    <cellStyle name="计算 4 4 2 3 2" xfId="2987"/>
    <cellStyle name="计算 4 4 2 4" xfId="2990"/>
    <cellStyle name="计算 4 4 2 4 2" xfId="31332"/>
    <cellStyle name="计算 4 4 2 5" xfId="31339"/>
    <cellStyle name="计算 4 4 3" xfId="2994"/>
    <cellStyle name="计算 4 4 3 2" xfId="2997"/>
    <cellStyle name="计算 4 4 3 2 2" xfId="32757"/>
    <cellStyle name="计算 4 4 3 3" xfId="31346"/>
    <cellStyle name="计算 4 4 3 3 2" xfId="31348"/>
    <cellStyle name="计算 4 4 3 4" xfId="31359"/>
    <cellStyle name="计算 4 4 4" xfId="2999"/>
    <cellStyle name="计算 4 4 4 2" xfId="32758"/>
    <cellStyle name="计算 4 4 5" xfId="24613"/>
    <cellStyle name="计算 4 5" xfId="19398"/>
    <cellStyle name="计算 4 5 2" xfId="3048"/>
    <cellStyle name="计算 4 5 2 2" xfId="3055"/>
    <cellStyle name="计算 4 5 2 2 2" xfId="3059"/>
    <cellStyle name="计算 4 5 2 3" xfId="3064"/>
    <cellStyle name="计算 4 5 2 3 2" xfId="3068"/>
    <cellStyle name="计算 4 5 2 4" xfId="3073"/>
    <cellStyle name="计算 4 5 2 4 2" xfId="29251"/>
    <cellStyle name="计算 4 5 2 5" xfId="10954"/>
    <cellStyle name="计算 4 5 3" xfId="3082"/>
    <cellStyle name="计算 4 5 3 2" xfId="3087"/>
    <cellStyle name="计算 4 5 3 2 2" xfId="17362"/>
    <cellStyle name="计算 4 5 3 3" xfId="8129"/>
    <cellStyle name="计算 4 5 3 3 2" xfId="17369"/>
    <cellStyle name="计算 4 5 3 4" xfId="8133"/>
    <cellStyle name="计算 4 5 4" xfId="3095"/>
    <cellStyle name="计算 4 5 4 2" xfId="8188"/>
    <cellStyle name="计算 4 5 5" xfId="24650"/>
    <cellStyle name="计算 4 6" xfId="14960"/>
    <cellStyle name="计算 4 6 2" xfId="3115"/>
    <cellStyle name="计算 4 6 2 2" xfId="3122"/>
    <cellStyle name="计算 4 6 3" xfId="3129"/>
    <cellStyle name="计算 4 6 3 2" xfId="3135"/>
    <cellStyle name="计算 4 6 4" xfId="3139"/>
    <cellStyle name="计算 4 6 4 2" xfId="16123"/>
    <cellStyle name="计算 4 6 5" xfId="16125"/>
    <cellStyle name="计算 4 7" xfId="14964"/>
    <cellStyle name="计算 4 7 2" xfId="3150"/>
    <cellStyle name="计算 4 7 2 2" xfId="3153"/>
    <cellStyle name="计算 4 7 3" xfId="3156"/>
    <cellStyle name="计算 4 7 3 2" xfId="3161"/>
    <cellStyle name="计算 4 7 4" xfId="3164"/>
    <cellStyle name="计算 4 7 4 2" xfId="16130"/>
    <cellStyle name="计算 4 7 5" xfId="16132"/>
    <cellStyle name="计算 4 8" xfId="14967"/>
    <cellStyle name="计算 4 8 2" xfId="3173"/>
    <cellStyle name="计算 4 8 2 2" xfId="3179"/>
    <cellStyle name="计算 4 8 3" xfId="3183"/>
    <cellStyle name="计算 4 8 3 2" xfId="3191"/>
    <cellStyle name="计算 4 8 4" xfId="3195"/>
    <cellStyle name="计算 4 8 4 2" xfId="5310"/>
    <cellStyle name="计算 4 8 5" xfId="5329"/>
    <cellStyle name="计算 4 9" xfId="32759"/>
    <cellStyle name="计算 5" xfId="15009"/>
    <cellStyle name="计算 5 2" xfId="32760"/>
    <cellStyle name="计算 5 2 2" xfId="2486"/>
    <cellStyle name="计算 5 2 2 2" xfId="3261"/>
    <cellStyle name="计算 5 2 2 2 2" xfId="3263"/>
    <cellStyle name="计算 5 2 2 2 2 2" xfId="32761"/>
    <cellStyle name="计算 5 2 2 2 3" xfId="14227"/>
    <cellStyle name="计算 5 2 2 2 3 2" xfId="32762"/>
    <cellStyle name="计算 5 2 2 2 4" xfId="32763"/>
    <cellStyle name="计算 5 2 2 2 4 2" xfId="27735"/>
    <cellStyle name="计算 5 2 2 2 5" xfId="32764"/>
    <cellStyle name="计算 5 2 2 3" xfId="3268"/>
    <cellStyle name="计算 5 2 2 3 2" xfId="3271"/>
    <cellStyle name="计算 5 2 2 3 2 2" xfId="31695"/>
    <cellStyle name="计算 5 2 2 3 3" xfId="31697"/>
    <cellStyle name="计算 5 2 2 3 3 2" xfId="31699"/>
    <cellStyle name="计算 5 2 2 3 4" xfId="31702"/>
    <cellStyle name="计算 5 2 2 4" xfId="3274"/>
    <cellStyle name="计算 5 2 2 4 2" xfId="3278"/>
    <cellStyle name="计算 5 2 2 5" xfId="3282"/>
    <cellStyle name="计算 5 2 3" xfId="3285"/>
    <cellStyle name="计算 5 2 3 2" xfId="3287"/>
    <cellStyle name="计算 5 2 3 2 2" xfId="3289"/>
    <cellStyle name="计算 5 2 3 3" xfId="2652"/>
    <cellStyle name="计算 5 2 3 3 2" xfId="3291"/>
    <cellStyle name="计算 5 2 3 4" xfId="3294"/>
    <cellStyle name="计算 5 2 3 4 2" xfId="31715"/>
    <cellStyle name="计算 5 2 3 5" xfId="31717"/>
    <cellStyle name="计算 5 2 4" xfId="3298"/>
    <cellStyle name="计算 5 2 4 2" xfId="3300"/>
    <cellStyle name="计算 5 2 4 2 2" xfId="32765"/>
    <cellStyle name="计算 5 2 4 3" xfId="31721"/>
    <cellStyle name="计算 5 2 4 3 2" xfId="31723"/>
    <cellStyle name="计算 5 2 4 4" xfId="31725"/>
    <cellStyle name="计算 5 2 5" xfId="1802"/>
    <cellStyle name="计算 5 2 5 2" xfId="16830"/>
    <cellStyle name="计算 5 2 6" xfId="32766"/>
    <cellStyle name="计算 5 2 7" xfId="32767"/>
    <cellStyle name="计算 5 3" xfId="32768"/>
    <cellStyle name="计算 5 3 2" xfId="2499"/>
    <cellStyle name="计算 5 3 2 2" xfId="3329"/>
    <cellStyle name="计算 5 3 2 2 2" xfId="3331"/>
    <cellStyle name="计算 5 3 2 2 2 2" xfId="13496"/>
    <cellStyle name="计算 5 3 2 2 3" xfId="14264"/>
    <cellStyle name="计算 5 3 2 2 3 2" xfId="32769"/>
    <cellStyle name="计算 5 3 2 2 4" xfId="32770"/>
    <cellStyle name="计算 5 3 2 2 4 2" xfId="32771"/>
    <cellStyle name="计算 5 3 2 2 5" xfId="32772"/>
    <cellStyle name="计算 5 3 2 3" xfId="3335"/>
    <cellStyle name="计算 5 3 2 3 2" xfId="3339"/>
    <cellStyle name="计算 5 3 2 3 2 2" xfId="15388"/>
    <cellStyle name="计算 5 3 2 3 3" xfId="15392"/>
    <cellStyle name="计算 5 3 2 3 3 2" xfId="15395"/>
    <cellStyle name="计算 5 3 2 3 4" xfId="15402"/>
    <cellStyle name="计算 5 3 2 4" xfId="3343"/>
    <cellStyle name="计算 5 3 2 4 2" xfId="15408"/>
    <cellStyle name="计算 5 3 2 5" xfId="15427"/>
    <cellStyle name="计算 5 3 3" xfId="3349"/>
    <cellStyle name="计算 5 3 3 2" xfId="3352"/>
    <cellStyle name="计算 5 3 3 2 2" xfId="19360"/>
    <cellStyle name="计算 5 3 3 3" xfId="15446"/>
    <cellStyle name="计算 5 3 3 3 2" xfId="15451"/>
    <cellStyle name="计算 5 3 3 4" xfId="15478"/>
    <cellStyle name="计算 5 3 3 4 2" xfId="15484"/>
    <cellStyle name="计算 5 3 3 5" xfId="15501"/>
    <cellStyle name="计算 5 3 4" xfId="3355"/>
    <cellStyle name="计算 5 3 4 2" xfId="32773"/>
    <cellStyle name="计算 5 3 4 2 2" xfId="32774"/>
    <cellStyle name="计算 5 3 4 3" xfId="15523"/>
    <cellStyle name="计算 5 3 4 3 2" xfId="15526"/>
    <cellStyle name="计算 5 3 4 4" xfId="15539"/>
    <cellStyle name="计算 5 3 5" xfId="21484"/>
    <cellStyle name="计算 5 3 5 2" xfId="32775"/>
    <cellStyle name="计算 5 3 6" xfId="32776"/>
    <cellStyle name="计算 5 3 7" xfId="32777"/>
    <cellStyle name="计算 5 4" xfId="32778"/>
    <cellStyle name="计算 5 4 2" xfId="2513"/>
    <cellStyle name="计算 5 4 2 2" xfId="3385"/>
    <cellStyle name="计算 5 4 2 2 2" xfId="3388"/>
    <cellStyle name="计算 5 4 2 3" xfId="3391"/>
    <cellStyle name="计算 5 4 2 3 2" xfId="3396"/>
    <cellStyle name="计算 5 4 2 4" xfId="3401"/>
    <cellStyle name="计算 5 4 2 4 2" xfId="12448"/>
    <cellStyle name="计算 5 4 2 5" xfId="15706"/>
    <cellStyle name="计算 5 4 3" xfId="3405"/>
    <cellStyle name="计算 5 4 3 2" xfId="3407"/>
    <cellStyle name="计算 5 4 3 2 2" xfId="17945"/>
    <cellStyle name="计算 5 4 3 3" xfId="15717"/>
    <cellStyle name="计算 5 4 3 3 2" xfId="12462"/>
    <cellStyle name="计算 5 4 3 4" xfId="15724"/>
    <cellStyle name="计算 5 4 4" xfId="3409"/>
    <cellStyle name="计算 5 4 4 2" xfId="32779"/>
    <cellStyle name="计算 5 4 5" xfId="32780"/>
    <cellStyle name="计算 5 5" xfId="29608"/>
    <cellStyle name="计算 5 5 2" xfId="3427"/>
    <cellStyle name="计算 5 5 2 2" xfId="3429"/>
    <cellStyle name="计算 5 5 2 2 2" xfId="14846"/>
    <cellStyle name="计算 5 5 2 3" xfId="15824"/>
    <cellStyle name="计算 5 5 2 3 2" xfId="13050"/>
    <cellStyle name="计算 5 5 2 4" xfId="15834"/>
    <cellStyle name="计算 5 5 2 4 2" xfId="13086"/>
    <cellStyle name="计算 5 5 2 5" xfId="15839"/>
    <cellStyle name="计算 5 5 3" xfId="3432"/>
    <cellStyle name="计算 5 5 3 2" xfId="3435"/>
    <cellStyle name="计算 5 5 3 2 2" xfId="15014"/>
    <cellStyle name="计算 5 5 3 3" xfId="15851"/>
    <cellStyle name="计算 5 5 3 3 2" xfId="13113"/>
    <cellStyle name="计算 5 5 3 4" xfId="15856"/>
    <cellStyle name="计算 5 5 4" xfId="3437"/>
    <cellStyle name="计算 5 5 4 2" xfId="32781"/>
    <cellStyle name="计算 5 5 5" xfId="32782"/>
    <cellStyle name="计算 5 6" xfId="14973"/>
    <cellStyle name="计算 5 6 2" xfId="3460"/>
    <cellStyle name="计算 5 6 2 2" xfId="3468"/>
    <cellStyle name="计算 5 6 3" xfId="3473"/>
    <cellStyle name="计算 5 6 3 2" xfId="32783"/>
    <cellStyle name="计算 5 6 4" xfId="10097"/>
    <cellStyle name="计算 5 6 4 2" xfId="32784"/>
    <cellStyle name="计算 5 6 5" xfId="28156"/>
    <cellStyle name="计算 5 7" xfId="32786"/>
    <cellStyle name="计算 5 7 2" xfId="32788"/>
    <cellStyle name="计算 5 7 2 2" xfId="32789"/>
    <cellStyle name="计算 5 7 3" xfId="16138"/>
    <cellStyle name="计算 5 7 3 2" xfId="24840"/>
    <cellStyle name="计算 5 7 4" xfId="10102"/>
    <cellStyle name="计算 5 7 4 2" xfId="32790"/>
    <cellStyle name="计算 5 7 5" xfId="32791"/>
    <cellStyle name="计算 5 8" xfId="32793"/>
    <cellStyle name="计算 5 8 2" xfId="32794"/>
    <cellStyle name="计算 5 8 2 2" xfId="21689"/>
    <cellStyle name="计算 5 8 3" xfId="16141"/>
    <cellStyle name="计算 5 8 3 2" xfId="21715"/>
    <cellStyle name="计算 5 8 4" xfId="32795"/>
    <cellStyle name="计算 5 8 4 2" xfId="21476"/>
    <cellStyle name="计算 5 8 5" xfId="32796"/>
    <cellStyle name="计算 5 9" xfId="32236"/>
    <cellStyle name="计算 6" xfId="32797"/>
    <cellStyle name="计算 6 2" xfId="32799"/>
    <cellStyle name="计算 6 2 2" xfId="2529"/>
    <cellStyle name="计算 6 2 2 2" xfId="3513"/>
    <cellStyle name="计算 6 2 2 2 2" xfId="3470"/>
    <cellStyle name="计算 6 2 2 2 2 2" xfId="11102"/>
    <cellStyle name="计算 6 2 2 2 3" xfId="32800"/>
    <cellStyle name="计算 6 2 2 2 3 2" xfId="32801"/>
    <cellStyle name="计算 6 2 2 2 4" xfId="24693"/>
    <cellStyle name="计算 6 2 2 2 4 2" xfId="32802"/>
    <cellStyle name="计算 6 2 2 2 5" xfId="4845"/>
    <cellStyle name="计算 6 2 2 3" xfId="3518"/>
    <cellStyle name="计算 6 2 2 3 2" xfId="3522"/>
    <cellStyle name="计算 6 2 2 3 2 2" xfId="11129"/>
    <cellStyle name="计算 6 2 2 3 3" xfId="31763"/>
    <cellStyle name="计算 6 2 2 3 3 2" xfId="31765"/>
    <cellStyle name="计算 6 2 2 3 4" xfId="31767"/>
    <cellStyle name="计算 6 2 2 4" xfId="2772"/>
    <cellStyle name="计算 6 2 2 4 2" xfId="31770"/>
    <cellStyle name="计算 6 2 2 5" xfId="28190"/>
    <cellStyle name="计算 6 2 3" xfId="3525"/>
    <cellStyle name="计算 6 2 3 2" xfId="3528"/>
    <cellStyle name="计算 6 2 3 2 2" xfId="32803"/>
    <cellStyle name="计算 6 2 3 3" xfId="25779"/>
    <cellStyle name="计算 6 2 3 3 2" xfId="30281"/>
    <cellStyle name="计算 6 2 3 4" xfId="25782"/>
    <cellStyle name="计算 6 2 3 4 2" xfId="31779"/>
    <cellStyle name="计算 6 2 3 5" xfId="25786"/>
    <cellStyle name="计算 6 2 4" xfId="3532"/>
    <cellStyle name="计算 6 2 4 2" xfId="32804"/>
    <cellStyle name="计算 6 2 4 2 2" xfId="32805"/>
    <cellStyle name="计算 6 2 4 3" xfId="31782"/>
    <cellStyle name="计算 6 2 4 3 2" xfId="31784"/>
    <cellStyle name="计算 6 2 4 4" xfId="31786"/>
    <cellStyle name="计算 6 2 5" xfId="8252"/>
    <cellStyle name="计算 6 2 5 2" xfId="8257"/>
    <cellStyle name="计算 6 2 6" xfId="8275"/>
    <cellStyle name="计算 6 2 7" xfId="8283"/>
    <cellStyle name="计算 6 3" xfId="32806"/>
    <cellStyle name="计算 6 3 2" xfId="2534"/>
    <cellStyle name="计算 6 3 2 2" xfId="3544"/>
    <cellStyle name="计算 6 3 2 2 2" xfId="6862"/>
    <cellStyle name="计算 6 3 2 2 2 2" xfId="12190"/>
    <cellStyle name="计算 6 3 2 2 3" xfId="12200"/>
    <cellStyle name="计算 6 3 2 2 3 2" xfId="12203"/>
    <cellStyle name="计算 6 3 2 2 4" xfId="12206"/>
    <cellStyle name="计算 6 3 2 2 4 2" xfId="29396"/>
    <cellStyle name="计算 6 3 2 2 5" xfId="23291"/>
    <cellStyle name="计算 6 3 2 3" xfId="10925"/>
    <cellStyle name="计算 6 3 2 3 2" xfId="10929"/>
    <cellStyle name="计算 6 3 2 3 2 2" xfId="12209"/>
    <cellStyle name="计算 6 3 2 3 3" xfId="12211"/>
    <cellStyle name="计算 6 3 2 3 3 2" xfId="12213"/>
    <cellStyle name="计算 6 3 2 3 4" xfId="12217"/>
    <cellStyle name="计算 6 3 2 4" xfId="10933"/>
    <cellStyle name="计算 6 3 2 4 2" xfId="5688"/>
    <cellStyle name="计算 6 3 2 5" xfId="28351"/>
    <cellStyle name="计算 6 3 3" xfId="3549"/>
    <cellStyle name="计算 6 3 3 2" xfId="3552"/>
    <cellStyle name="计算 6 3 3 2 2" xfId="10939"/>
    <cellStyle name="计算 6 3 3 3" xfId="10942"/>
    <cellStyle name="计算 6 3 3 3 2" xfId="10945"/>
    <cellStyle name="计算 6 3 3 4" xfId="10949"/>
    <cellStyle name="计算 6 3 3 4 2" xfId="6230"/>
    <cellStyle name="计算 6 3 3 5" xfId="31795"/>
    <cellStyle name="计算 6 3 4" xfId="3555"/>
    <cellStyle name="计算 6 3 4 2" xfId="32807"/>
    <cellStyle name="计算 6 3 4 2 2" xfId="12235"/>
    <cellStyle name="计算 6 3 4 3" xfId="29647"/>
    <cellStyle name="计算 6 3 4 3 2" xfId="12244"/>
    <cellStyle name="计算 6 3 4 4" xfId="32808"/>
    <cellStyle name="计算 6 3 5" xfId="8310"/>
    <cellStyle name="计算 6 3 5 2" xfId="8314"/>
    <cellStyle name="计算 6 3 6" xfId="8328"/>
    <cellStyle name="计算 6 3 7" xfId="8339"/>
    <cellStyle name="计算 6 4" xfId="32809"/>
    <cellStyle name="计算 6 4 2" xfId="3569"/>
    <cellStyle name="计算 6 4 2 2" xfId="3574"/>
    <cellStyle name="计算 6 4 2 2 2" xfId="7186"/>
    <cellStyle name="计算 6 4 2 3" xfId="11472"/>
    <cellStyle name="计算 6 4 2 3 2" xfId="11475"/>
    <cellStyle name="计算 6 4 2 4" xfId="11479"/>
    <cellStyle name="计算 6 4 2 4 2" xfId="31799"/>
    <cellStyle name="计算 6 4 2 5" xfId="31802"/>
    <cellStyle name="计算 6 4 3" xfId="3577"/>
    <cellStyle name="计算 6 4 3 2" xfId="11484"/>
    <cellStyle name="计算 6 4 3 2 2" xfId="11487"/>
    <cellStyle name="计算 6 4 3 3" xfId="11490"/>
    <cellStyle name="计算 6 4 3 3 2" xfId="11494"/>
    <cellStyle name="计算 6 4 3 4" xfId="11498"/>
    <cellStyle name="计算 6 4 4" xfId="32810"/>
    <cellStyle name="计算 6 4 4 2" xfId="30995"/>
    <cellStyle name="计算 6 4 5" xfId="8365"/>
    <cellStyle name="计算 6 5" xfId="32813"/>
    <cellStyle name="计算 6 5 2" xfId="23131"/>
    <cellStyle name="计算 6 5 2 2" xfId="11699"/>
    <cellStyle name="计算 6 5 2 2 2" xfId="11705"/>
    <cellStyle name="计算 6 5 2 3" xfId="11707"/>
    <cellStyle name="计算 6 5 2 3 2" xfId="11713"/>
    <cellStyle name="计算 6 5 2 4" xfId="909"/>
    <cellStyle name="计算 6 5 2 4 2" xfId="922"/>
    <cellStyle name="计算 6 5 2 5" xfId="21087"/>
    <cellStyle name="计算 6 5 3" xfId="23159"/>
    <cellStyle name="计算 6 5 3 2" xfId="11721"/>
    <cellStyle name="计算 6 5 3 2 2" xfId="11726"/>
    <cellStyle name="计算 6 5 3 3" xfId="11729"/>
    <cellStyle name="计算 6 5 3 3 2" xfId="11735"/>
    <cellStyle name="计算 6 5 3 4" xfId="11738"/>
    <cellStyle name="计算 6 5 4" xfId="10108"/>
    <cellStyle name="计算 6 5 4 2" xfId="23178"/>
    <cellStyle name="计算 6 5 5" xfId="23188"/>
    <cellStyle name="计算 6 6" xfId="30153"/>
    <cellStyle name="计算 6 6 2" xfId="28101"/>
    <cellStyle name="计算 6 6 2 2" xfId="19428"/>
    <cellStyle name="计算 6 6 3" xfId="16146"/>
    <cellStyle name="计算 6 6 3 2" xfId="28103"/>
    <cellStyle name="计算 6 6 4" xfId="10112"/>
    <cellStyle name="计算 6 6 4 2" xfId="28134"/>
    <cellStyle name="计算 6 6 5" xfId="28138"/>
    <cellStyle name="计算 6 7" xfId="30157"/>
    <cellStyle name="计算 6 7 2" xfId="30159"/>
    <cellStyle name="计算 6 7 2 2" xfId="32814"/>
    <cellStyle name="计算 6 7 3" xfId="16151"/>
    <cellStyle name="计算 6 7 3 2" xfId="26127"/>
    <cellStyle name="计算 6 7 4" xfId="32815"/>
    <cellStyle name="计算 6 7 4 2" xfId="32816"/>
    <cellStyle name="计算 6 7 5" xfId="22987"/>
    <cellStyle name="计算 6 8" xfId="30161"/>
    <cellStyle name="计算 6 8 2" xfId="22727"/>
    <cellStyle name="计算 6 8 2 2" xfId="22730"/>
    <cellStyle name="计算 6 8 3" xfId="32817"/>
    <cellStyle name="计算 6 8 3 2" xfId="32818"/>
    <cellStyle name="计算 6 8 4" xfId="32819"/>
    <cellStyle name="计算 6 8 4 2" xfId="32820"/>
    <cellStyle name="计算 6 8 5" xfId="32821"/>
    <cellStyle name="计算 6 9" xfId="30163"/>
    <cellStyle name="计算 7" xfId="32822"/>
    <cellStyle name="计算 7 2" xfId="32824"/>
    <cellStyle name="计算 7 2 2" xfId="3625"/>
    <cellStyle name="计算 7 2 2 2" xfId="3629"/>
    <cellStyle name="计算 7 2 2 2 2" xfId="3634"/>
    <cellStyle name="计算 7 2 2 2 2 2" xfId="30850"/>
    <cellStyle name="计算 7 2 2 2 3" xfId="24259"/>
    <cellStyle name="计算 7 2 2 2 3 2" xfId="32825"/>
    <cellStyle name="计算 7 2 2 2 4" xfId="32826"/>
    <cellStyle name="计算 7 2 2 2 4 2" xfId="32827"/>
    <cellStyle name="计算 7 2 2 2 5" xfId="32828"/>
    <cellStyle name="计算 7 2 2 3" xfId="3639"/>
    <cellStyle name="计算 7 2 2 3 2" xfId="3644"/>
    <cellStyle name="计算 7 2 2 3 2 2" xfId="31840"/>
    <cellStyle name="计算 7 2 2 3 3" xfId="31842"/>
    <cellStyle name="计算 7 2 2 3 3 2" xfId="31844"/>
    <cellStyle name="计算 7 2 2 3 4" xfId="31846"/>
    <cellStyle name="计算 7 2 2 4" xfId="2928"/>
    <cellStyle name="计算 7 2 2 4 2" xfId="26809"/>
    <cellStyle name="计算 7 2 2 5" xfId="31851"/>
    <cellStyle name="计算 7 2 3" xfId="3651"/>
    <cellStyle name="计算 7 2 3 2" xfId="3656"/>
    <cellStyle name="计算 7 2 3 2 2" xfId="32829"/>
    <cellStyle name="计算 7 2 3 3" xfId="10806"/>
    <cellStyle name="计算 7 2 3 3 2" xfId="31854"/>
    <cellStyle name="计算 7 2 3 4" xfId="30184"/>
    <cellStyle name="计算 7 2 3 4 2" xfId="30187"/>
    <cellStyle name="计算 7 2 3 5" xfId="30192"/>
    <cellStyle name="计算 7 2 4" xfId="3658"/>
    <cellStyle name="计算 7 2 4 2" xfId="30267"/>
    <cellStyle name="计算 7 2 4 2 2" xfId="30269"/>
    <cellStyle name="计算 7 2 4 3" xfId="10811"/>
    <cellStyle name="计算 7 2 4 3 2" xfId="30271"/>
    <cellStyle name="计算 7 2 4 4" xfId="30274"/>
    <cellStyle name="计算 7 2 5" xfId="9626"/>
    <cellStyle name="计算 7 2 5 2" xfId="32830"/>
    <cellStyle name="计算 7 2 6" xfId="32831"/>
    <cellStyle name="计算 7 2 7" xfId="21046"/>
    <cellStyle name="计算 7 3" xfId="32832"/>
    <cellStyle name="计算 7 3 2" xfId="3673"/>
    <cellStyle name="计算 7 3 2 2" xfId="3680"/>
    <cellStyle name="计算 7 3 2 2 2" xfId="12669"/>
    <cellStyle name="计算 7 3 2 2 2 2" xfId="12671"/>
    <cellStyle name="计算 7 3 2 2 3" xfId="12677"/>
    <cellStyle name="计算 7 3 2 2 3 2" xfId="12679"/>
    <cellStyle name="计算 7 3 2 2 4" xfId="12681"/>
    <cellStyle name="计算 7 3 2 2 4 2" xfId="32833"/>
    <cellStyle name="计算 7 3 2 2 5" xfId="32834"/>
    <cellStyle name="计算 7 3 2 3" xfId="31861"/>
    <cellStyle name="计算 7 3 2 3 2" xfId="12687"/>
    <cellStyle name="计算 7 3 2 3 2 2" xfId="12690"/>
    <cellStyle name="计算 7 3 2 3 3" xfId="12695"/>
    <cellStyle name="计算 7 3 2 3 3 2" xfId="12697"/>
    <cellStyle name="计算 7 3 2 3 4" xfId="12699"/>
    <cellStyle name="计算 7 3 2 4" xfId="31863"/>
    <cellStyle name="计算 7 3 2 4 2" xfId="12706"/>
    <cellStyle name="计算 7 3 2 5" xfId="31866"/>
    <cellStyle name="计算 7 3 3" xfId="3685"/>
    <cellStyle name="计算 7 3 3 2" xfId="3692"/>
    <cellStyle name="计算 7 3 3 2 2" xfId="12718"/>
    <cellStyle name="计算 7 3 3 3" xfId="31869"/>
    <cellStyle name="计算 7 3 3 3 2" xfId="12732"/>
    <cellStyle name="计算 7 3 3 4" xfId="31871"/>
    <cellStyle name="计算 7 3 3 4 2" xfId="31873"/>
    <cellStyle name="计算 7 3 3 5" xfId="31876"/>
    <cellStyle name="计算 7 3 4" xfId="3698"/>
    <cellStyle name="计算 7 3 4 2" xfId="32835"/>
    <cellStyle name="计算 7 3 4 2 2" xfId="12748"/>
    <cellStyle name="计算 7 3 4 3" xfId="31879"/>
    <cellStyle name="计算 7 3 4 3 2" xfId="12765"/>
    <cellStyle name="计算 7 3 4 4" xfId="32836"/>
    <cellStyle name="计算 7 3 5" xfId="32837"/>
    <cellStyle name="计算 7 3 5 2" xfId="32838"/>
    <cellStyle name="计算 7 3 6" xfId="32839"/>
    <cellStyle name="计算 7 3 7" xfId="21051"/>
    <cellStyle name="计算 7 4" xfId="32840"/>
    <cellStyle name="计算 7 4 2" xfId="3707"/>
    <cellStyle name="计算 7 4 2 2" xfId="3711"/>
    <cellStyle name="计算 7 4 2 2 2" xfId="32841"/>
    <cellStyle name="计算 7 4 2 3" xfId="28771"/>
    <cellStyle name="计算 7 4 2 3 2" xfId="21795"/>
    <cellStyle name="计算 7 4 2 4" xfId="27426"/>
    <cellStyle name="计算 7 4 2 4 2" xfId="31882"/>
    <cellStyle name="计算 7 4 2 5" xfId="27431"/>
    <cellStyle name="计算 7 4 3" xfId="3715"/>
    <cellStyle name="计算 7 4 3 2" xfId="32842"/>
    <cellStyle name="计算 7 4 3 2 2" xfId="29381"/>
    <cellStyle name="计算 7 4 3 3" xfId="31887"/>
    <cellStyle name="计算 7 4 3 3 2" xfId="31889"/>
    <cellStyle name="计算 7 4 3 4" xfId="27437"/>
    <cellStyle name="计算 7 4 4" xfId="32843"/>
    <cellStyle name="计算 7 4 4 2" xfId="32844"/>
    <cellStyle name="计算 7 4 5" xfId="32845"/>
    <cellStyle name="计算 7 5" xfId="32848"/>
    <cellStyle name="计算 7 5 2" xfId="32850"/>
    <cellStyle name="计算 7 5 2 2" xfId="32852"/>
    <cellStyle name="计算 7 5 2 2 2" xfId="32854"/>
    <cellStyle name="计算 7 5 2 3" xfId="31895"/>
    <cellStyle name="计算 7 5 2 3 2" xfId="14461"/>
    <cellStyle name="计算 7 5 2 4" xfId="32856"/>
    <cellStyle name="计算 7 5 2 4 2" xfId="14475"/>
    <cellStyle name="计算 7 5 2 5" xfId="32858"/>
    <cellStyle name="计算 7 5 3" xfId="32860"/>
    <cellStyle name="计算 7 5 3 2" xfId="32862"/>
    <cellStyle name="计算 7 5 3 2 2" xfId="32864"/>
    <cellStyle name="计算 7 5 3 3" xfId="31899"/>
    <cellStyle name="计算 7 5 3 3 2" xfId="14501"/>
    <cellStyle name="计算 7 5 3 4" xfId="32866"/>
    <cellStyle name="计算 7 5 4" xfId="28911"/>
    <cellStyle name="计算 7 5 4 2" xfId="28914"/>
    <cellStyle name="计算 7 5 5" xfId="28921"/>
    <cellStyle name="计算 7 6" xfId="32020"/>
    <cellStyle name="计算 7 6 2" xfId="32868"/>
    <cellStyle name="计算 7 6 2 2" xfId="32871"/>
    <cellStyle name="计算 7 6 3" xfId="32873"/>
    <cellStyle name="计算 7 6 3 2" xfId="32875"/>
    <cellStyle name="计算 7 6 4" xfId="32877"/>
    <cellStyle name="计算 7 6 4 2" xfId="32879"/>
    <cellStyle name="计算 7 6 5" xfId="32374"/>
    <cellStyle name="计算 7 7" xfId="32880"/>
    <cellStyle name="计算 7 7 2" xfId="32882"/>
    <cellStyle name="计算 7 7 2 2" xfId="32884"/>
    <cellStyle name="计算 7 7 3" xfId="10477"/>
    <cellStyle name="计算 7 7 3 2" xfId="27380"/>
    <cellStyle name="计算 7 7 4" xfId="32886"/>
    <cellStyle name="计算 7 7 4 2" xfId="20458"/>
    <cellStyle name="计算 7 7 5" xfId="32887"/>
    <cellStyle name="计算 7 8" xfId="32888"/>
    <cellStyle name="计算 7 8 2" xfId="32890"/>
    <cellStyle name="计算 7 8 2 2" xfId="32892"/>
    <cellStyle name="计算 7 8 3" xfId="29350"/>
    <cellStyle name="计算 7 8 3 2" xfId="32894"/>
    <cellStyle name="计算 7 8 4" xfId="32896"/>
    <cellStyle name="计算 7 8 4 2" xfId="32897"/>
    <cellStyle name="计算 7 8 5" xfId="32898"/>
    <cellStyle name="计算 7 9" xfId="19476"/>
    <cellStyle name="计算 8" xfId="30302"/>
    <cellStyle name="计算 8 2" xfId="32899"/>
    <cellStyle name="计算 8 2 2" xfId="3737"/>
    <cellStyle name="计算 8 2 2 2" xfId="1901"/>
    <cellStyle name="计算 8 2 2 2 2" xfId="32900"/>
    <cellStyle name="计算 8 2 2 2 2 2" xfId="32901"/>
    <cellStyle name="计算 8 2 2 2 3" xfId="32902"/>
    <cellStyle name="计算 8 2 2 2 3 2" xfId="19314"/>
    <cellStyle name="计算 8 2 2 2 4" xfId="12472"/>
    <cellStyle name="计算 8 2 2 2 4 2" xfId="32903"/>
    <cellStyle name="计算 8 2 2 2 5" xfId="32904"/>
    <cellStyle name="计算 8 2 2 3" xfId="31933"/>
    <cellStyle name="计算 8 2 2 3 2" xfId="23331"/>
    <cellStyle name="计算 8 2 2 3 2 2" xfId="31936"/>
    <cellStyle name="计算 8 2 2 3 3" xfId="23334"/>
    <cellStyle name="计算 8 2 2 3 3 2" xfId="31940"/>
    <cellStyle name="计算 8 2 2 3 4" xfId="12475"/>
    <cellStyle name="计算 8 2 2 4" xfId="31943"/>
    <cellStyle name="计算 8 2 2 4 2" xfId="31945"/>
    <cellStyle name="计算 8 2 2 5" xfId="31949"/>
    <cellStyle name="计算 8 2 3" xfId="3739"/>
    <cellStyle name="计算 8 2 3 2" xfId="1982"/>
    <cellStyle name="计算 8 2 3 2 2" xfId="32905"/>
    <cellStyle name="计算 8 2 3 3" xfId="31953"/>
    <cellStyle name="计算 8 2 3 3 2" xfId="23517"/>
    <cellStyle name="计算 8 2 3 4" xfId="31955"/>
    <cellStyle name="计算 8 2 3 4 2" xfId="31957"/>
    <cellStyle name="计算 8 2 3 5" xfId="31960"/>
    <cellStyle name="计算 8 2 4" xfId="3742"/>
    <cellStyle name="计算 8 2 4 2" xfId="29332"/>
    <cellStyle name="计算 8 2 4 2 2" xfId="29334"/>
    <cellStyle name="计算 8 2 4 3" xfId="29336"/>
    <cellStyle name="计算 8 2 4 3 2" xfId="29339"/>
    <cellStyle name="计算 8 2 4 4" xfId="29342"/>
    <cellStyle name="计算 8 2 5" xfId="9652"/>
    <cellStyle name="计算 8 2 5 2" xfId="32906"/>
    <cellStyle name="计算 8 2 6" xfId="32907"/>
    <cellStyle name="计算 8 3" xfId="32908"/>
    <cellStyle name="计算 8 3 2" xfId="3746"/>
    <cellStyle name="计算 8 3 2 2" xfId="2154"/>
    <cellStyle name="计算 8 3 2 2 2" xfId="32909"/>
    <cellStyle name="计算 8 3 2 2 2 2" xfId="32910"/>
    <cellStyle name="计算 8 3 2 2 3" xfId="32911"/>
    <cellStyle name="计算 8 3 2 2 3 2" xfId="32912"/>
    <cellStyle name="计算 8 3 2 2 4" xfId="32913"/>
    <cellStyle name="计算 8 3 2 2 4 2" xfId="32914"/>
    <cellStyle name="计算 8 3 2 2 5" xfId="32915"/>
    <cellStyle name="计算 8 3 2 3" xfId="31970"/>
    <cellStyle name="计算 8 3 2 3 2" xfId="26896"/>
    <cellStyle name="计算 8 3 2 3 2 2" xfId="32916"/>
    <cellStyle name="计算 8 3 2 3 3" xfId="26899"/>
    <cellStyle name="计算 8 3 2 3 3 2" xfId="32917"/>
    <cellStyle name="计算 8 3 2 3 4" xfId="26901"/>
    <cellStyle name="计算 8 3 2 4" xfId="31972"/>
    <cellStyle name="计算 8 3 2 4 2" xfId="31974"/>
    <cellStyle name="计算 8 3 2 5" xfId="31977"/>
    <cellStyle name="计算 8 3 3" xfId="3748"/>
    <cellStyle name="计算 8 3 3 2" xfId="32918"/>
    <cellStyle name="计算 8 3 3 2 2" xfId="17249"/>
    <cellStyle name="计算 8 3 3 3" xfId="31981"/>
    <cellStyle name="计算 8 3 3 3 2" xfId="31983"/>
    <cellStyle name="计算 8 3 3 4" xfId="31985"/>
    <cellStyle name="计算 8 3 3 4 2" xfId="22437"/>
    <cellStyle name="计算 8 3 3 5" xfId="31988"/>
    <cellStyle name="计算 8 3 4" xfId="32919"/>
    <cellStyle name="计算 8 3 4 2" xfId="30465"/>
    <cellStyle name="计算 8 3 4 2 2" xfId="30467"/>
    <cellStyle name="计算 8 3 4 3" xfId="30469"/>
    <cellStyle name="计算 8 3 4 3 2" xfId="30472"/>
    <cellStyle name="计算 8 3 4 4" xfId="30210"/>
    <cellStyle name="计算 8 3 5" xfId="29383"/>
    <cellStyle name="计算 8 3 5 2" xfId="32920"/>
    <cellStyle name="计算 8 3 6" xfId="32921"/>
    <cellStyle name="计算 8 4" xfId="32922"/>
    <cellStyle name="计算 8 4 2" xfId="32923"/>
    <cellStyle name="计算 8 4 2 2" xfId="10474"/>
    <cellStyle name="计算 8 4 2 2 2" xfId="32924"/>
    <cellStyle name="计算 8 4 2 3" xfId="31995"/>
    <cellStyle name="计算 8 4 2 3 2" xfId="27336"/>
    <cellStyle name="计算 8 4 2 4" xfId="31997"/>
    <cellStyle name="计算 8 4 2 4 2" xfId="12713"/>
    <cellStyle name="计算 8 4 2 5" xfId="32000"/>
    <cellStyle name="计算 8 4 3" xfId="8615"/>
    <cellStyle name="计算 8 4 3 2" xfId="32925"/>
    <cellStyle name="计算 8 4 3 2 2" xfId="29842"/>
    <cellStyle name="计算 8 4 3 3" xfId="32004"/>
    <cellStyle name="计算 8 4 3 3 2" xfId="21083"/>
    <cellStyle name="计算 8 4 3 4" xfId="32006"/>
    <cellStyle name="计算 8 4 4" xfId="32926"/>
    <cellStyle name="计算 8 4 4 2" xfId="32927"/>
    <cellStyle name="计算 8 4 5" xfId="29385"/>
    <cellStyle name="计算 8 5" xfId="32928"/>
    <cellStyle name="计算 8 5 2" xfId="20059"/>
    <cellStyle name="计算 8 5 2 2" xfId="32930"/>
    <cellStyle name="计算 8 5 2 2 2" xfId="32932"/>
    <cellStyle name="计算 8 5 2 3" xfId="19791"/>
    <cellStyle name="计算 8 5 2 3 2" xfId="27821"/>
    <cellStyle name="计算 8 5 2 4" xfId="32934"/>
    <cellStyle name="计算 8 5 2 4 2" xfId="32937"/>
    <cellStyle name="计算 8 5 2 5" xfId="32939"/>
    <cellStyle name="计算 8 5 3" xfId="8620"/>
    <cellStyle name="计算 8 5 3 2" xfId="28316"/>
    <cellStyle name="计算 8 5 3 2 2" xfId="28319"/>
    <cellStyle name="计算 8 5 3 3" xfId="30930"/>
    <cellStyle name="计算 8 5 3 3 2" xfId="32941"/>
    <cellStyle name="计算 8 5 3 4" xfId="32943"/>
    <cellStyle name="计算 8 5 4" xfId="32945"/>
    <cellStyle name="计算 8 5 4 2" xfId="32947"/>
    <cellStyle name="计算 8 5 5" xfId="32949"/>
    <cellStyle name="计算 8 6" xfId="32950"/>
    <cellStyle name="计算 8 6 2" xfId="32952"/>
    <cellStyle name="计算 8 6 2 2" xfId="29607"/>
    <cellStyle name="计算 8 6 3" xfId="8627"/>
    <cellStyle name="计算 8 6 3 2" xfId="32812"/>
    <cellStyle name="计算 8 6 4" xfId="32954"/>
    <cellStyle name="计算 8 6 4 2" xfId="32847"/>
    <cellStyle name="计算 8 6 5" xfId="32956"/>
    <cellStyle name="计算 8 7" xfId="32957"/>
    <cellStyle name="计算 8 7 2" xfId="23790"/>
    <cellStyle name="计算 8 7 2 2" xfId="23797"/>
    <cellStyle name="计算 8 7 3" xfId="20969"/>
    <cellStyle name="计算 8 7 3 2" xfId="23843"/>
    <cellStyle name="计算 8 7 4" xfId="23907"/>
    <cellStyle name="计算 8 7 4 2" xfId="23909"/>
    <cellStyle name="计算 8 7 5" xfId="23975"/>
    <cellStyle name="计算 8 8" xfId="32958"/>
    <cellStyle name="计算 8 8 2" xfId="24508"/>
    <cellStyle name="计算 8 8 2 2" xfId="24515"/>
    <cellStyle name="计算 8 8 3" xfId="20973"/>
    <cellStyle name="计算 8 8 3 2" xfId="24583"/>
    <cellStyle name="计算 8 8 4" xfId="24602"/>
    <cellStyle name="计算 8 8 4 2" xfId="24607"/>
    <cellStyle name="计算 8 8 5" xfId="24615"/>
    <cellStyle name="计算 8 9" xfId="32474"/>
    <cellStyle name="检查单元格" xfId="30809"/>
    <cellStyle name="检查单元格 2" xfId="32959"/>
    <cellStyle name="检查单元格 2 10" xfId="7685"/>
    <cellStyle name="检查单元格 2 11" xfId="16878"/>
    <cellStyle name="检查单元格 2 2" xfId="32960"/>
    <cellStyle name="检查单元格 2 2 2" xfId="1361"/>
    <cellStyle name="检查单元格 2 3" xfId="32961"/>
    <cellStyle name="检查单元格 2 3 2" xfId="1364"/>
    <cellStyle name="检查单元格 2 4" xfId="559"/>
    <cellStyle name="检查单元格 2 4 2" xfId="1085"/>
    <cellStyle name="检查单元格 2 5" xfId="32962"/>
    <cellStyle name="检查单元格 2 5 2" xfId="2368"/>
    <cellStyle name="检查单元格 2 6" xfId="30496"/>
    <cellStyle name="检查单元格 2 6 2" xfId="2461"/>
    <cellStyle name="检查单元格 2 7" xfId="26949"/>
    <cellStyle name="检查单元格 2 7 2" xfId="2552"/>
    <cellStyle name="检查单元格 2 8" xfId="26952"/>
    <cellStyle name="检查单元格 2 9" xfId="27030"/>
    <cellStyle name="检查单元格 3" xfId="32963"/>
    <cellStyle name="检查单元格 3 2" xfId="32964"/>
    <cellStyle name="检查单元格 3 3" xfId="32965"/>
    <cellStyle name="检查单元格 3 3 2" xfId="32966"/>
    <cellStyle name="检查单元格 3 4" xfId="32967"/>
    <cellStyle name="检查单元格 3 5" xfId="32968"/>
    <cellStyle name="检查单元格 4" xfId="32969"/>
    <cellStyle name="检查单元格 5" xfId="32970"/>
    <cellStyle name="检查单元格 6" xfId="32971"/>
    <cellStyle name="检查单元格 7" xfId="4013"/>
    <cellStyle name="检查单元格 8" xfId="395"/>
    <cellStyle name="检查单元格 8 2" xfId="5583"/>
    <cellStyle name="解释性文本" xfId="22588"/>
    <cellStyle name="解释性文本 2" xfId="32972"/>
    <cellStyle name="解释性文本 2 2" xfId="32973"/>
    <cellStyle name="解释性文本 2 3" xfId="31939"/>
    <cellStyle name="解释性文本 2 4" xfId="32974"/>
    <cellStyle name="解释性文本 2 5" xfId="32975"/>
    <cellStyle name="解释性文本 2 6" xfId="32976"/>
    <cellStyle name="解释性文本 2 7" xfId="32977"/>
    <cellStyle name="解释性文本 2 8" xfId="32978"/>
    <cellStyle name="解释性文本 2 9" xfId="32979"/>
    <cellStyle name="解释性文本 3" xfId="32980"/>
    <cellStyle name="解释性文本 3 2" xfId="32981"/>
    <cellStyle name="解释性文本 3 3" xfId="31942"/>
    <cellStyle name="解释性文本 4" xfId="32982"/>
    <cellStyle name="解释性文本 5" xfId="32983"/>
    <cellStyle name="解释性文本 6" xfId="1811"/>
    <cellStyle name="解释性文本 7" xfId="32984"/>
    <cellStyle name="解释性文本 8" xfId="605"/>
    <cellStyle name="警告文本" xfId="24804"/>
    <cellStyle name="警告文本 2" xfId="32986"/>
    <cellStyle name="警告文本 2 2" xfId="32987"/>
    <cellStyle name="警告文本 2 3" xfId="32988"/>
    <cellStyle name="警告文本 2 4" xfId="32990"/>
    <cellStyle name="警告文本 2 5" xfId="32992"/>
    <cellStyle name="警告文本 2 6" xfId="32479"/>
    <cellStyle name="警告文本 2 7" xfId="32993"/>
    <cellStyle name="警告文本 2 8" xfId="32994"/>
    <cellStyle name="警告文本 2 9" xfId="22350"/>
    <cellStyle name="警告文本 3" xfId="10284"/>
    <cellStyle name="警告文本 3 2" xfId="32995"/>
    <cellStyle name="警告文本 3 3" xfId="32996"/>
    <cellStyle name="警告文本 4" xfId="32997"/>
    <cellStyle name="警告文本 5" xfId="32998"/>
    <cellStyle name="警告文本 6" xfId="27178"/>
    <cellStyle name="警告文本 7" xfId="32999"/>
    <cellStyle name="警告文本 8" xfId="22662"/>
    <cellStyle name="链接单元格" xfId="33000"/>
    <cellStyle name="链接单元格 2" xfId="33001"/>
    <cellStyle name="链接单元格 2 2" xfId="25477"/>
    <cellStyle name="链接单元格 2 3" xfId="33002"/>
    <cellStyle name="链接单元格 2 4" xfId="33003"/>
    <cellStyle name="链接单元格 2 5" xfId="9475"/>
    <cellStyle name="链接单元格 2 6" xfId="9493"/>
    <cellStyle name="链接单元格 2 7" xfId="9501"/>
    <cellStyle name="链接单元格 2 8" xfId="9504"/>
    <cellStyle name="链接单元格 2 9" xfId="19598"/>
    <cellStyle name="链接单元格 3" xfId="33004"/>
    <cellStyle name="链接单元格 3 2" xfId="33005"/>
    <cellStyle name="链接单元格 3 3" xfId="33006"/>
    <cellStyle name="链接单元格 4" xfId="33007"/>
    <cellStyle name="链接单元格 5" xfId="33008"/>
    <cellStyle name="链接单元格 6" xfId="33010"/>
    <cellStyle name="链接单元格 7" xfId="33011"/>
    <cellStyle name="链接单元格 8" xfId="33012"/>
    <cellStyle name="千位分隔" xfId="4" builtinId="3"/>
    <cellStyle name="千位分隔 10" xfId="10587"/>
    <cellStyle name="千位分隔 10 2" xfId="33013"/>
    <cellStyle name="千位分隔 11" xfId="33015"/>
    <cellStyle name="千位分隔 11 2" xfId="33017"/>
    <cellStyle name="千位分隔 11 2 2" xfId="33018"/>
    <cellStyle name="千位分隔 12" xfId="33020"/>
    <cellStyle name="千位分隔 13" xfId="33022"/>
    <cellStyle name="千位分隔 13 2" xfId="33024"/>
    <cellStyle name="千位分隔 14" xfId="33026"/>
    <cellStyle name="千位分隔 14 2" xfId="16779"/>
    <cellStyle name="千位分隔 15" xfId="33027"/>
    <cellStyle name="千位分隔 15 2" xfId="16789"/>
    <cellStyle name="千位分隔 16" xfId="29741"/>
    <cellStyle name="千位分隔 16 2" xfId="9251"/>
    <cellStyle name="千位分隔 17" xfId="33028"/>
    <cellStyle name="千位分隔 2" xfId="33029"/>
    <cellStyle name="千位分隔 2 2" xfId="33030"/>
    <cellStyle name="千位分隔 2 2 2" xfId="33031"/>
    <cellStyle name="千位分隔 2 2 2 2" xfId="33032"/>
    <cellStyle name="千位分隔 2 2 3" xfId="33033"/>
    <cellStyle name="千位分隔 2 2 4" xfId="33034"/>
    <cellStyle name="千位分隔 2 3" xfId="33035"/>
    <cellStyle name="千位分隔 2 3 2" xfId="33036"/>
    <cellStyle name="千位分隔 2 3 2 2" xfId="33037"/>
    <cellStyle name="千位分隔 2 3 3" xfId="33038"/>
    <cellStyle name="千位分隔 2 3 4" xfId="33039"/>
    <cellStyle name="千位分隔 2 3 5" xfId="30615"/>
    <cellStyle name="千位分隔 2 4" xfId="33040"/>
    <cellStyle name="千位分隔 2 4 2" xfId="33041"/>
    <cellStyle name="千位分隔 2 4 2 2" xfId="33042"/>
    <cellStyle name="千位分隔 2 4 3" xfId="33043"/>
    <cellStyle name="千位分隔 2 4 4" xfId="11615"/>
    <cellStyle name="千位分隔 2 4 5" xfId="11617"/>
    <cellStyle name="千位分隔 2 5" xfId="33044"/>
    <cellStyle name="千位分隔 2 5 2" xfId="30373"/>
    <cellStyle name="千位分隔 2 5 2 2" xfId="30375"/>
    <cellStyle name="千位分隔 2 5 3" xfId="30377"/>
    <cellStyle name="千位分隔 2 5 4" xfId="11628"/>
    <cellStyle name="千位分隔 2 5 5" xfId="11630"/>
    <cellStyle name="千位分隔 2 6" xfId="33045"/>
    <cellStyle name="千位分隔 2 6 2" xfId="30238"/>
    <cellStyle name="千位分隔 2 6 3" xfId="33046"/>
    <cellStyle name="千位分隔 2 6 4" xfId="11635"/>
    <cellStyle name="千位分隔 2 7" xfId="33047"/>
    <cellStyle name="千位分隔 2 7 2" xfId="33049"/>
    <cellStyle name="千位分隔 2 7 3" xfId="33050"/>
    <cellStyle name="千位分隔 2 8" xfId="13814"/>
    <cellStyle name="千位分隔 2 9" xfId="32936"/>
    <cellStyle name="千位分隔 3" xfId="33051"/>
    <cellStyle name="千位分隔 3 2" xfId="33052"/>
    <cellStyle name="千位分隔 3 2 2" xfId="33053"/>
    <cellStyle name="千位分隔 3 2 3" xfId="33054"/>
    <cellStyle name="千位分隔 3 2 4" xfId="33055"/>
    <cellStyle name="千位分隔 3 3" xfId="33056"/>
    <cellStyle name="千位分隔 3 3 2" xfId="33057"/>
    <cellStyle name="千位分隔 3 3 3" xfId="33058"/>
    <cellStyle name="千位分隔 3 3 4" xfId="33059"/>
    <cellStyle name="千位分隔 3 4" xfId="33060"/>
    <cellStyle name="千位分隔 3 4 2" xfId="6249"/>
    <cellStyle name="千位分隔 3 4 3" xfId="6285"/>
    <cellStyle name="千位分隔 3 4 4" xfId="5301"/>
    <cellStyle name="千位分隔 3 5" xfId="33061"/>
    <cellStyle name="千位分隔 3 5 2" xfId="6391"/>
    <cellStyle name="千位分隔 3 5 3" xfId="7253"/>
    <cellStyle name="千位分隔 3 5 4" xfId="5307"/>
    <cellStyle name="千位分隔 3 6" xfId="33062"/>
    <cellStyle name="千位分隔 3 6 2" xfId="7264"/>
    <cellStyle name="千位分隔 3 6 3" xfId="7268"/>
    <cellStyle name="千位分隔 3 7" xfId="33063"/>
    <cellStyle name="千位分隔 3 7 2" xfId="7275"/>
    <cellStyle name="千位分隔 3 7 3" xfId="7278"/>
    <cellStyle name="千位分隔 3 8" xfId="13822"/>
    <cellStyle name="千位分隔 4" xfId="33064"/>
    <cellStyle name="千位分隔 4 2" xfId="33065"/>
    <cellStyle name="千位分隔 4 2 2" xfId="33066"/>
    <cellStyle name="千位分隔 4 2 3" xfId="33067"/>
    <cellStyle name="千位分隔 4 2 4" xfId="27093"/>
    <cellStyle name="千位分隔 4 3" xfId="33068"/>
    <cellStyle name="千位分隔 5" xfId="33069"/>
    <cellStyle name="千位分隔 5 2" xfId="13991"/>
    <cellStyle name="千位分隔 5 2 2" xfId="13994"/>
    <cellStyle name="千位分隔 5 2 2 2" xfId="33070"/>
    <cellStyle name="千位分隔 5 2 3" xfId="33071"/>
    <cellStyle name="千位分隔 5 2 4" xfId="16397"/>
    <cellStyle name="千位分隔 5 2 5" xfId="16473"/>
    <cellStyle name="千位分隔 5 3" xfId="13997"/>
    <cellStyle name="千位分隔 5 3 2" xfId="29958"/>
    <cellStyle name="千位分隔 5 3 2 2" xfId="32305"/>
    <cellStyle name="千位分隔 5 3 3" xfId="33072"/>
    <cellStyle name="千位分隔 5 3 4" xfId="16599"/>
    <cellStyle name="千位分隔 5 3 5" xfId="16649"/>
    <cellStyle name="千位分隔 5 4" xfId="24524"/>
    <cellStyle name="千位分隔 5 4 2" xfId="7387"/>
    <cellStyle name="千位分隔 5 4 2 2" xfId="7390"/>
    <cellStyle name="千位分隔 5 4 3" xfId="7403"/>
    <cellStyle name="千位分隔 5 4 4" xfId="7408"/>
    <cellStyle name="千位分隔 5 4 5" xfId="16741"/>
    <cellStyle name="千位分隔 5 5" xfId="33073"/>
    <cellStyle name="千位分隔 5 5 2" xfId="7415"/>
    <cellStyle name="千位分隔 5 5 2 2" xfId="7418"/>
    <cellStyle name="千位分隔 5 5 3" xfId="7420"/>
    <cellStyle name="千位分隔 5 5 4" xfId="7426"/>
    <cellStyle name="千位分隔 5 5 5" xfId="16781"/>
    <cellStyle name="千位分隔 5 6" xfId="33074"/>
    <cellStyle name="千位分隔 5 6 2" xfId="7434"/>
    <cellStyle name="千位分隔 5 7" xfId="22466"/>
    <cellStyle name="千位分隔 5 8" xfId="32693"/>
    <cellStyle name="千位分隔 6" xfId="33075"/>
    <cellStyle name="千位分隔 6 2" xfId="14059"/>
    <cellStyle name="千位分隔 6 2 2" xfId="27924"/>
    <cellStyle name="千位分隔 6 2 3" xfId="27926"/>
    <cellStyle name="千位分隔 6 2 4" xfId="21571"/>
    <cellStyle name="千位分隔 6 3" xfId="25025"/>
    <cellStyle name="千位分隔 6 3 2" xfId="27928"/>
    <cellStyle name="千位分隔 6 3 3" xfId="27930"/>
    <cellStyle name="千位分隔 6 3 4" xfId="33076"/>
    <cellStyle name="千位分隔 6 4" xfId="24530"/>
    <cellStyle name="千位分隔 6 4 2" xfId="7451"/>
    <cellStyle name="千位分隔 6 4 3" xfId="7455"/>
    <cellStyle name="千位分隔 6 4 4" xfId="7459"/>
    <cellStyle name="千位分隔 6 5" xfId="33077"/>
    <cellStyle name="千位分隔 6 5 2" xfId="7464"/>
    <cellStyle name="千位分隔 6 5 3" xfId="7467"/>
    <cellStyle name="千位分隔 6 5 4" xfId="11704"/>
    <cellStyle name="千位分隔 6 6" xfId="33078"/>
    <cellStyle name="千位分隔 6 6 2" xfId="33079"/>
    <cellStyle name="千位分隔 6 7" xfId="32697"/>
    <cellStyle name="千位分隔 6 8" xfId="30939"/>
    <cellStyle name="千位分隔 6 9" xfId="33080"/>
    <cellStyle name="千位分隔 7" xfId="33081"/>
    <cellStyle name="千位分隔 7 2" xfId="14102"/>
    <cellStyle name="千位分隔 7 2 2" xfId="27939"/>
    <cellStyle name="千位分隔 7 3" xfId="27944"/>
    <cellStyle name="千位分隔 7 4" xfId="27950"/>
    <cellStyle name="千位分隔 8" xfId="33082"/>
    <cellStyle name="千位分隔 8 2" xfId="14127"/>
    <cellStyle name="千位分隔 8 2 2" xfId="23651"/>
    <cellStyle name="千位分隔 9" xfId="33083"/>
    <cellStyle name="千位分隔 9 2" xfId="24921"/>
    <cellStyle name="千位分隔 9 2 2" xfId="24924"/>
    <cellStyle name="强调 1" xfId="13026"/>
    <cellStyle name="强调 1 2" xfId="14715"/>
    <cellStyle name="强调 2" xfId="14718"/>
    <cellStyle name="强调 2 2" xfId="14722"/>
    <cellStyle name="强调 3" xfId="14725"/>
    <cellStyle name="强调 3 2" xfId="32354"/>
    <cellStyle name="强调文字颜色 1 2" xfId="9866"/>
    <cellStyle name="强调文字颜色 1 2 10" xfId="1819"/>
    <cellStyle name="强调文字颜色 1 2 11" xfId="1910"/>
    <cellStyle name="强调文字颜色 1 2 2" xfId="9869"/>
    <cellStyle name="强调文字颜色 1 2 2 2" xfId="18122"/>
    <cellStyle name="强调文字颜色 1 2 3" xfId="33084"/>
    <cellStyle name="强调文字颜色 1 2 3 2" xfId="18130"/>
    <cellStyle name="强调文字颜色 1 2 4" xfId="33085"/>
    <cellStyle name="强调文字颜色 1 2 4 2" xfId="18140"/>
    <cellStyle name="强调文字颜色 1 2 5" xfId="33086"/>
    <cellStyle name="强调文字颜色 1 2 5 2" xfId="18149"/>
    <cellStyle name="强调文字颜色 1 2 6" xfId="33087"/>
    <cellStyle name="强调文字颜色 1 2 6 2" xfId="18161"/>
    <cellStyle name="强调文字颜色 1 2 7" xfId="33088"/>
    <cellStyle name="强调文字颜色 1 2 7 2" xfId="18242"/>
    <cellStyle name="强调文字颜色 1 2 8" xfId="13120"/>
    <cellStyle name="强调文字颜色 1 2 9" xfId="14851"/>
    <cellStyle name="强调文字颜色 1 3" xfId="9872"/>
    <cellStyle name="强调文字颜色 1 3 2" xfId="9268"/>
    <cellStyle name="强调文字颜色 1 3 3" xfId="9295"/>
    <cellStyle name="强调文字颜色 1 3 3 2" xfId="9298"/>
    <cellStyle name="强调文字颜色 1 3 4" xfId="9313"/>
    <cellStyle name="强调文字颜色 1 3 5" xfId="9317"/>
    <cellStyle name="强调文字颜色 1 4" xfId="9876"/>
    <cellStyle name="强调文字颜色 1 5" xfId="29054"/>
    <cellStyle name="强调文字颜色 1 6" xfId="33089"/>
    <cellStyle name="强调文字颜色 1 7" xfId="33090"/>
    <cellStyle name="强调文字颜色 1 8" xfId="33091"/>
    <cellStyle name="强调文字颜色 1 8 2" xfId="10343"/>
    <cellStyle name="强调文字颜色 2 2" xfId="9881"/>
    <cellStyle name="强调文字颜色 2 2 10" xfId="32666"/>
    <cellStyle name="强调文字颜色 2 2 11" xfId="11226"/>
    <cellStyle name="强调文字颜色 2 2 2" xfId="7782"/>
    <cellStyle name="强调文字颜色 2 2 2 2" xfId="7785"/>
    <cellStyle name="强调文字颜色 2 2 3" xfId="7788"/>
    <cellStyle name="强调文字颜色 2 2 3 2" xfId="7790"/>
    <cellStyle name="强调文字颜色 2 2 4" xfId="7793"/>
    <cellStyle name="强调文字颜色 2 2 4 2" xfId="7795"/>
    <cellStyle name="强调文字颜色 2 2 5" xfId="948"/>
    <cellStyle name="强调文字颜色 2 2 5 2" xfId="784"/>
    <cellStyle name="强调文字颜色 2 2 6" xfId="7798"/>
    <cellStyle name="强调文字颜色 2 2 6 2" xfId="7801"/>
    <cellStyle name="强调文字颜色 2 2 7" xfId="7806"/>
    <cellStyle name="强调文字颜色 2 2 7 2" xfId="7809"/>
    <cellStyle name="强调文字颜色 2 2 8" xfId="15046"/>
    <cellStyle name="强调文字颜色 2 2 9" xfId="33093"/>
    <cellStyle name="强调文字颜色 2 3" xfId="12076"/>
    <cellStyle name="强调文字颜色 2 3 2" xfId="12078"/>
    <cellStyle name="强调文字颜色 2 3 3" xfId="33094"/>
    <cellStyle name="强调文字颜色 2 3 3 2" xfId="33095"/>
    <cellStyle name="强调文字颜色 2 3 4" xfId="33096"/>
    <cellStyle name="强调文字颜色 2 3 5" xfId="33097"/>
    <cellStyle name="强调文字颜色 2 4" xfId="12080"/>
    <cellStyle name="强调文字颜色 2 5" xfId="12083"/>
    <cellStyle name="强调文字颜色 2 6" xfId="33098"/>
    <cellStyle name="强调文字颜色 2 7" xfId="20116"/>
    <cellStyle name="强调文字颜色 2 8" xfId="33099"/>
    <cellStyle name="强调文字颜色 2 8 2" xfId="27299"/>
    <cellStyle name="强调文字颜色 3 2" xfId="33100"/>
    <cellStyle name="强调文字颜色 3 2 10" xfId="33101"/>
    <cellStyle name="强调文字颜色 3 2 11" xfId="33102"/>
    <cellStyle name="强调文字颜色 3 2 2" xfId="12501"/>
    <cellStyle name="强调文字颜色 3 2 2 2" xfId="12504"/>
    <cellStyle name="强调文字颜色 3 2 3" xfId="12506"/>
    <cellStyle name="强调文字颜色 3 2 3 2" xfId="12508"/>
    <cellStyle name="强调文字颜色 3 2 4" xfId="12510"/>
    <cellStyle name="强调文字颜色 3 2 4 2" xfId="33103"/>
    <cellStyle name="强调文字颜色 3 2 5" xfId="33104"/>
    <cellStyle name="强调文字颜色 3 2 5 2" xfId="33105"/>
    <cellStyle name="强调文字颜色 3 2 6" xfId="32067"/>
    <cellStyle name="强调文字颜色 3 2 6 2" xfId="33106"/>
    <cellStyle name="强调文字颜色 3 2 7" xfId="33107"/>
    <cellStyle name="强调文字颜色 3 2 7 2" xfId="33109"/>
    <cellStyle name="强调文字颜色 3 2 8" xfId="15300"/>
    <cellStyle name="强调文字颜色 3 2 9" xfId="33110"/>
    <cellStyle name="强调文字颜色 3 3" xfId="33111"/>
    <cellStyle name="强调文字颜色 3 3 2" xfId="21265"/>
    <cellStyle name="强调文字颜色 3 3 3" xfId="33112"/>
    <cellStyle name="强调文字颜色 3 3 3 2" xfId="33113"/>
    <cellStyle name="强调文字颜色 3 3 4" xfId="33114"/>
    <cellStyle name="强调文字颜色 3 3 5" xfId="33115"/>
    <cellStyle name="强调文字颜色 3 4" xfId="10093"/>
    <cellStyle name="强调文字颜色 3 5" xfId="10123"/>
    <cellStyle name="强调文字颜色 3 6" xfId="10132"/>
    <cellStyle name="强调文字颜色 3 7" xfId="10143"/>
    <cellStyle name="强调文字颜色 3 8" xfId="10147"/>
    <cellStyle name="强调文字颜色 3 8 2" xfId="33116"/>
    <cellStyle name="强调文字颜色 4 2" xfId="33117"/>
    <cellStyle name="强调文字颜色 4 2 10" xfId="33118"/>
    <cellStyle name="强调文字颜色 4 2 11" xfId="33119"/>
    <cellStyle name="强调文字颜色 4 2 2" xfId="13168"/>
    <cellStyle name="强调文字颜色 4 2 2 2" xfId="13171"/>
    <cellStyle name="强调文字颜色 4 2 3" xfId="13174"/>
    <cellStyle name="强调文字颜色 4 2 3 2" xfId="13178"/>
    <cellStyle name="强调文字颜色 4 2 4" xfId="13181"/>
    <cellStyle name="强调文字颜色 4 2 4 2" xfId="10560"/>
    <cellStyle name="强调文字颜色 4 2 5" xfId="33120"/>
    <cellStyle name="强调文字颜色 4 2 5 2" xfId="10575"/>
    <cellStyle name="强调文字颜色 4 2 6" xfId="32076"/>
    <cellStyle name="强调文字颜色 4 2 6 2" xfId="10586"/>
    <cellStyle name="强调文字颜色 4 2 7" xfId="22067"/>
    <cellStyle name="强调文字颜色 4 2 7 2" xfId="22070"/>
    <cellStyle name="强调文字颜色 4 2 8" xfId="22072"/>
    <cellStyle name="强调文字颜色 4 2 9" xfId="22074"/>
    <cellStyle name="强调文字颜色 4 3" xfId="20086"/>
    <cellStyle name="强调文字颜色 4 3 2" xfId="33121"/>
    <cellStyle name="强调文字颜色 4 3 3" xfId="33122"/>
    <cellStyle name="强调文字颜色 4 3 3 2" xfId="33124"/>
    <cellStyle name="强调文字颜色 4 3 4" xfId="10417"/>
    <cellStyle name="强调文字颜色 4 3 5" xfId="33125"/>
    <cellStyle name="强调文字颜色 4 4" xfId="10151"/>
    <cellStyle name="强调文字颜色 4 5" xfId="10164"/>
    <cellStyle name="强调文字颜色 4 6" xfId="10171"/>
    <cellStyle name="强调文字颜色 4 7" xfId="10174"/>
    <cellStyle name="强调文字颜色 4 8" xfId="33126"/>
    <cellStyle name="强调文字颜色 4 8 2" xfId="33127"/>
    <cellStyle name="强调文字颜色 5 2" xfId="32430"/>
    <cellStyle name="强调文字颜色 5 2 10" xfId="33128"/>
    <cellStyle name="强调文字颜色 5 2 11" xfId="33129"/>
    <cellStyle name="强调文字颜色 5 2 2" xfId="13449"/>
    <cellStyle name="强调文字颜色 5 2 2 2" xfId="4318"/>
    <cellStyle name="强调文字颜色 5 2 3" xfId="13451"/>
    <cellStyle name="强调文字颜色 5 2 3 2" xfId="4332"/>
    <cellStyle name="强调文字颜色 5 2 4" xfId="13453"/>
    <cellStyle name="强调文字颜色 5 2 4 2" xfId="10718"/>
    <cellStyle name="强调文字颜色 5 2 5" xfId="6253"/>
    <cellStyle name="强调文字颜色 5 2 5 2" xfId="6256"/>
    <cellStyle name="强调文字颜色 5 2 6" xfId="6263"/>
    <cellStyle name="强调文字颜色 5 2 6 2" xfId="6269"/>
    <cellStyle name="强调文字颜色 5 2 7" xfId="6277"/>
    <cellStyle name="强调文字颜色 5 2 7 2" xfId="11821"/>
    <cellStyle name="强调文字颜色 5 2 8" xfId="33131"/>
    <cellStyle name="强调文字颜色 5 2 9" xfId="33133"/>
    <cellStyle name="强调文字颜色 5 3" xfId="20089"/>
    <cellStyle name="强调文字颜色 5 3 2" xfId="33134"/>
    <cellStyle name="强调文字颜色 5 3 3" xfId="33135"/>
    <cellStyle name="强调文字颜色 5 3 3 2" xfId="20051"/>
    <cellStyle name="强调文字颜色 5 3 4" xfId="33136"/>
    <cellStyle name="强调文字颜色 5 3 5" xfId="6288"/>
    <cellStyle name="强调文字颜色 5 4" xfId="10180"/>
    <cellStyle name="强调文字颜色 5 5" xfId="10190"/>
    <cellStyle name="强调文字颜色 5 6" xfId="10195"/>
    <cellStyle name="强调文字颜色 5 7" xfId="10198"/>
    <cellStyle name="强调文字颜色 5 8" xfId="20929"/>
    <cellStyle name="强调文字颜色 5 8 2" xfId="33137"/>
    <cellStyle name="强调文字颜色 6 2" xfId="32433"/>
    <cellStyle name="强调文字颜色 6 2 10" xfId="17812"/>
    <cellStyle name="强调文字颜色 6 2 11" xfId="17815"/>
    <cellStyle name="强调文字颜色 6 2 2" xfId="30833"/>
    <cellStyle name="强调文字颜色 6 2 2 2" xfId="30835"/>
    <cellStyle name="强调文字颜色 6 2 3" xfId="30837"/>
    <cellStyle name="强调文字颜色 6 2 3 2" xfId="33138"/>
    <cellStyle name="强调文字颜色 6 2 4" xfId="33139"/>
    <cellStyle name="强调文字颜色 6 2 4 2" xfId="31930"/>
    <cellStyle name="强调文字颜色 6 2 5" xfId="7251"/>
    <cellStyle name="强调文字颜色 6 2 5 2" xfId="31967"/>
    <cellStyle name="强调文字颜色 6 2 6" xfId="33140"/>
    <cellStyle name="强调文字颜色 6 2 6 2" xfId="31992"/>
    <cellStyle name="强调文字颜色 6 2 7" xfId="29625"/>
    <cellStyle name="强调文字颜色 6 2 7 2" xfId="29628"/>
    <cellStyle name="强调文字颜色 6 2 8" xfId="33141"/>
    <cellStyle name="强调文字颜色 6 2 9" xfId="33142"/>
    <cellStyle name="强调文字颜色 6 3" xfId="20091"/>
    <cellStyle name="强调文字颜色 6 3 2" xfId="33143"/>
    <cellStyle name="强调文字颜色 6 3 3" xfId="33144"/>
    <cellStyle name="强调文字颜色 6 3 3 2" xfId="20407"/>
    <cellStyle name="强调文字颜色 6 3 4" xfId="21497"/>
    <cellStyle name="强调文字颜色 6 3 5" xfId="7255"/>
    <cellStyle name="强调文字颜色 6 4" xfId="10202"/>
    <cellStyle name="强调文字颜色 6 5" xfId="1465"/>
    <cellStyle name="强调文字颜色 6 6" xfId="1022"/>
    <cellStyle name="强调文字颜色 6 7" xfId="5671"/>
    <cellStyle name="强调文字颜色 6 8" xfId="5674"/>
    <cellStyle name="强调文字颜色 6 8 2" xfId="33145"/>
    <cellStyle name="适中" xfId="33146"/>
    <cellStyle name="适中 2" xfId="24127"/>
    <cellStyle name="适中 2 10" xfId="32798"/>
    <cellStyle name="适中 2 11" xfId="32823"/>
    <cellStyle name="适中 2 2" xfId="24129"/>
    <cellStyle name="适中 2 2 2" xfId="33147"/>
    <cellStyle name="适中 2 3" xfId="24131"/>
    <cellStyle name="适中 2 3 2" xfId="33148"/>
    <cellStyle name="适中 2 4" xfId="33149"/>
    <cellStyle name="适中 2 4 2" xfId="33150"/>
    <cellStyle name="适中 2 5" xfId="33151"/>
    <cellStyle name="适中 2 5 2" xfId="33152"/>
    <cellStyle name="适中 2 6" xfId="33153"/>
    <cellStyle name="适中 2 6 2" xfId="33154"/>
    <cellStyle name="适中 2 7" xfId="33155"/>
    <cellStyle name="适中 2 7 2" xfId="33156"/>
    <cellStyle name="适中 2 8" xfId="9106"/>
    <cellStyle name="适中 2 9" xfId="33157"/>
    <cellStyle name="适中 3" xfId="24134"/>
    <cellStyle name="适中 3 2" xfId="23370"/>
    <cellStyle name="适中 3 3" xfId="23374"/>
    <cellStyle name="适中 3 3 2" xfId="33158"/>
    <cellStyle name="适中 3 4" xfId="20545"/>
    <cellStyle name="适中 3 5" xfId="20550"/>
    <cellStyle name="适中 4" xfId="24136"/>
    <cellStyle name="适中 5" xfId="24146"/>
    <cellStyle name="适中 6" xfId="24154"/>
    <cellStyle name="适中 7" xfId="24162"/>
    <cellStyle name="适中 8" xfId="24170"/>
    <cellStyle name="适中 8 2" xfId="9597"/>
    <cellStyle name="输出" xfId="33159"/>
    <cellStyle name="输出 2" xfId="33160"/>
    <cellStyle name="输出 2 10" xfId="33161"/>
    <cellStyle name="输出 2 10 2" xfId="33162"/>
    <cellStyle name="输出 2 10 2 2" xfId="33163"/>
    <cellStyle name="输出 2 10 2 2 2" xfId="33164"/>
    <cellStyle name="输出 2 10 2 2 2 2" xfId="33165"/>
    <cellStyle name="输出 2 10 2 2 3" xfId="33166"/>
    <cellStyle name="输出 2 10 2 2 3 2" xfId="33167"/>
    <cellStyle name="输出 2 10 2 2 4" xfId="23117"/>
    <cellStyle name="输出 2 10 2 2 4 2" xfId="496"/>
    <cellStyle name="输出 2 10 2 2 5" xfId="33168"/>
    <cellStyle name="输出 2 10 2 3" xfId="5421"/>
    <cellStyle name="输出 2 10 2 3 2" xfId="19526"/>
    <cellStyle name="输出 2 10 2 3 2 2" xfId="5593"/>
    <cellStyle name="输出 2 10 2 3 3" xfId="19528"/>
    <cellStyle name="输出 2 10 2 3 3 2" xfId="5642"/>
    <cellStyle name="输出 2 10 2 3 4" xfId="19531"/>
    <cellStyle name="输出 2 10 2 4" xfId="33169"/>
    <cellStyle name="输出 2 10 2 4 2" xfId="33170"/>
    <cellStyle name="输出 2 10 2 5" xfId="20532"/>
    <cellStyle name="输出 2 10 3" xfId="33171"/>
    <cellStyle name="输出 2 10 3 2" xfId="33172"/>
    <cellStyle name="输出 2 10 3 2 2" xfId="33173"/>
    <cellStyle name="输出 2 10 3 3" xfId="3452"/>
    <cellStyle name="输出 2 10 3 3 2" xfId="33174"/>
    <cellStyle name="输出 2 10 3 4" xfId="22677"/>
    <cellStyle name="输出 2 10 3 4 2" xfId="33175"/>
    <cellStyle name="输出 2 10 3 5" xfId="33176"/>
    <cellStyle name="输出 2 10 4" xfId="28700"/>
    <cellStyle name="输出 2 10 4 2" xfId="33177"/>
    <cellStyle name="输出 2 10 4 2 2" xfId="33178"/>
    <cellStyle name="输出 2 10 4 3" xfId="3462"/>
    <cellStyle name="输出 2 10 4 3 2" xfId="33179"/>
    <cellStyle name="输出 2 10 4 4" xfId="33180"/>
    <cellStyle name="输出 2 10 5" xfId="25732"/>
    <cellStyle name="输出 2 10 5 2" xfId="11099"/>
    <cellStyle name="输出 2 10 6" xfId="33181"/>
    <cellStyle name="输出 2 10 7" xfId="33182"/>
    <cellStyle name="输出 2 11" xfId="26071"/>
    <cellStyle name="输出 2 11 2" xfId="33183"/>
    <cellStyle name="输出 2 11 2 2" xfId="33184"/>
    <cellStyle name="输出 2 11 2 2 2" xfId="33185"/>
    <cellStyle name="输出 2 11 2 2 2 2" xfId="33186"/>
    <cellStyle name="输出 2 11 2 2 3" xfId="21587"/>
    <cellStyle name="输出 2 11 2 2 3 2" xfId="33187"/>
    <cellStyle name="输出 2 11 2 2 4" xfId="33188"/>
    <cellStyle name="输出 2 11 2 2 4 2" xfId="33189"/>
    <cellStyle name="输出 2 11 2 2 5" xfId="33190"/>
    <cellStyle name="输出 2 11 2 3" xfId="6441"/>
    <cellStyle name="输出 2 11 2 3 2" xfId="23142"/>
    <cellStyle name="输出 2 11 2 3 2 2" xfId="33191"/>
    <cellStyle name="输出 2 11 2 3 3" xfId="21590"/>
    <cellStyle name="输出 2 11 2 3 3 2" xfId="33192"/>
    <cellStyle name="输出 2 11 2 3 4" xfId="33193"/>
    <cellStyle name="输出 2 11 2 4" xfId="17949"/>
    <cellStyle name="输出 2 11 2 4 2" xfId="17951"/>
    <cellStyle name="输出 2 11 2 5" xfId="17959"/>
    <cellStyle name="输出 2 11 3" xfId="10267"/>
    <cellStyle name="输出 2 11 3 2" xfId="33194"/>
    <cellStyle name="输出 2 11 3 2 2" xfId="20866"/>
    <cellStyle name="输出 2 11 3 3" xfId="6443"/>
    <cellStyle name="输出 2 11 3 3 2" xfId="33195"/>
    <cellStyle name="输出 2 11 3 4" xfId="18001"/>
    <cellStyle name="输出 2 11 3 4 2" xfId="18003"/>
    <cellStyle name="输出 2 11 3 5" xfId="18007"/>
    <cellStyle name="输出 2 11 4" xfId="33196"/>
    <cellStyle name="输出 2 11 4 2" xfId="33197"/>
    <cellStyle name="输出 2 11 4 2 2" xfId="24005"/>
    <cellStyle name="输出 2 11 4 3" xfId="33198"/>
    <cellStyle name="输出 2 11 4 3 2" xfId="22567"/>
    <cellStyle name="输出 2 11 4 4" xfId="18027"/>
    <cellStyle name="输出 2 11 5" xfId="33199"/>
    <cellStyle name="输出 2 11 5 2" xfId="11125"/>
    <cellStyle name="输出 2 11 6" xfId="27162"/>
    <cellStyle name="输出 2 11 7" xfId="30037"/>
    <cellStyle name="输出 2 12" xfId="24797"/>
    <cellStyle name="输出 2 12 2" xfId="33200"/>
    <cellStyle name="输出 2 12 2 2" xfId="33201"/>
    <cellStyle name="输出 2 12 2 2 2" xfId="9346"/>
    <cellStyle name="输出 2 12 2 3" xfId="33202"/>
    <cellStyle name="输出 2 12 2 3 2" xfId="33203"/>
    <cellStyle name="输出 2 12 2 4" xfId="18726"/>
    <cellStyle name="输出 2 12 2 4 2" xfId="18728"/>
    <cellStyle name="输出 2 12 2 5" xfId="18732"/>
    <cellStyle name="输出 2 12 3" xfId="10270"/>
    <cellStyle name="输出 2 12 3 2" xfId="22679"/>
    <cellStyle name="输出 2 12 3 2 2" xfId="22681"/>
    <cellStyle name="输出 2 12 3 3" xfId="22683"/>
    <cellStyle name="输出 2 12 3 3 2" xfId="22686"/>
    <cellStyle name="输出 2 12 3 4" xfId="18758"/>
    <cellStyle name="输出 2 12 4" xfId="28721"/>
    <cellStyle name="输出 2 12 4 2" xfId="22127"/>
    <cellStyle name="输出 2 12 5" xfId="28725"/>
    <cellStyle name="输出 2 12 6" xfId="27168"/>
    <cellStyle name="输出 2 13" xfId="33204"/>
    <cellStyle name="输出 2 13 2" xfId="25116"/>
    <cellStyle name="输出 2 13 2 2" xfId="25119"/>
    <cellStyle name="输出 2 13 2 2 2" xfId="33205"/>
    <cellStyle name="输出 2 13 2 3" xfId="25123"/>
    <cellStyle name="输出 2 13 2 3 2" xfId="33206"/>
    <cellStyle name="输出 2 13 2 4" xfId="18855"/>
    <cellStyle name="输出 2 13 2 4 2" xfId="33207"/>
    <cellStyle name="输出 2 13 2 5" xfId="18858"/>
    <cellStyle name="输出 2 13 3" xfId="10274"/>
    <cellStyle name="输出 2 13 3 2" xfId="25126"/>
    <cellStyle name="输出 2 13 3 2 2" xfId="25188"/>
    <cellStyle name="输出 2 13 3 3" xfId="25130"/>
    <cellStyle name="输出 2 13 3 3 2" xfId="25191"/>
    <cellStyle name="输出 2 13 3 4" xfId="23232"/>
    <cellStyle name="输出 2 13 4" xfId="25135"/>
    <cellStyle name="输出 2 13 4 2" xfId="25139"/>
    <cellStyle name="输出 2 13 5" xfId="25195"/>
    <cellStyle name="输出 2 13 6" xfId="25218"/>
    <cellStyle name="输出 2 14" xfId="2113"/>
    <cellStyle name="输出 2 14 2" xfId="33208"/>
    <cellStyle name="输出 2 14 2 2" xfId="33209"/>
    <cellStyle name="输出 2 14 3" xfId="33210"/>
    <cellStyle name="输出 2 14 3 2" xfId="33211"/>
    <cellStyle name="输出 2 14 4" xfId="28729"/>
    <cellStyle name="输出 2 14 4 2" xfId="33212"/>
    <cellStyle name="输出 2 14 5" xfId="28731"/>
    <cellStyle name="输出 2 14 6" xfId="33213"/>
    <cellStyle name="输出 2 15" xfId="33214"/>
    <cellStyle name="输出 2 15 2" xfId="33215"/>
    <cellStyle name="输出 2 15 2 2" xfId="33216"/>
    <cellStyle name="输出 2 15 3" xfId="33217"/>
    <cellStyle name="输出 2 15 3 2" xfId="33218"/>
    <cellStyle name="输出 2 15 4" xfId="28733"/>
    <cellStyle name="输出 2 15 4 2" xfId="33219"/>
    <cellStyle name="输出 2 15 5" xfId="28735"/>
    <cellStyle name="输出 2 15 6" xfId="33220"/>
    <cellStyle name="输出 2 16" xfId="33221"/>
    <cellStyle name="输出 2 16 2" xfId="33222"/>
    <cellStyle name="输出 2 16 2 2" xfId="33223"/>
    <cellStyle name="输出 2 16 3" xfId="33224"/>
    <cellStyle name="输出 2 16 3 2" xfId="33225"/>
    <cellStyle name="输出 2 16 4" xfId="8017"/>
    <cellStyle name="输出 2 16 4 2" xfId="33227"/>
    <cellStyle name="输出 2 16 5" xfId="28708"/>
    <cellStyle name="输出 2 16 6" xfId="33228"/>
    <cellStyle name="输出 2 17" xfId="33229"/>
    <cellStyle name="输出 2 17 2" xfId="21959"/>
    <cellStyle name="输出 2 17 3" xfId="21961"/>
    <cellStyle name="输出 2 18" xfId="13072"/>
    <cellStyle name="输出 2 19" xfId="13079"/>
    <cellStyle name="输出 2 2" xfId="33230"/>
    <cellStyle name="输出 2 2 2" xfId="3719"/>
    <cellStyle name="输出 2 2 2 2" xfId="3726"/>
    <cellStyle name="输出 2 2 2 2 2" xfId="28415"/>
    <cellStyle name="输出 2 2 2 2 2 2" xfId="17144"/>
    <cellStyle name="输出 2 2 2 2 2 2 2" xfId="33231"/>
    <cellStyle name="输出 2 2 2 2 2 3" xfId="17147"/>
    <cellStyle name="输出 2 2 2 2 2 3 2" xfId="33232"/>
    <cellStyle name="输出 2 2 2 2 2 4" xfId="30643"/>
    <cellStyle name="输出 2 2 2 2 2 4 2" xfId="21366"/>
    <cellStyle name="输出 2 2 2 2 2 5" xfId="30132"/>
    <cellStyle name="输出 2 2 2 2 3" xfId="28417"/>
    <cellStyle name="输出 2 2 2 2 3 2" xfId="14393"/>
    <cellStyle name="输出 2 2 2 2 3 2 2" xfId="14398"/>
    <cellStyle name="输出 2 2 2 2 3 3" xfId="14407"/>
    <cellStyle name="输出 2 2 2 2 3 3 2" xfId="14410"/>
    <cellStyle name="输出 2 2 2 2 3 4" xfId="1764"/>
    <cellStyle name="输出 2 2 2 2 4" xfId="19064"/>
    <cellStyle name="输出 2 2 2 2 4 2" xfId="14417"/>
    <cellStyle name="输出 2 2 2 2 5" xfId="2146"/>
    <cellStyle name="输出 2 2 2 3" xfId="32849"/>
    <cellStyle name="输出 2 2 2 3 2" xfId="32851"/>
    <cellStyle name="输出 2 2 2 3 2 2" xfId="32853"/>
    <cellStyle name="输出 2 2 2 3 3" xfId="31894"/>
    <cellStyle name="输出 2 2 2 3 3 2" xfId="14460"/>
    <cellStyle name="输出 2 2 2 3 4" xfId="32855"/>
    <cellStyle name="输出 2 2 2 3 4 2" xfId="14474"/>
    <cellStyle name="输出 2 2 2 3 5" xfId="32857"/>
    <cellStyle name="输出 2 2 2 4" xfId="32859"/>
    <cellStyle name="输出 2 2 2 4 2" xfId="32861"/>
    <cellStyle name="输出 2 2 2 4 2 2" xfId="32863"/>
    <cellStyle name="输出 2 2 2 4 3" xfId="31898"/>
    <cellStyle name="输出 2 2 2 4 3 2" xfId="14500"/>
    <cellStyle name="输出 2 2 2 4 4" xfId="32865"/>
    <cellStyle name="输出 2 2 2 5" xfId="28910"/>
    <cellStyle name="输出 2 2 2 5 2" xfId="28913"/>
    <cellStyle name="输出 2 2 2 6" xfId="28920"/>
    <cellStyle name="输出 2 2 2 7" xfId="28928"/>
    <cellStyle name="输出 2 2 3" xfId="3729"/>
    <cellStyle name="输出 2 2 3 2" xfId="7816"/>
    <cellStyle name="输出 2 2 3 2 2" xfId="22177"/>
    <cellStyle name="输出 2 2 3 2 2 2" xfId="33233"/>
    <cellStyle name="输出 2 2 3 2 2 2 2" xfId="29851"/>
    <cellStyle name="输出 2 2 3 2 2 3" xfId="19287"/>
    <cellStyle name="输出 2 2 3 2 2 3 2" xfId="19760"/>
    <cellStyle name="输出 2 2 3 2 2 4" xfId="33234"/>
    <cellStyle name="输出 2 2 3 2 2 4 2" xfId="33235"/>
    <cellStyle name="输出 2 2 3 2 2 5" xfId="30679"/>
    <cellStyle name="输出 2 2 3 2 3" xfId="14780"/>
    <cellStyle name="输出 2 2 3 2 3 2" xfId="14782"/>
    <cellStyle name="输出 2 2 3 2 3 2 2" xfId="15260"/>
    <cellStyle name="输出 2 2 3 2 3 3" xfId="15262"/>
    <cellStyle name="输出 2 2 3 2 3 3 2" xfId="15265"/>
    <cellStyle name="输出 2 2 3 2 3 4" xfId="15269"/>
    <cellStyle name="输出 2 2 3 2 4" xfId="14785"/>
    <cellStyle name="输出 2 2 3 2 4 2" xfId="14787"/>
    <cellStyle name="输出 2 2 3 2 5" xfId="14790"/>
    <cellStyle name="输出 2 2 3 3" xfId="32867"/>
    <cellStyle name="输出 2 2 3 3 2" xfId="32869"/>
    <cellStyle name="输出 2 2 3 3 2 2" xfId="33236"/>
    <cellStyle name="输出 2 2 3 3 3" xfId="14794"/>
    <cellStyle name="输出 2 2 3 3 3 2" xfId="33237"/>
    <cellStyle name="输出 2 2 3 3 4" xfId="30791"/>
    <cellStyle name="输出 2 2 3 3 4 2" xfId="30793"/>
    <cellStyle name="输出 2 2 3 3 5" xfId="33238"/>
    <cellStyle name="输出 2 2 3 4" xfId="32872"/>
    <cellStyle name="输出 2 2 3 4 2" xfId="32874"/>
    <cellStyle name="输出 2 2 3 4 2 2" xfId="26418"/>
    <cellStyle name="输出 2 2 3 4 3" xfId="31903"/>
    <cellStyle name="输出 2 2 3 4 3 2" xfId="33239"/>
    <cellStyle name="输出 2 2 3 4 4" xfId="33240"/>
    <cellStyle name="输出 2 2 3 5" xfId="32876"/>
    <cellStyle name="输出 2 2 3 5 2" xfId="32878"/>
    <cellStyle name="输出 2 2 3 6" xfId="32373"/>
    <cellStyle name="输出 2 2 4" xfId="30218"/>
    <cellStyle name="输出 2 2 4 2" xfId="33241"/>
    <cellStyle name="输出 2 2 4 2 2" xfId="19107"/>
    <cellStyle name="输出 2 2 4 2 2 2" xfId="19112"/>
    <cellStyle name="输出 2 2 4 2 3" xfId="14826"/>
    <cellStyle name="输出 2 2 4 2 3 2" xfId="32033"/>
    <cellStyle name="输出 2 2 4 2 4" xfId="33242"/>
    <cellStyle name="输出 2 2 4 2 4 2" xfId="33243"/>
    <cellStyle name="输出 2 2 4 2 5" xfId="33244"/>
    <cellStyle name="输出 2 2 4 3" xfId="32881"/>
    <cellStyle name="输出 2 2 4 3 2" xfId="32883"/>
    <cellStyle name="输出 2 2 4 3 2 2" xfId="26848"/>
    <cellStyle name="输出 2 2 4 3 3" xfId="31908"/>
    <cellStyle name="输出 2 2 4 3 3 2" xfId="33245"/>
    <cellStyle name="输出 2 2 4 3 4" xfId="33246"/>
    <cellStyle name="输出 2 2 4 4" xfId="10476"/>
    <cellStyle name="输出 2 2 4 4 2" xfId="27379"/>
    <cellStyle name="输出 2 2 4 5" xfId="32885"/>
    <cellStyle name="输出 2 2 5" xfId="33247"/>
    <cellStyle name="输出 2 2 5 2" xfId="33248"/>
    <cellStyle name="输出 2 2 5 2 2" xfId="22188"/>
    <cellStyle name="输出 2 2 5 2 2 2" xfId="22191"/>
    <cellStyle name="输出 2 2 5 2 3" xfId="14856"/>
    <cellStyle name="输出 2 2 5 2 3 2" xfId="22193"/>
    <cellStyle name="输出 2 2 5 2 4" xfId="14809"/>
    <cellStyle name="输出 2 2 5 2 4 2" xfId="33092"/>
    <cellStyle name="输出 2 2 5 2 5" xfId="33249"/>
    <cellStyle name="输出 2 2 5 3" xfId="32889"/>
    <cellStyle name="输出 2 2 5 3 2" xfId="32891"/>
    <cellStyle name="输出 2 2 5 3 2 2" xfId="33250"/>
    <cellStyle name="输出 2 2 5 3 3" xfId="33251"/>
    <cellStyle name="输出 2 2 5 3 3 2" xfId="33252"/>
    <cellStyle name="输出 2 2 5 3 4" xfId="33253"/>
    <cellStyle name="输出 2 2 5 4" xfId="29349"/>
    <cellStyle name="输出 2 2 5 4 2" xfId="32893"/>
    <cellStyle name="输出 2 2 5 5" xfId="32895"/>
    <cellStyle name="输出 2 2 6" xfId="33254"/>
    <cellStyle name="输出 2 2 6 2" xfId="33255"/>
    <cellStyle name="输出 2 2 6 2 2" xfId="27801"/>
    <cellStyle name="输出 2 2 6 3" xfId="19479"/>
    <cellStyle name="输出 2 2 6 3 2" xfId="21756"/>
    <cellStyle name="输出 2 2 6 4" xfId="29353"/>
    <cellStyle name="输出 2 2 6 4 2" xfId="32394"/>
    <cellStyle name="输出 2 2 6 5" xfId="32399"/>
    <cellStyle name="输出 2 2 7" xfId="33256"/>
    <cellStyle name="输出 2 2 7 2" xfId="33257"/>
    <cellStyle name="输出 2 2 7 2 2" xfId="33258"/>
    <cellStyle name="输出 2 2 7 3" xfId="19484"/>
    <cellStyle name="输出 2 2 7 3 2" xfId="32408"/>
    <cellStyle name="输出 2 2 7 4" xfId="29357"/>
    <cellStyle name="输出 2 2 7 4 2" xfId="25982"/>
    <cellStyle name="输出 2 2 7 5" xfId="32420"/>
    <cellStyle name="输出 2 2 8" xfId="33260"/>
    <cellStyle name="输出 2 2 8 2" xfId="33261"/>
    <cellStyle name="输出 2 2 8 2 2" xfId="33262"/>
    <cellStyle name="输出 2 2 8 3" xfId="19489"/>
    <cellStyle name="输出 2 2 8 3 2" xfId="32428"/>
    <cellStyle name="输出 2 2 8 4" xfId="32435"/>
    <cellStyle name="输出 2 2 8 4 2" xfId="32437"/>
    <cellStyle name="输出 2 2 8 5" xfId="32443"/>
    <cellStyle name="输出 2 2 9" xfId="26436"/>
    <cellStyle name="输出 2 3" xfId="23105"/>
    <cellStyle name="输出 2 3 2" xfId="3754"/>
    <cellStyle name="输出 2 3 2 2" xfId="23107"/>
    <cellStyle name="输出 2 3 2 2 2" xfId="28518"/>
    <cellStyle name="输出 2 3 2 2 2 2" xfId="27642"/>
    <cellStyle name="输出 2 3 2 2 2 2 2" xfId="33263"/>
    <cellStyle name="输出 2 3 2 2 2 3" xfId="27644"/>
    <cellStyle name="输出 2 3 2 2 2 3 2" xfId="30533"/>
    <cellStyle name="输出 2 3 2 2 2 4" xfId="27646"/>
    <cellStyle name="输出 2 3 2 2 2 4 2" xfId="33264"/>
    <cellStyle name="输出 2 3 2 2 2 5" xfId="27648"/>
    <cellStyle name="输出 2 3 2 2 3" xfId="33265"/>
    <cellStyle name="输出 2 3 2 2 3 2" xfId="15329"/>
    <cellStyle name="输出 2 3 2 2 3 2 2" xfId="15331"/>
    <cellStyle name="输出 2 3 2 2 3 3" xfId="15333"/>
    <cellStyle name="输出 2 3 2 2 3 3 2" xfId="15335"/>
    <cellStyle name="输出 2 3 2 2 3 4" xfId="15337"/>
    <cellStyle name="输出 2 3 2 2 4" xfId="32176"/>
    <cellStyle name="输出 2 3 2 2 4 2" xfId="15339"/>
    <cellStyle name="输出 2 3 2 2 5" xfId="33266"/>
    <cellStyle name="输出 2 3 2 3" xfId="20058"/>
    <cellStyle name="输出 2 3 2 3 2" xfId="32929"/>
    <cellStyle name="输出 2 3 2 3 2 2" xfId="32931"/>
    <cellStyle name="输出 2 3 2 3 3" xfId="19790"/>
    <cellStyle name="输出 2 3 2 3 3 2" xfId="27820"/>
    <cellStyle name="输出 2 3 2 3 4" xfId="32933"/>
    <cellStyle name="输出 2 3 2 3 4 2" xfId="32935"/>
    <cellStyle name="输出 2 3 2 3 5" xfId="32938"/>
    <cellStyle name="输出 2 3 2 4" xfId="8619"/>
    <cellStyle name="输出 2 3 2 4 2" xfId="28315"/>
    <cellStyle name="输出 2 3 2 4 2 2" xfId="28318"/>
    <cellStyle name="输出 2 3 2 4 3" xfId="30929"/>
    <cellStyle name="输出 2 3 2 4 3 2" xfId="32940"/>
    <cellStyle name="输出 2 3 2 4 4" xfId="32942"/>
    <cellStyle name="输出 2 3 2 5" xfId="32944"/>
    <cellStyle name="输出 2 3 2 5 2" xfId="32946"/>
    <cellStyle name="输出 2 3 2 6" xfId="32948"/>
    <cellStyle name="输出 2 3 2 7" xfId="33267"/>
    <cellStyle name="输出 2 3 3" xfId="6162"/>
    <cellStyle name="输出 2 3 3 2" xfId="6166"/>
    <cellStyle name="输出 2 3 3 2 2" xfId="19397"/>
    <cellStyle name="输出 2 3 3 2 2 2" xfId="3046"/>
    <cellStyle name="输出 2 3 3 2 2 2 2" xfId="3053"/>
    <cellStyle name="输出 2 3 3 2 2 3" xfId="3080"/>
    <cellStyle name="输出 2 3 3 2 2 3 2" xfId="3085"/>
    <cellStyle name="输出 2 3 3 2 2 4" xfId="3092"/>
    <cellStyle name="输出 2 3 3 2 2 4 2" xfId="8185"/>
    <cellStyle name="输出 2 3 3 2 2 5" xfId="24647"/>
    <cellStyle name="输出 2 3 3 2 3" xfId="14958"/>
    <cellStyle name="输出 2 3 3 2 3 2" xfId="3113"/>
    <cellStyle name="输出 2 3 3 2 3 2 2" xfId="3120"/>
    <cellStyle name="输出 2 3 3 2 3 3" xfId="3128"/>
    <cellStyle name="输出 2 3 3 2 3 3 2" xfId="3133"/>
    <cellStyle name="输出 2 3 3 2 3 4" xfId="3138"/>
    <cellStyle name="输出 2 3 3 2 4" xfId="14962"/>
    <cellStyle name="输出 2 3 3 2 4 2" xfId="3148"/>
    <cellStyle name="输出 2 3 3 2 5" xfId="14965"/>
    <cellStyle name="输出 2 3 3 3" xfId="32951"/>
    <cellStyle name="输出 2 3 3 3 2" xfId="29606"/>
    <cellStyle name="输出 2 3 3 3 2 2" xfId="3426"/>
    <cellStyle name="输出 2 3 3 3 3" xfId="14971"/>
    <cellStyle name="输出 2 3 3 3 3 2" xfId="3459"/>
    <cellStyle name="输出 2 3 3 3 4" xfId="32785"/>
    <cellStyle name="输出 2 3 3 3 4 2" xfId="32787"/>
    <cellStyle name="输出 2 3 3 3 5" xfId="32792"/>
    <cellStyle name="输出 2 3 3 4" xfId="8626"/>
    <cellStyle name="输出 2 3 3 4 2" xfId="32811"/>
    <cellStyle name="输出 2 3 3 4 2 2" xfId="23130"/>
    <cellStyle name="输出 2 3 3 4 3" xfId="30152"/>
    <cellStyle name="输出 2 3 3 4 3 2" xfId="28100"/>
    <cellStyle name="输出 2 3 3 4 4" xfId="30156"/>
    <cellStyle name="输出 2 3 3 5" xfId="32953"/>
    <cellStyle name="输出 2 3 3 5 2" xfId="32846"/>
    <cellStyle name="输出 2 3 3 6" xfId="32955"/>
    <cellStyle name="输出 2 3 4" xfId="6170"/>
    <cellStyle name="输出 2 3 4 2" xfId="6175"/>
    <cellStyle name="输出 2 3 4 2 2" xfId="23764"/>
    <cellStyle name="输出 2 3 4 2 2 2" xfId="3915"/>
    <cellStyle name="输出 2 3 4 2 3" xfId="15000"/>
    <cellStyle name="输出 2 3 4 2 3 2" xfId="23766"/>
    <cellStyle name="输出 2 3 4 2 4" xfId="23770"/>
    <cellStyle name="输出 2 3 4 2 4 2" xfId="23772"/>
    <cellStyle name="输出 2 3 4 2 5" xfId="23774"/>
    <cellStyle name="输出 2 3 4 3" xfId="23789"/>
    <cellStyle name="输出 2 3 4 3 2" xfId="23796"/>
    <cellStyle name="输出 2 3 4 3 2 2" xfId="23799"/>
    <cellStyle name="输出 2 3 4 3 3" xfId="23801"/>
    <cellStyle name="输出 2 3 4 3 3 2" xfId="23804"/>
    <cellStyle name="输出 2 3 4 3 4" xfId="23808"/>
    <cellStyle name="输出 2 3 4 4" xfId="20968"/>
    <cellStyle name="输出 2 3 4 4 2" xfId="23842"/>
    <cellStyle name="输出 2 3 4 5" xfId="23906"/>
    <cellStyle name="输出 2 3 5" xfId="6180"/>
    <cellStyle name="输出 2 3 5 2" xfId="7203"/>
    <cellStyle name="输出 2 3 5 2 2" xfId="24175"/>
    <cellStyle name="输出 2 3 5 2 2 2" xfId="24190"/>
    <cellStyle name="输出 2 3 5 2 3" xfId="15028"/>
    <cellStyle name="输出 2 3 5 2 3 2" xfId="24239"/>
    <cellStyle name="输出 2 3 5 2 4" xfId="14840"/>
    <cellStyle name="输出 2 3 5 2 4 2" xfId="24280"/>
    <cellStyle name="输出 2 3 5 2 5" xfId="24314"/>
    <cellStyle name="输出 2 3 5 3" xfId="24507"/>
    <cellStyle name="输出 2 3 5 3 2" xfId="24514"/>
    <cellStyle name="输出 2 3 5 3 2 2" xfId="9357"/>
    <cellStyle name="输出 2 3 5 3 3" xfId="24517"/>
    <cellStyle name="输出 2 3 5 3 3 2" xfId="9367"/>
    <cellStyle name="输出 2 3 5 3 4" xfId="24519"/>
    <cellStyle name="输出 2 3 5 4" xfId="20972"/>
    <cellStyle name="输出 2 3 5 4 2" xfId="24582"/>
    <cellStyle name="输出 2 3 5 5" xfId="24601"/>
    <cellStyle name="输出 2 3 6" xfId="5355"/>
    <cellStyle name="输出 2 3 6 2" xfId="24733"/>
    <cellStyle name="输出 2 3 6 2 2" xfId="24736"/>
    <cellStyle name="输出 2 3 6 3" xfId="24747"/>
    <cellStyle name="输出 2 3 6 3 2" xfId="24750"/>
    <cellStyle name="输出 2 3 6 4" xfId="24757"/>
    <cellStyle name="输出 2 3 6 4 2" xfId="24761"/>
    <cellStyle name="输出 2 3 6 5" xfId="24770"/>
    <cellStyle name="输出 2 3 7" xfId="24854"/>
    <cellStyle name="输出 2 3 7 2" xfId="24859"/>
    <cellStyle name="输出 2 3 7 2 2" xfId="24861"/>
    <cellStyle name="输出 2 3 7 3" xfId="24867"/>
    <cellStyle name="输出 2 3 7 3 2" xfId="32486"/>
    <cellStyle name="输出 2 3 7 4" xfId="24870"/>
    <cellStyle name="输出 2 3 7 4 2" xfId="32490"/>
    <cellStyle name="输出 2 3 7 5" xfId="24874"/>
    <cellStyle name="输出 2 3 8" xfId="24943"/>
    <cellStyle name="输出 2 3 8 2" xfId="24947"/>
    <cellStyle name="输出 2 3 8 2 2" xfId="33268"/>
    <cellStyle name="输出 2 3 8 3" xfId="24949"/>
    <cellStyle name="输出 2 3 8 3 2" xfId="21485"/>
    <cellStyle name="输出 2 3 8 4" xfId="24952"/>
    <cellStyle name="输出 2 3 8 4 2" xfId="32502"/>
    <cellStyle name="输出 2 3 8 5" xfId="24955"/>
    <cellStyle name="输出 2 3 9" xfId="24974"/>
    <cellStyle name="输出 2 4" xfId="33269"/>
    <cellStyle name="输出 2 4 2" xfId="3786"/>
    <cellStyle name="输出 2 4 2 2" xfId="33270"/>
    <cellStyle name="输出 2 4 2 2 2" xfId="30506"/>
    <cellStyle name="输出 2 4 2 2 2 2" xfId="30508"/>
    <cellStyle name="输出 2 4 2 2 2 2 2" xfId="23542"/>
    <cellStyle name="输出 2 4 2 2 2 3" xfId="1240"/>
    <cellStyle name="输出 2 4 2 2 2 3 2" xfId="4443"/>
    <cellStyle name="输出 2 4 2 2 2 4" xfId="4445"/>
    <cellStyle name="输出 2 4 2 2 2 4 2" xfId="4447"/>
    <cellStyle name="输出 2 4 2 2 2 5" xfId="4449"/>
    <cellStyle name="输出 2 4 2 2 3" xfId="30510"/>
    <cellStyle name="输出 2 4 2 2 3 2" xfId="30512"/>
    <cellStyle name="输出 2 4 2 2 3 2 2" xfId="33271"/>
    <cellStyle name="输出 2 4 2 2 3 3" xfId="1403"/>
    <cellStyle name="输出 2 4 2 2 3 3 2" xfId="4453"/>
    <cellStyle name="输出 2 4 2 2 3 4" xfId="4455"/>
    <cellStyle name="输出 2 4 2 2 4" xfId="30514"/>
    <cellStyle name="输出 2 4 2 2 4 2" xfId="30516"/>
    <cellStyle name="输出 2 4 2 2 5" xfId="30518"/>
    <cellStyle name="输出 2 4 2 3" xfId="29922"/>
    <cellStyle name="输出 2 4 2 3 2" xfId="8827"/>
    <cellStyle name="输出 2 4 2 3 2 2" xfId="8830"/>
    <cellStyle name="输出 2 4 2 3 3" xfId="8838"/>
    <cellStyle name="输出 2 4 2 3 3 2" xfId="33272"/>
    <cellStyle name="输出 2 4 2 3 4" xfId="33273"/>
    <cellStyle name="输出 2 4 2 3 4 2" xfId="33274"/>
    <cellStyle name="输出 2 4 2 3 5" xfId="33275"/>
    <cellStyle name="输出 2 4 2 4" xfId="33276"/>
    <cellStyle name="输出 2 4 2 4 2" xfId="33277"/>
    <cellStyle name="输出 2 4 2 4 2 2" xfId="33278"/>
    <cellStyle name="输出 2 4 2 4 3" xfId="32098"/>
    <cellStyle name="输出 2 4 2 4 3 2" xfId="33279"/>
    <cellStyle name="输出 2 4 2 4 4" xfId="33280"/>
    <cellStyle name="输出 2 4 2 5" xfId="33281"/>
    <cellStyle name="输出 2 4 2 5 2" xfId="33282"/>
    <cellStyle name="输出 2 4 2 6" xfId="29553"/>
    <cellStyle name="输出 2 4 3" xfId="6191"/>
    <cellStyle name="输出 2 4 3 2" xfId="6194"/>
    <cellStyle name="输出 2 4 3 2 2" xfId="33283"/>
    <cellStyle name="输出 2 4 3 2 2 2" xfId="33284"/>
    <cellStyle name="输出 2 4 3 2 2 2 2" xfId="10140"/>
    <cellStyle name="输出 2 4 3 2 2 3" xfId="4489"/>
    <cellStyle name="输出 2 4 3 2 2 3 2" xfId="4492"/>
    <cellStyle name="输出 2 4 3 2 2 4" xfId="4494"/>
    <cellStyle name="输出 2 4 3 2 2 4 2" xfId="4496"/>
    <cellStyle name="输出 2 4 3 2 2 5" xfId="4498"/>
    <cellStyle name="输出 2 4 3 2 3" xfId="15075"/>
    <cellStyle name="输出 2 4 3 2 3 2" xfId="33285"/>
    <cellStyle name="输出 2 4 3 2 3 2 2" xfId="33286"/>
    <cellStyle name="输出 2 4 3 2 3 3" xfId="3602"/>
    <cellStyle name="输出 2 4 3 2 3 3 2" xfId="4503"/>
    <cellStyle name="输出 2 4 3 2 3 4" xfId="4506"/>
    <cellStyle name="输出 2 4 3 2 4" xfId="33287"/>
    <cellStyle name="输出 2 4 3 2 4 2" xfId="33288"/>
    <cellStyle name="输出 2 4 3 2 5" xfId="33289"/>
    <cellStyle name="输出 2 4 3 3" xfId="33290"/>
    <cellStyle name="输出 2 4 3 3 2" xfId="30127"/>
    <cellStyle name="输出 2 4 3 3 2 2" xfId="33291"/>
    <cellStyle name="输出 2 4 3 3 3" xfId="32103"/>
    <cellStyle name="输出 2 4 3 3 3 2" xfId="33292"/>
    <cellStyle name="输出 2 4 3 3 4" xfId="33293"/>
    <cellStyle name="输出 2 4 3 3 4 2" xfId="33294"/>
    <cellStyle name="输出 2 4 3 3 5" xfId="33295"/>
    <cellStyle name="输出 2 4 3 4" xfId="33296"/>
    <cellStyle name="输出 2 4 3 4 2" xfId="33297"/>
    <cellStyle name="输出 2 4 3 4 2 2" xfId="24432"/>
    <cellStyle name="输出 2 4 3 4 3" xfId="32106"/>
    <cellStyle name="输出 2 4 3 4 3 2" xfId="31159"/>
    <cellStyle name="输出 2 4 3 4 4" xfId="33298"/>
    <cellStyle name="输出 2 4 3 5" xfId="33299"/>
    <cellStyle name="输出 2 4 3 5 2" xfId="33300"/>
    <cellStyle name="输出 2 4 3 6" xfId="33301"/>
    <cellStyle name="输出 2 4 4" xfId="6199"/>
    <cellStyle name="输出 2 4 4 2" xfId="7209"/>
    <cellStyle name="输出 2 4 4 2 2" xfId="25164"/>
    <cellStyle name="输出 2 4 4 2 2 2" xfId="33302"/>
    <cellStyle name="输出 2 4 4 2 3" xfId="15087"/>
    <cellStyle name="输出 2 4 4 2 3 2" xfId="33303"/>
    <cellStyle name="输出 2 4 4 2 4" xfId="33304"/>
    <cellStyle name="输出 2 4 4 2 4 2" xfId="33305"/>
    <cellStyle name="输出 2 4 4 2 5" xfId="33306"/>
    <cellStyle name="输出 2 4 4 3" xfId="25166"/>
    <cellStyle name="输出 2 4 4 3 2" xfId="25168"/>
    <cellStyle name="输出 2 4 4 3 2 2" xfId="18370"/>
    <cellStyle name="输出 2 4 4 3 3" xfId="4066"/>
    <cellStyle name="输出 2 4 4 3 3 2" xfId="18381"/>
    <cellStyle name="输出 2 4 4 3 4" xfId="33307"/>
    <cellStyle name="输出 2 4 4 4" xfId="25170"/>
    <cellStyle name="输出 2 4 4 4 2" xfId="25172"/>
    <cellStyle name="输出 2 4 4 5" xfId="25174"/>
    <cellStyle name="输出 2 4 5" xfId="7134"/>
    <cellStyle name="输出 2 4 5 2" xfId="19174"/>
    <cellStyle name="输出 2 4 5 2 2" xfId="25256"/>
    <cellStyle name="输出 2 4 5 2 2 2" xfId="8105"/>
    <cellStyle name="输出 2 4 5 2 3" xfId="25260"/>
    <cellStyle name="输出 2 4 5 2 3 2" xfId="8119"/>
    <cellStyle name="输出 2 4 5 2 4" xfId="28609"/>
    <cellStyle name="输出 2 4 5 2 4 2" xfId="33308"/>
    <cellStyle name="输出 2 4 5 2 5" xfId="28611"/>
    <cellStyle name="输出 2 4 5 3" xfId="25263"/>
    <cellStyle name="输出 2 4 5 3 2" xfId="25265"/>
    <cellStyle name="输出 2 4 5 3 2 2" xfId="8154"/>
    <cellStyle name="输出 2 4 5 3 3" xfId="4093"/>
    <cellStyle name="输出 2 4 5 3 3 2" xfId="8175"/>
    <cellStyle name="输出 2 4 5 3 4" xfId="33309"/>
    <cellStyle name="输出 2 4 5 4" xfId="25267"/>
    <cellStyle name="输出 2 4 5 4 2" xfId="25269"/>
    <cellStyle name="输出 2 4 5 5" xfId="25271"/>
    <cellStyle name="输出 2 4 6" xfId="11486"/>
    <cellStyle name="输出 2 4 6 2" xfId="25334"/>
    <cellStyle name="输出 2 4 6 2 2" xfId="25336"/>
    <cellStyle name="输出 2 4 6 3" xfId="14890"/>
    <cellStyle name="输出 2 4 6 3 2" xfId="25339"/>
    <cellStyle name="输出 2 4 6 4" xfId="25344"/>
    <cellStyle name="输出 2 4 6 4 2" xfId="25347"/>
    <cellStyle name="输出 2 4 6 5" xfId="25352"/>
    <cellStyle name="输出 2 4 7" xfId="25362"/>
    <cellStyle name="输出 2 4 7 2" xfId="25370"/>
    <cellStyle name="输出 2 4 7 2 2" xfId="25372"/>
    <cellStyle name="输出 2 4 7 3" xfId="14896"/>
    <cellStyle name="输出 2 4 7 3 2" xfId="25377"/>
    <cellStyle name="输出 2 4 7 4" xfId="25382"/>
    <cellStyle name="输出 2 4 7 4 2" xfId="25385"/>
    <cellStyle name="输出 2 4 7 5" xfId="25390"/>
    <cellStyle name="输出 2 4 8" xfId="25400"/>
    <cellStyle name="输出 2 4 8 2" xfId="25408"/>
    <cellStyle name="输出 2 4 8 2 2" xfId="25411"/>
    <cellStyle name="输出 2 4 8 3" xfId="14902"/>
    <cellStyle name="输出 2 4 8 3 2" xfId="25414"/>
    <cellStyle name="输出 2 4 8 4" xfId="25419"/>
    <cellStyle name="输出 2 4 8 4 2" xfId="25422"/>
    <cellStyle name="输出 2 4 8 5" xfId="25428"/>
    <cellStyle name="输出 2 4 9" xfId="25433"/>
    <cellStyle name="输出 2 5" xfId="33310"/>
    <cellStyle name="输出 2 5 2" xfId="3794"/>
    <cellStyle name="输出 2 5 2 2" xfId="30578"/>
    <cellStyle name="输出 2 5 2 2 2" xfId="33311"/>
    <cellStyle name="输出 2 5 2 2 2 2" xfId="33312"/>
    <cellStyle name="输出 2 5 2 2 2 2 2" xfId="33313"/>
    <cellStyle name="输出 2 5 2 2 2 3" xfId="33314"/>
    <cellStyle name="输出 2 5 2 2 2 3 2" xfId="33315"/>
    <cellStyle name="输出 2 5 2 2 2 4" xfId="33316"/>
    <cellStyle name="输出 2 5 2 2 2 4 2" xfId="10962"/>
    <cellStyle name="输出 2 5 2 2 2 5" xfId="33108"/>
    <cellStyle name="输出 2 5 2 2 3" xfId="33317"/>
    <cellStyle name="输出 2 5 2 2 3 2" xfId="33318"/>
    <cellStyle name="输出 2 5 2 2 3 2 2" xfId="33319"/>
    <cellStyle name="输出 2 5 2 2 3 3" xfId="33320"/>
    <cellStyle name="输出 2 5 2 2 3 3 2" xfId="33321"/>
    <cellStyle name="输出 2 5 2 2 3 4" xfId="33322"/>
    <cellStyle name="输出 2 5 2 2 4" xfId="33226"/>
    <cellStyle name="输出 2 5 2 2 4 2" xfId="20039"/>
    <cellStyle name="输出 2 5 2 2 5" xfId="20647"/>
    <cellStyle name="输出 2 5 2 3" xfId="20864"/>
    <cellStyle name="输出 2 5 2 3 2" xfId="33323"/>
    <cellStyle name="输出 2 5 2 3 2 2" xfId="33324"/>
    <cellStyle name="输出 2 5 2 3 3" xfId="32159"/>
    <cellStyle name="输出 2 5 2 3 3 2" xfId="33325"/>
    <cellStyle name="输出 2 5 2 3 4" xfId="33326"/>
    <cellStyle name="输出 2 5 2 3 4 2" xfId="19357"/>
    <cellStyle name="输出 2 5 2 3 5" xfId="20650"/>
    <cellStyle name="输出 2 5 2 4" xfId="19633"/>
    <cellStyle name="输出 2 5 2 4 2" xfId="33327"/>
    <cellStyle name="输出 2 5 2 4 2 2" xfId="33328"/>
    <cellStyle name="输出 2 5 2 4 3" xfId="32161"/>
    <cellStyle name="输出 2 5 2 4 3 2" xfId="3464"/>
    <cellStyle name="输出 2 5 2 4 4" xfId="33329"/>
    <cellStyle name="输出 2 5 2 5" xfId="33330"/>
    <cellStyle name="输出 2 5 2 5 2" xfId="33331"/>
    <cellStyle name="输出 2 5 2 6" xfId="33332"/>
    <cellStyle name="输出 2 5 3" xfId="7214"/>
    <cellStyle name="输出 2 5 3 2" xfId="24271"/>
    <cellStyle name="输出 2 5 3 2 2" xfId="33333"/>
    <cellStyle name="输出 2 5 3 2 2 2" xfId="27912"/>
    <cellStyle name="输出 2 5 3 2 2 2 2" xfId="5410"/>
    <cellStyle name="输出 2 5 3 2 2 3" xfId="10590"/>
    <cellStyle name="输出 2 5 3 2 2 3 2" xfId="24881"/>
    <cellStyle name="输出 2 5 3 2 2 4" xfId="27914"/>
    <cellStyle name="输出 2 5 3 2 2 4 2" xfId="24962"/>
    <cellStyle name="输出 2 5 3 2 2 5" xfId="22069"/>
    <cellStyle name="输出 2 5 3 2 3" xfId="15122"/>
    <cellStyle name="输出 2 5 3 2 3 2" xfId="25439"/>
    <cellStyle name="输出 2 5 3 2 3 2 2" xfId="25357"/>
    <cellStyle name="输出 2 5 3 2 3 3" xfId="16264"/>
    <cellStyle name="输出 2 5 3 2 3 3 2" xfId="25395"/>
    <cellStyle name="输出 2 5 3 2 3 4" xfId="21526"/>
    <cellStyle name="输出 2 5 3 2 4" xfId="21970"/>
    <cellStyle name="输出 2 5 3 2 4 2" xfId="22302"/>
    <cellStyle name="输出 2 5 3 2 5" xfId="22306"/>
    <cellStyle name="输出 2 5 3 3" xfId="24274"/>
    <cellStyle name="输出 2 5 3 3 2" xfId="33334"/>
    <cellStyle name="输出 2 5 3 3 2 2" xfId="20062"/>
    <cellStyle name="输出 2 5 3 3 3" xfId="10419"/>
    <cellStyle name="输出 2 5 3 3 3 2" xfId="10422"/>
    <cellStyle name="输出 2 5 3 3 4" xfId="21981"/>
    <cellStyle name="输出 2 5 3 3 4 2" xfId="22315"/>
    <cellStyle name="输出 2 5 3 3 5" xfId="22319"/>
    <cellStyle name="输出 2 5 3 4" xfId="24276"/>
    <cellStyle name="输出 2 5 3 4 2" xfId="33335"/>
    <cellStyle name="输出 2 5 3 4 2 2" xfId="15222"/>
    <cellStyle name="输出 2 5 3 4 3" xfId="32165"/>
    <cellStyle name="输出 2 5 3 4 3 2" xfId="33336"/>
    <cellStyle name="输出 2 5 3 4 4" xfId="22332"/>
    <cellStyle name="输出 2 5 3 5" xfId="24278"/>
    <cellStyle name="输出 2 5 3 5 2" xfId="33337"/>
    <cellStyle name="输出 2 5 3 6" xfId="33338"/>
    <cellStyle name="输出 2 5 4" xfId="25580"/>
    <cellStyle name="输出 2 5 4 2" xfId="25595"/>
    <cellStyle name="输出 2 5 4 2 2" xfId="25597"/>
    <cellStyle name="输出 2 5 4 2 2 2" xfId="33339"/>
    <cellStyle name="输出 2 5 4 2 3" xfId="15133"/>
    <cellStyle name="输出 2 5 4 2 3 2" xfId="33340"/>
    <cellStyle name="输出 2 5 4 2 4" xfId="19123"/>
    <cellStyle name="输出 2 5 4 2 4 2" xfId="33341"/>
    <cellStyle name="输出 2 5 4 2 5" xfId="25577"/>
    <cellStyle name="输出 2 5 4 3" xfId="25599"/>
    <cellStyle name="输出 2 5 4 3 2" xfId="25601"/>
    <cellStyle name="输出 2 5 4 3 2 2" xfId="33342"/>
    <cellStyle name="输出 2 5 4 3 3" xfId="25603"/>
    <cellStyle name="输出 2 5 4 3 3 2" xfId="24620"/>
    <cellStyle name="输出 2 5 4 3 4" xfId="19134"/>
    <cellStyle name="输出 2 5 4 4" xfId="25606"/>
    <cellStyle name="输出 2 5 4 4 2" xfId="25608"/>
    <cellStyle name="输出 2 5 4 5" xfId="25612"/>
    <cellStyle name="输出 2 5 5" xfId="12296"/>
    <cellStyle name="输出 2 5 5 2" xfId="25632"/>
    <cellStyle name="输出 2 5 5 2 2" xfId="13967"/>
    <cellStyle name="输出 2 5 5 2 2 2" xfId="31993"/>
    <cellStyle name="输出 2 5 5 2 3" xfId="32011"/>
    <cellStyle name="输出 2 5 5 2 3 2" xfId="32013"/>
    <cellStyle name="输出 2 5 5 2 4" xfId="15992"/>
    <cellStyle name="输出 2 5 5 2 4 2" xfId="14969"/>
    <cellStyle name="输出 2 5 5 2 5" xfId="32023"/>
    <cellStyle name="输出 2 5 5 3" xfId="25634"/>
    <cellStyle name="输出 2 5 5 3 2" xfId="32091"/>
    <cellStyle name="输出 2 5 5 3 2 2" xfId="18914"/>
    <cellStyle name="输出 2 5 5 3 3" xfId="32093"/>
    <cellStyle name="输出 2 5 5 3 3 2" xfId="32095"/>
    <cellStyle name="输出 2 5 5 3 4" xfId="15998"/>
    <cellStyle name="输出 2 5 5 4" xfId="25636"/>
    <cellStyle name="输出 2 5 5 4 2" xfId="31118"/>
    <cellStyle name="输出 2 5 5 5" xfId="25638"/>
    <cellStyle name="输出 2 5 6" xfId="11493"/>
    <cellStyle name="输出 2 5 6 2" xfId="25671"/>
    <cellStyle name="输出 2 5 6 2 2" xfId="33343"/>
    <cellStyle name="输出 2 5 6 3" xfId="14912"/>
    <cellStyle name="输出 2 5 6 3 2" xfId="32577"/>
    <cellStyle name="输出 2 5 6 4" xfId="21766"/>
    <cellStyle name="输出 2 5 6 4 2" xfId="31138"/>
    <cellStyle name="输出 2 5 6 5" xfId="25673"/>
    <cellStyle name="输出 2 5 7" xfId="23314"/>
    <cellStyle name="输出 2 5 7 2" xfId="25792"/>
    <cellStyle name="输出 2 5 7 2 2" xfId="27357"/>
    <cellStyle name="输出 2 5 7 3" xfId="14918"/>
    <cellStyle name="输出 2 5 7 3 2" xfId="16042"/>
    <cellStyle name="输出 2 5 7 4" xfId="25794"/>
    <cellStyle name="输出 2 5 7 4 2" xfId="16183"/>
    <cellStyle name="输出 2 5 7 5" xfId="25797"/>
    <cellStyle name="输出 2 5 8" xfId="5487"/>
    <cellStyle name="输出 2 5 8 2" xfId="21884"/>
    <cellStyle name="输出 2 5 8 2 2" xfId="22546"/>
    <cellStyle name="输出 2 5 8 3" xfId="24320"/>
    <cellStyle name="输出 2 5 8 3 2" xfId="16449"/>
    <cellStyle name="输出 2 5 8 4" xfId="24324"/>
    <cellStyle name="输出 2 5 8 4 2" xfId="16498"/>
    <cellStyle name="输出 2 5 8 5" xfId="24328"/>
    <cellStyle name="输出 2 5 9" xfId="23317"/>
    <cellStyle name="输出 2 6" xfId="33344"/>
    <cellStyle name="输出 2 6 2" xfId="3812"/>
    <cellStyle name="输出 2 6 2 2" xfId="1290"/>
    <cellStyle name="输出 2 6 2 2 2" xfId="33345"/>
    <cellStyle name="输出 2 6 2 2 2 2" xfId="33346"/>
    <cellStyle name="输出 2 6 2 2 2 2 2" xfId="28877"/>
    <cellStyle name="输出 2 6 2 2 2 3" xfId="33347"/>
    <cellStyle name="输出 2 6 2 2 2 3 2" xfId="33348"/>
    <cellStyle name="输出 2 6 2 2 2 4" xfId="33349"/>
    <cellStyle name="输出 2 6 2 2 2 4 2" xfId="19718"/>
    <cellStyle name="输出 2 6 2 2 2 5" xfId="33350"/>
    <cellStyle name="输出 2 6 2 2 3" xfId="33351"/>
    <cellStyle name="输出 2 6 2 2 3 2" xfId="33352"/>
    <cellStyle name="输出 2 6 2 2 3 2 2" xfId="33353"/>
    <cellStyle name="输出 2 6 2 2 3 3" xfId="33354"/>
    <cellStyle name="输出 2 6 2 2 3 3 2" xfId="33355"/>
    <cellStyle name="输出 2 6 2 2 3 4" xfId="33356"/>
    <cellStyle name="输出 2 6 2 2 4" xfId="33357"/>
    <cellStyle name="输出 2 6 2 2 4 2" xfId="33358"/>
    <cellStyle name="输出 2 6 2 2 5" xfId="33359"/>
    <cellStyle name="输出 2 6 2 3" xfId="33360"/>
    <cellStyle name="输出 2 6 2 3 2" xfId="33361"/>
    <cellStyle name="输出 2 6 2 3 2 2" xfId="33362"/>
    <cellStyle name="输出 2 6 2 3 3" xfId="33363"/>
    <cellStyle name="输出 2 6 2 3 3 2" xfId="33364"/>
    <cellStyle name="输出 2 6 2 3 4" xfId="33365"/>
    <cellStyle name="输出 2 6 2 3 4 2" xfId="17601"/>
    <cellStyle name="输出 2 6 2 3 5" xfId="461"/>
    <cellStyle name="输出 2 6 2 4" xfId="33366"/>
    <cellStyle name="输出 2 6 2 4 2" xfId="33367"/>
    <cellStyle name="输出 2 6 2 4 2 2" xfId="24362"/>
    <cellStyle name="输出 2 6 2 4 3" xfId="33368"/>
    <cellStyle name="输出 2 6 2 4 3 2" xfId="33369"/>
    <cellStyle name="输出 2 6 2 4 4" xfId="33370"/>
    <cellStyle name="输出 2 6 2 5" xfId="33371"/>
    <cellStyle name="输出 2 6 2 5 2" xfId="33372"/>
    <cellStyle name="输出 2 6 2 6" xfId="33373"/>
    <cellStyle name="输出 2 6 3" xfId="23433"/>
    <cellStyle name="输出 2 6 3 2" xfId="24421"/>
    <cellStyle name="输出 2 6 3 2 2" xfId="33374"/>
    <cellStyle name="输出 2 6 3 2 2 2" xfId="33375"/>
    <cellStyle name="输出 2 6 3 2 2 2 2" xfId="33376"/>
    <cellStyle name="输出 2 6 3 2 2 3" xfId="11089"/>
    <cellStyle name="输出 2 6 3 2 2 3 2" xfId="19300"/>
    <cellStyle name="输出 2 6 3 2 2 4" xfId="33377"/>
    <cellStyle name="输出 2 6 3 2 2 4 2" xfId="33378"/>
    <cellStyle name="输出 2 6 3 2 2 5" xfId="13456"/>
    <cellStyle name="输出 2 6 3 2 3" xfId="15154"/>
    <cellStyle name="输出 2 6 3 2 3 2" xfId="33379"/>
    <cellStyle name="输出 2 6 3 2 3 2 2" xfId="33380"/>
    <cellStyle name="输出 2 6 3 2 3 3" xfId="33381"/>
    <cellStyle name="输出 2 6 3 2 3 3 2" xfId="30432"/>
    <cellStyle name="输出 2 6 3 2 3 4" xfId="33382"/>
    <cellStyle name="输出 2 6 3 2 4" xfId="33383"/>
    <cellStyle name="输出 2 6 3 2 4 2" xfId="33384"/>
    <cellStyle name="输出 2 6 3 2 5" xfId="33385"/>
    <cellStyle name="输出 2 6 3 3" xfId="24423"/>
    <cellStyle name="输出 2 6 3 3 2" xfId="33386"/>
    <cellStyle name="输出 2 6 3 3 2 2" xfId="33387"/>
    <cellStyle name="输出 2 6 3 3 3" xfId="33388"/>
    <cellStyle name="输出 2 6 3 3 3 2" xfId="33389"/>
    <cellStyle name="输出 2 6 3 3 4" xfId="33390"/>
    <cellStyle name="输出 2 6 3 3 4 2" xfId="30687"/>
    <cellStyle name="输出 2 6 3 3 5" xfId="31057"/>
    <cellStyle name="输出 2 6 3 4" xfId="24425"/>
    <cellStyle name="输出 2 6 3 4 2" xfId="33391"/>
    <cellStyle name="输出 2 6 3 4 2 2" xfId="33392"/>
    <cellStyle name="输出 2 6 3 4 3" xfId="33393"/>
    <cellStyle name="输出 2 6 3 4 3 2" xfId="33394"/>
    <cellStyle name="输出 2 6 3 4 4" xfId="33395"/>
    <cellStyle name="输出 2 6 3 5" xfId="24427"/>
    <cellStyle name="输出 2 6 3 5 2" xfId="30981"/>
    <cellStyle name="输出 2 6 3 6" xfId="13535"/>
    <cellStyle name="输出 2 6 4" xfId="23435"/>
    <cellStyle name="输出 2 6 4 2" xfId="26022"/>
    <cellStyle name="输出 2 6 4 2 2" xfId="26024"/>
    <cellStyle name="输出 2 6 4 2 2 2" xfId="33396"/>
    <cellStyle name="输出 2 6 4 2 3" xfId="26026"/>
    <cellStyle name="输出 2 6 4 2 3 2" xfId="33397"/>
    <cellStyle name="输出 2 6 4 2 4" xfId="33398"/>
    <cellStyle name="输出 2 6 4 2 4 2" xfId="33259"/>
    <cellStyle name="输出 2 6 4 2 5" xfId="18127"/>
    <cellStyle name="输出 2 6 4 3" xfId="26028"/>
    <cellStyle name="输出 2 6 4 3 2" xfId="2723"/>
    <cellStyle name="输出 2 6 4 3 2 2" xfId="33399"/>
    <cellStyle name="输出 2 6 4 3 3" xfId="26030"/>
    <cellStyle name="输出 2 6 4 3 3 2" xfId="33400"/>
    <cellStyle name="输出 2 6 4 3 4" xfId="33401"/>
    <cellStyle name="输出 2 6 4 4" xfId="26032"/>
    <cellStyle name="输出 2 6 4 4 2" xfId="26034"/>
    <cellStyle name="输出 2 6 4 5" xfId="26037"/>
    <cellStyle name="输出 2 6 5" xfId="23438"/>
    <cellStyle name="输出 2 6 5 2" xfId="2846"/>
    <cellStyle name="输出 2 6 5 2 2" xfId="2851"/>
    <cellStyle name="输出 2 6 5 2 2 2" xfId="33402"/>
    <cellStyle name="输出 2 6 5 2 3" xfId="33403"/>
    <cellStyle name="输出 2 6 5 2 3 2" xfId="33404"/>
    <cellStyle name="输出 2 6 5 2 4" xfId="33405"/>
    <cellStyle name="输出 2 6 5 2 4 2" xfId="33406"/>
    <cellStyle name="输出 2 6 5 2 5" xfId="33407"/>
    <cellStyle name="输出 2 6 5 3" xfId="2862"/>
    <cellStyle name="输出 2 6 5 3 2" xfId="2868"/>
    <cellStyle name="输出 2 6 5 3 2 2" xfId="19810"/>
    <cellStyle name="输出 2 6 5 3 3" xfId="19813"/>
    <cellStyle name="输出 2 6 5 3 3 2" xfId="15919"/>
    <cellStyle name="输出 2 6 5 3 4" xfId="33408"/>
    <cellStyle name="输出 2 6 5 4" xfId="425"/>
    <cellStyle name="输出 2 6 5 4 2" xfId="21318"/>
    <cellStyle name="输出 2 6 5 5" xfId="432"/>
    <cellStyle name="输出 2 6 6" xfId="23441"/>
    <cellStyle name="输出 2 6 6 2" xfId="2879"/>
    <cellStyle name="输出 2 6 6 2 2" xfId="2885"/>
    <cellStyle name="输出 2 6 6 3" xfId="929"/>
    <cellStyle name="输出 2 6 6 3 2" xfId="20965"/>
    <cellStyle name="输出 2 6 6 4" xfId="26094"/>
    <cellStyle name="输出 2 6 6 4 2" xfId="31203"/>
    <cellStyle name="输出 2 6 6 5" xfId="476"/>
    <cellStyle name="输出 2 6 7" xfId="26124"/>
    <cellStyle name="输出 2 6 7 2" xfId="2892"/>
    <cellStyle name="输出 2 6 7 2 2" xfId="33409"/>
    <cellStyle name="输出 2 6 7 3" xfId="26136"/>
    <cellStyle name="输出 2 6 7 3 2" xfId="32617"/>
    <cellStyle name="输出 2 6 7 4" xfId="26139"/>
    <cellStyle name="输出 2 6 7 4 2" xfId="22041"/>
    <cellStyle name="输出 2 6 7 5" xfId="12"/>
    <cellStyle name="输出 2 6 8" xfId="33410"/>
    <cellStyle name="输出 2 6 8 2" xfId="33411"/>
    <cellStyle name="输出 2 6 8 2 2" xfId="33412"/>
    <cellStyle name="输出 2 6 8 3" xfId="33413"/>
    <cellStyle name="输出 2 6 8 3 2" xfId="33414"/>
    <cellStyle name="输出 2 6 8 4" xfId="33415"/>
    <cellStyle name="输出 2 6 8 4 2" xfId="33416"/>
    <cellStyle name="输出 2 6 8 5" xfId="33417"/>
    <cellStyle name="输出 2 6 9" xfId="33418"/>
    <cellStyle name="输出 2 7" xfId="33419"/>
    <cellStyle name="输出 2 7 2" xfId="33420"/>
    <cellStyle name="输出 2 7 2 2" xfId="33421"/>
    <cellStyle name="输出 2 7 2 2 2" xfId="33422"/>
    <cellStyle name="输出 2 7 2 2 2 2" xfId="33423"/>
    <cellStyle name="输出 2 7 2 2 2 2 2" xfId="33425"/>
    <cellStyle name="输出 2 7 2 2 2 3" xfId="33426"/>
    <cellStyle name="输出 2 7 2 2 2 3 2" xfId="33428"/>
    <cellStyle name="输出 2 7 2 2 2 4" xfId="33429"/>
    <cellStyle name="输出 2 7 2 2 2 4 2" xfId="33430"/>
    <cellStyle name="输出 2 7 2 2 2 5" xfId="33431"/>
    <cellStyle name="输出 2 7 2 2 3" xfId="33432"/>
    <cellStyle name="输出 2 7 2 2 3 2" xfId="33433"/>
    <cellStyle name="输出 2 7 2 2 3 2 2" xfId="33435"/>
    <cellStyle name="输出 2 7 2 2 3 3" xfId="21682"/>
    <cellStyle name="输出 2 7 2 2 3 3 2" xfId="33436"/>
    <cellStyle name="输出 2 7 2 2 3 4" xfId="33437"/>
    <cellStyle name="输出 2 7 2 2 4" xfId="33438"/>
    <cellStyle name="输出 2 7 2 2 4 2" xfId="33439"/>
    <cellStyle name="输出 2 7 2 2 5" xfId="33440"/>
    <cellStyle name="输出 2 7 2 3" xfId="33441"/>
    <cellStyle name="输出 2 7 2 3 2" xfId="33442"/>
    <cellStyle name="输出 2 7 2 3 2 2" xfId="33443"/>
    <cellStyle name="输出 2 7 2 3 3" xfId="33444"/>
    <cellStyle name="输出 2 7 2 3 3 2" xfId="33445"/>
    <cellStyle name="输出 2 7 2 3 4" xfId="21196"/>
    <cellStyle name="输出 2 7 2 3 4 2" xfId="21198"/>
    <cellStyle name="输出 2 7 2 3 5" xfId="21200"/>
    <cellStyle name="输出 2 7 2 4" xfId="33446"/>
    <cellStyle name="输出 2 7 2 4 2" xfId="33447"/>
    <cellStyle name="输出 2 7 2 4 2 2" xfId="33448"/>
    <cellStyle name="输出 2 7 2 4 3" xfId="33449"/>
    <cellStyle name="输出 2 7 2 4 3 2" xfId="33450"/>
    <cellStyle name="输出 2 7 2 4 4" xfId="33451"/>
    <cellStyle name="输出 2 7 2 5" xfId="33452"/>
    <cellStyle name="输出 2 7 2 5 2" xfId="33453"/>
    <cellStyle name="输出 2 7 2 6" xfId="33454"/>
    <cellStyle name="输出 2 7 3" xfId="33455"/>
    <cellStyle name="输出 2 7 3 2" xfId="33456"/>
    <cellStyle name="输出 2 7 3 2 2" xfId="33457"/>
    <cellStyle name="输出 2 7 3 2 2 2" xfId="33458"/>
    <cellStyle name="输出 2 7 3 2 2 2 2" xfId="33460"/>
    <cellStyle name="输出 2 7 3 2 2 3" xfId="30635"/>
    <cellStyle name="输出 2 7 3 2 2 3 2" xfId="24391"/>
    <cellStyle name="输出 2 7 3 2 2 4" xfId="33461"/>
    <cellStyle name="输出 2 7 3 2 2 4 2" xfId="33462"/>
    <cellStyle name="输出 2 7 3 2 2 5" xfId="33463"/>
    <cellStyle name="输出 2 7 3 2 3" xfId="33464"/>
    <cellStyle name="输出 2 7 3 2 3 2" xfId="33465"/>
    <cellStyle name="输出 2 7 3 2 3 2 2" xfId="33467"/>
    <cellStyle name="输出 2 7 3 2 3 3" xfId="33468"/>
    <cellStyle name="输出 2 7 3 2 3 3 2" xfId="33469"/>
    <cellStyle name="输出 2 7 3 2 3 4" xfId="33470"/>
    <cellStyle name="输出 2 7 3 2 4" xfId="33471"/>
    <cellStyle name="输出 2 7 3 2 4 2" xfId="33472"/>
    <cellStyle name="输出 2 7 3 2 5" xfId="33473"/>
    <cellStyle name="输出 2 7 3 3" xfId="33474"/>
    <cellStyle name="输出 2 7 3 3 2" xfId="33475"/>
    <cellStyle name="输出 2 7 3 3 2 2" xfId="33476"/>
    <cellStyle name="输出 2 7 3 3 3" xfId="33477"/>
    <cellStyle name="输出 2 7 3 3 3 2" xfId="33478"/>
    <cellStyle name="输出 2 7 3 3 4" xfId="33479"/>
    <cellStyle name="输出 2 7 3 3 4 2" xfId="33480"/>
    <cellStyle name="输出 2 7 3 3 5" xfId="33481"/>
    <cellStyle name="输出 2 7 3 4" xfId="33482"/>
    <cellStyle name="输出 2 7 3 4 2" xfId="33483"/>
    <cellStyle name="输出 2 7 3 4 2 2" xfId="33484"/>
    <cellStyle name="输出 2 7 3 4 3" xfId="33485"/>
    <cellStyle name="输出 2 7 3 4 3 2" xfId="33486"/>
    <cellStyle name="输出 2 7 3 4 4" xfId="33487"/>
    <cellStyle name="输出 2 7 3 5" xfId="33488"/>
    <cellStyle name="输出 2 7 3 5 2" xfId="33489"/>
    <cellStyle name="输出 2 7 3 6" xfId="33490"/>
    <cellStyle name="输出 2 7 4" xfId="33491"/>
    <cellStyle name="输出 2 7 4 2" xfId="33492"/>
    <cellStyle name="输出 2 7 4 2 2" xfId="33493"/>
    <cellStyle name="输出 2 7 4 2 2 2" xfId="33494"/>
    <cellStyle name="输出 2 7 4 2 3" xfId="33495"/>
    <cellStyle name="输出 2 7 4 2 3 2" xfId="33496"/>
    <cellStyle name="输出 2 7 4 2 4" xfId="33497"/>
    <cellStyle name="输出 2 7 4 2 4 2" xfId="33498"/>
    <cellStyle name="输出 2 7 4 2 5" xfId="33499"/>
    <cellStyle name="输出 2 7 4 3" xfId="33500"/>
    <cellStyle name="输出 2 7 4 3 2" xfId="33501"/>
    <cellStyle name="输出 2 7 4 3 2 2" xfId="33502"/>
    <cellStyle name="输出 2 7 4 3 3" xfId="33503"/>
    <cellStyle name="输出 2 7 4 3 3 2" xfId="33504"/>
    <cellStyle name="输出 2 7 4 3 4" xfId="33505"/>
    <cellStyle name="输出 2 7 4 4" xfId="33506"/>
    <cellStyle name="输出 2 7 4 4 2" xfId="33507"/>
    <cellStyle name="输出 2 7 4 5" xfId="33508"/>
    <cellStyle name="输出 2 7 5" xfId="33509"/>
    <cellStyle name="输出 2 7 5 2" xfId="33510"/>
    <cellStyle name="输出 2 7 5 2 2" xfId="33511"/>
    <cellStyle name="输出 2 7 5 2 2 2" xfId="33512"/>
    <cellStyle name="输出 2 7 5 2 3" xfId="33513"/>
    <cellStyle name="输出 2 7 5 2 3 2" xfId="33514"/>
    <cellStyle name="输出 2 7 5 2 4" xfId="33515"/>
    <cellStyle name="输出 2 7 5 2 4 2" xfId="33516"/>
    <cellStyle name="输出 2 7 5 2 5" xfId="33517"/>
    <cellStyle name="输出 2 7 5 3" xfId="33518"/>
    <cellStyle name="输出 2 7 5 3 2" xfId="33519"/>
    <cellStyle name="输出 2 7 5 3 2 2" xfId="33520"/>
    <cellStyle name="输出 2 7 5 3 3" xfId="33521"/>
    <cellStyle name="输出 2 7 5 3 3 2" xfId="33522"/>
    <cellStyle name="输出 2 7 5 3 4" xfId="33523"/>
    <cellStyle name="输出 2 7 5 4" xfId="33524"/>
    <cellStyle name="输出 2 7 5 4 2" xfId="33525"/>
    <cellStyle name="输出 2 7 5 5" xfId="33526"/>
    <cellStyle name="输出 2 7 6" xfId="33527"/>
    <cellStyle name="输出 2 7 6 2" xfId="33528"/>
    <cellStyle name="输出 2 7 6 2 2" xfId="33529"/>
    <cellStyle name="输出 2 7 6 3" xfId="33530"/>
    <cellStyle name="输出 2 7 6 3 2" xfId="33531"/>
    <cellStyle name="输出 2 7 6 4" xfId="33532"/>
    <cellStyle name="输出 2 7 6 4 2" xfId="33533"/>
    <cellStyle name="输出 2 7 6 5" xfId="33534"/>
    <cellStyle name="输出 2 7 7" xfId="33535"/>
    <cellStyle name="输出 2 7 7 2" xfId="33536"/>
    <cellStyle name="输出 2 7 7 2 2" xfId="33537"/>
    <cellStyle name="输出 2 7 7 3" xfId="33538"/>
    <cellStyle name="输出 2 7 7 3 2" xfId="33539"/>
    <cellStyle name="输出 2 7 7 4" xfId="33540"/>
    <cellStyle name="输出 2 7 7 4 2" xfId="33541"/>
    <cellStyle name="输出 2 7 7 5" xfId="33542"/>
    <cellStyle name="输出 2 7 8" xfId="33543"/>
    <cellStyle name="输出 2 7 8 2" xfId="33544"/>
    <cellStyle name="输出 2 7 8 2 2" xfId="33545"/>
    <cellStyle name="输出 2 7 8 3" xfId="33546"/>
    <cellStyle name="输出 2 7 8 3 2" xfId="33547"/>
    <cellStyle name="输出 2 7 8 4" xfId="33548"/>
    <cellStyle name="输出 2 7 8 4 2" xfId="33549"/>
    <cellStyle name="输出 2 7 8 5" xfId="33550"/>
    <cellStyle name="输出 2 7 9" xfId="33551"/>
    <cellStyle name="输出 2 8" xfId="33552"/>
    <cellStyle name="输出 2 8 2" xfId="33553"/>
    <cellStyle name="输出 2 8 2 2" xfId="33555"/>
    <cellStyle name="输出 2 8 2 2 2" xfId="33556"/>
    <cellStyle name="输出 2 8 2 2 2 2" xfId="33557"/>
    <cellStyle name="输出 2 8 2 2 2 2 2" xfId="33558"/>
    <cellStyle name="输出 2 8 2 2 2 3" xfId="16612"/>
    <cellStyle name="输出 2 8 2 2 2 3 2" xfId="33559"/>
    <cellStyle name="输出 2 8 2 2 2 4" xfId="33560"/>
    <cellStyle name="输出 2 8 2 2 2 4 2" xfId="33561"/>
    <cellStyle name="输出 2 8 2 2 2 5" xfId="33562"/>
    <cellStyle name="输出 2 8 2 2 3" xfId="33563"/>
    <cellStyle name="输出 2 8 2 2 3 2" xfId="33564"/>
    <cellStyle name="输出 2 8 2 2 3 2 2" xfId="33566"/>
    <cellStyle name="输出 2 8 2 2 3 3" xfId="33567"/>
    <cellStyle name="输出 2 8 2 2 3 3 2" xfId="33569"/>
    <cellStyle name="输出 2 8 2 2 3 4" xfId="33570"/>
    <cellStyle name="输出 2 8 2 2 4" xfId="33572"/>
    <cellStyle name="输出 2 8 2 2 4 2" xfId="33573"/>
    <cellStyle name="输出 2 8 2 2 5" xfId="33574"/>
    <cellStyle name="输出 2 8 2 3" xfId="33575"/>
    <cellStyle name="输出 2 8 2 3 2" xfId="33576"/>
    <cellStyle name="输出 2 8 2 3 2 2" xfId="33577"/>
    <cellStyle name="输出 2 8 2 3 3" xfId="33578"/>
    <cellStyle name="输出 2 8 2 3 3 2" xfId="33579"/>
    <cellStyle name="输出 2 8 2 3 4" xfId="33581"/>
    <cellStyle name="输出 2 8 2 3 4 2" xfId="33582"/>
    <cellStyle name="输出 2 8 2 3 5" xfId="33583"/>
    <cellStyle name="输出 2 8 2 4" xfId="33584"/>
    <cellStyle name="输出 2 8 2 4 2" xfId="33585"/>
    <cellStyle name="输出 2 8 2 4 2 2" xfId="33586"/>
    <cellStyle name="输出 2 8 2 4 3" xfId="33587"/>
    <cellStyle name="输出 2 8 2 4 3 2" xfId="29414"/>
    <cellStyle name="输出 2 8 2 4 4" xfId="33589"/>
    <cellStyle name="输出 2 8 2 5" xfId="33590"/>
    <cellStyle name="输出 2 8 2 5 2" xfId="33591"/>
    <cellStyle name="输出 2 8 2 6" xfId="33592"/>
    <cellStyle name="输出 2 8 3" xfId="33593"/>
    <cellStyle name="输出 2 8 3 2" xfId="33594"/>
    <cellStyle name="输出 2 8 3 2 2" xfId="33595"/>
    <cellStyle name="输出 2 8 3 2 2 2" xfId="33596"/>
    <cellStyle name="输出 2 8 3 2 3" xfId="33597"/>
    <cellStyle name="输出 2 8 3 2 3 2" xfId="33598"/>
    <cellStyle name="输出 2 8 3 2 4" xfId="33600"/>
    <cellStyle name="输出 2 8 3 2 4 2" xfId="33601"/>
    <cellStyle name="输出 2 8 3 2 5" xfId="33602"/>
    <cellStyle name="输出 2 8 3 3" xfId="33603"/>
    <cellStyle name="输出 2 8 3 3 2" xfId="33604"/>
    <cellStyle name="输出 2 8 3 3 2 2" xfId="33605"/>
    <cellStyle name="输出 2 8 3 3 3" xfId="33606"/>
    <cellStyle name="输出 2 8 3 3 3 2" xfId="33607"/>
    <cellStyle name="输出 2 8 3 3 4" xfId="33609"/>
    <cellStyle name="输出 2 8 3 4" xfId="33610"/>
    <cellStyle name="输出 2 8 3 4 2" xfId="33611"/>
    <cellStyle name="输出 2 8 3 5" xfId="33612"/>
    <cellStyle name="输出 2 8 4" xfId="33613"/>
    <cellStyle name="输出 2 8 4 2" xfId="33614"/>
    <cellStyle name="输出 2 8 4 2 2" xfId="33615"/>
    <cellStyle name="输出 2 8 4 2 2 2" xfId="33616"/>
    <cellStyle name="输出 2 8 4 2 3" xfId="33617"/>
    <cellStyle name="输出 2 8 4 2 3 2" xfId="33618"/>
    <cellStyle name="输出 2 8 4 2 4" xfId="33619"/>
    <cellStyle name="输出 2 8 4 2 4 2" xfId="33620"/>
    <cellStyle name="输出 2 8 4 2 5" xfId="33621"/>
    <cellStyle name="输出 2 8 4 3" xfId="33622"/>
    <cellStyle name="输出 2 8 4 3 2" xfId="33623"/>
    <cellStyle name="输出 2 8 4 3 2 2" xfId="33624"/>
    <cellStyle name="输出 2 8 4 3 3" xfId="33625"/>
    <cellStyle name="输出 2 8 4 3 3 2" xfId="33626"/>
    <cellStyle name="输出 2 8 4 3 4" xfId="33627"/>
    <cellStyle name="输出 2 8 4 4" xfId="33628"/>
    <cellStyle name="输出 2 8 4 4 2" xfId="20694"/>
    <cellStyle name="输出 2 8 4 5" xfId="33629"/>
    <cellStyle name="输出 2 8 5" xfId="33630"/>
    <cellStyle name="输出 2 8 5 2" xfId="33631"/>
    <cellStyle name="输出 2 8 5 2 2" xfId="33632"/>
    <cellStyle name="输出 2 8 5 3" xfId="33633"/>
    <cellStyle name="输出 2 8 5 3 2" xfId="33634"/>
    <cellStyle name="输出 2 8 5 4" xfId="33635"/>
    <cellStyle name="输出 2 8 5 4 2" xfId="33636"/>
    <cellStyle name="输出 2 8 5 5" xfId="33637"/>
    <cellStyle name="输出 2 8 6" xfId="33638"/>
    <cellStyle name="输出 2 8 6 2" xfId="33639"/>
    <cellStyle name="输出 2 8 6 2 2" xfId="33640"/>
    <cellStyle name="输出 2 8 6 3" xfId="33641"/>
    <cellStyle name="输出 2 8 6 3 2" xfId="33642"/>
    <cellStyle name="输出 2 8 6 4" xfId="33643"/>
    <cellStyle name="输出 2 8 7" xfId="33644"/>
    <cellStyle name="输出 2 8 7 2" xfId="33645"/>
    <cellStyle name="输出 2 8 8" xfId="1042"/>
    <cellStyle name="输出 2 8 9" xfId="33646"/>
    <cellStyle name="输出 2 9" xfId="33647"/>
    <cellStyle name="输出 2 9 2" xfId="12606"/>
    <cellStyle name="输出 2 9 2 2" xfId="12610"/>
    <cellStyle name="输出 2 9 2 2 2" xfId="33648"/>
    <cellStyle name="输出 2 9 2 2 2 2" xfId="33649"/>
    <cellStyle name="输出 2 9 2 2 2 2 2" xfId="33650"/>
    <cellStyle name="输出 2 9 2 2 2 3" xfId="33651"/>
    <cellStyle name="输出 2 9 2 2 2 3 2" xfId="33652"/>
    <cellStyle name="输出 2 9 2 2 2 4" xfId="33653"/>
    <cellStyle name="输出 2 9 2 2 2 4 2" xfId="33654"/>
    <cellStyle name="输出 2 9 2 2 2 5" xfId="33655"/>
    <cellStyle name="输出 2 9 2 2 3" xfId="33656"/>
    <cellStyle name="输出 2 9 2 2 3 2" xfId="33657"/>
    <cellStyle name="输出 2 9 2 2 3 2 2" xfId="33658"/>
    <cellStyle name="输出 2 9 2 2 3 3" xfId="33659"/>
    <cellStyle name="输出 2 9 2 2 3 3 2" xfId="33660"/>
    <cellStyle name="输出 2 9 2 2 3 4" xfId="33661"/>
    <cellStyle name="输出 2 9 2 2 4" xfId="33662"/>
    <cellStyle name="输出 2 9 2 2 4 2" xfId="33663"/>
    <cellStyle name="输出 2 9 2 2 5" xfId="33664"/>
    <cellStyle name="输出 2 9 2 3" xfId="33665"/>
    <cellStyle name="输出 2 9 2 3 2" xfId="33666"/>
    <cellStyle name="输出 2 9 2 3 2 2" xfId="33667"/>
    <cellStyle name="输出 2 9 2 3 3" xfId="33668"/>
    <cellStyle name="输出 2 9 2 3 3 2" xfId="33669"/>
    <cellStyle name="输出 2 9 2 3 4" xfId="33670"/>
    <cellStyle name="输出 2 9 2 3 4 2" xfId="33671"/>
    <cellStyle name="输出 2 9 2 3 5" xfId="33672"/>
    <cellStyle name="输出 2 9 2 4" xfId="33673"/>
    <cellStyle name="输出 2 9 2 4 2" xfId="33674"/>
    <cellStyle name="输出 2 9 2 4 2 2" xfId="33675"/>
    <cellStyle name="输出 2 9 2 4 3" xfId="33676"/>
    <cellStyle name="输出 2 9 2 4 3 2" xfId="33677"/>
    <cellStyle name="输出 2 9 2 4 4" xfId="33678"/>
    <cellStyle name="输出 2 9 2 5" xfId="33679"/>
    <cellStyle name="输出 2 9 2 5 2" xfId="33680"/>
    <cellStyle name="输出 2 9 2 6" xfId="33681"/>
    <cellStyle name="输出 2 9 3" xfId="12612"/>
    <cellStyle name="输出 2 9 3 2" xfId="19382"/>
    <cellStyle name="输出 2 9 3 2 2" xfId="33682"/>
    <cellStyle name="输出 2 9 3 2 2 2" xfId="33683"/>
    <cellStyle name="输出 2 9 3 2 3" xfId="33684"/>
    <cellStyle name="输出 2 9 3 2 3 2" xfId="33685"/>
    <cellStyle name="输出 2 9 3 2 4" xfId="33686"/>
    <cellStyle name="输出 2 9 3 2 4 2" xfId="19884"/>
    <cellStyle name="输出 2 9 3 2 5" xfId="33687"/>
    <cellStyle name="输出 2 9 3 3" xfId="33688"/>
    <cellStyle name="输出 2 9 3 3 2" xfId="33689"/>
    <cellStyle name="输出 2 9 3 3 2 2" xfId="33690"/>
    <cellStyle name="输出 2 9 3 3 3" xfId="33691"/>
    <cellStyle name="输出 2 9 3 3 3 2" xfId="33692"/>
    <cellStyle name="输出 2 9 3 3 4" xfId="33693"/>
    <cellStyle name="输出 2 9 3 4" xfId="33694"/>
    <cellStyle name="输出 2 9 3 4 2" xfId="33695"/>
    <cellStyle name="输出 2 9 3 5" xfId="33696"/>
    <cellStyle name="输出 2 9 4" xfId="19385"/>
    <cellStyle name="输出 2 9 4 2" xfId="33697"/>
    <cellStyle name="输出 2 9 4 2 2" xfId="33698"/>
    <cellStyle name="输出 2 9 4 2 2 2" xfId="33699"/>
    <cellStyle name="输出 2 9 4 2 3" xfId="33700"/>
    <cellStyle name="输出 2 9 4 2 3 2" xfId="33701"/>
    <cellStyle name="输出 2 9 4 2 4" xfId="33702"/>
    <cellStyle name="输出 2 9 4 2 4 2" xfId="33703"/>
    <cellStyle name="输出 2 9 4 2 5" xfId="33704"/>
    <cellStyle name="输出 2 9 4 3" xfId="33705"/>
    <cellStyle name="输出 2 9 4 3 2" xfId="33706"/>
    <cellStyle name="输出 2 9 4 3 2 2" xfId="33707"/>
    <cellStyle name="输出 2 9 4 3 3" xfId="33708"/>
    <cellStyle name="输出 2 9 4 3 3 2" xfId="33709"/>
    <cellStyle name="输出 2 9 4 3 4" xfId="33710"/>
    <cellStyle name="输出 2 9 4 4" xfId="33711"/>
    <cellStyle name="输出 2 9 4 4 2" xfId="33712"/>
    <cellStyle name="输出 2 9 4 5" xfId="33713"/>
    <cellStyle name="输出 2 9 5" xfId="33714"/>
    <cellStyle name="输出 2 9 5 2" xfId="33715"/>
    <cellStyle name="输出 2 9 5 2 2" xfId="33716"/>
    <cellStyle name="输出 2 9 5 3" xfId="33717"/>
    <cellStyle name="输出 2 9 5 3 2" xfId="33718"/>
    <cellStyle name="输出 2 9 5 4" xfId="33719"/>
    <cellStyle name="输出 2 9 5 4 2" xfId="33720"/>
    <cellStyle name="输出 2 9 5 5" xfId="33721"/>
    <cellStyle name="输出 2 9 6" xfId="33722"/>
    <cellStyle name="输出 2 9 6 2" xfId="33723"/>
    <cellStyle name="输出 2 9 6 2 2" xfId="33724"/>
    <cellStyle name="输出 2 9 6 3" xfId="33725"/>
    <cellStyle name="输出 2 9 6 3 2" xfId="33726"/>
    <cellStyle name="输出 2 9 6 4" xfId="33727"/>
    <cellStyle name="输出 2 9 7" xfId="33728"/>
    <cellStyle name="输出 2 9 7 2" xfId="33729"/>
    <cellStyle name="输出 2 9 8" xfId="33730"/>
    <cellStyle name="输出 2 9 9" xfId="33731"/>
    <cellStyle name="输出 3" xfId="33732"/>
    <cellStyle name="输出 3 10" xfId="33733"/>
    <cellStyle name="输出 3 10 2" xfId="33734"/>
    <cellStyle name="输出 3 10 2 2" xfId="33735"/>
    <cellStyle name="输出 3 10 3" xfId="33736"/>
    <cellStyle name="输出 3 10 3 2" xfId="33737"/>
    <cellStyle name="输出 3 10 4" xfId="33738"/>
    <cellStyle name="输出 3 10 4 2" xfId="33739"/>
    <cellStyle name="输出 3 10 5" xfId="33740"/>
    <cellStyle name="输出 3 10 6" xfId="33741"/>
    <cellStyle name="输出 3 11" xfId="33742"/>
    <cellStyle name="输出 3 11 2" xfId="33743"/>
    <cellStyle name="输出 3 11 3" xfId="33744"/>
    <cellStyle name="输出 3 12" xfId="33745"/>
    <cellStyle name="输出 3 12 2" xfId="33746"/>
    <cellStyle name="输出 3 13" xfId="33747"/>
    <cellStyle name="输出 3 14" xfId="33748"/>
    <cellStyle name="输出 3 15" xfId="33749"/>
    <cellStyle name="输出 3 2" xfId="33750"/>
    <cellStyle name="输出 3 2 2" xfId="33751"/>
    <cellStyle name="输出 3 2 2 2" xfId="33752"/>
    <cellStyle name="输出 3 2 2 2 2" xfId="33753"/>
    <cellStyle name="输出 3 2 2 2 2 2" xfId="33754"/>
    <cellStyle name="输出 3 2 2 2 2 2 2" xfId="33755"/>
    <cellStyle name="输出 3 2 2 2 2 3" xfId="33756"/>
    <cellStyle name="输出 3 2 2 2 2 3 2" xfId="33757"/>
    <cellStyle name="输出 3 2 2 2 2 4" xfId="33758"/>
    <cellStyle name="输出 3 2 2 2 2 4 2" xfId="33759"/>
    <cellStyle name="输出 3 2 2 2 2 5" xfId="33048"/>
    <cellStyle name="输出 3 2 2 2 3" xfId="33760"/>
    <cellStyle name="输出 3 2 2 2 3 2" xfId="33761"/>
    <cellStyle name="输出 3 2 2 2 3 2 2" xfId="33762"/>
    <cellStyle name="输出 3 2 2 2 3 3" xfId="33763"/>
    <cellStyle name="输出 3 2 2 2 3 3 2" xfId="33764"/>
    <cellStyle name="输出 3 2 2 2 3 4" xfId="33765"/>
    <cellStyle name="输出 3 2 2 2 4" xfId="33766"/>
    <cellStyle name="输出 3 2 2 2 4 2" xfId="33767"/>
    <cellStyle name="输出 3 2 2 2 5" xfId="5727"/>
    <cellStyle name="输出 3 2 2 3" xfId="33768"/>
    <cellStyle name="输出 3 2 2 3 2" xfId="18641"/>
    <cellStyle name="输出 3 2 2 3 2 2" xfId="33769"/>
    <cellStyle name="输出 3 2 2 3 3" xfId="33770"/>
    <cellStyle name="输出 3 2 2 3 3 2" xfId="33771"/>
    <cellStyle name="输出 3 2 2 3 4" xfId="33772"/>
    <cellStyle name="输出 3 2 2 3 4 2" xfId="33773"/>
    <cellStyle name="输出 3 2 2 3 5" xfId="33774"/>
    <cellStyle name="输出 3 2 2 4" xfId="33775"/>
    <cellStyle name="输出 3 2 2 4 2" xfId="18645"/>
    <cellStyle name="输出 3 2 2 4 2 2" xfId="33776"/>
    <cellStyle name="输出 3 2 2 4 3" xfId="33777"/>
    <cellStyle name="输出 3 2 2 4 3 2" xfId="33778"/>
    <cellStyle name="输出 3 2 2 4 4" xfId="33779"/>
    <cellStyle name="输出 3 2 2 5" xfId="33780"/>
    <cellStyle name="输出 3 2 2 5 2" xfId="18649"/>
    <cellStyle name="输出 3 2 2 6" xfId="33781"/>
    <cellStyle name="输出 3 2 3" xfId="33782"/>
    <cellStyle name="输出 3 2 3 2" xfId="33783"/>
    <cellStyle name="输出 3 2 3 2 2" xfId="33784"/>
    <cellStyle name="输出 3 2 3 2 2 2" xfId="33785"/>
    <cellStyle name="输出 3 2 3 2 3" xfId="33786"/>
    <cellStyle name="输出 3 2 3 2 3 2" xfId="33787"/>
    <cellStyle name="输出 3 2 3 2 4" xfId="33788"/>
    <cellStyle name="输出 3 2 3 2 4 2" xfId="16810"/>
    <cellStyle name="输出 3 2 3 2 5" xfId="33789"/>
    <cellStyle name="输出 3 2 3 3" xfId="33790"/>
    <cellStyle name="输出 3 2 3 3 2" xfId="18704"/>
    <cellStyle name="输出 3 2 3 3 2 2" xfId="33791"/>
    <cellStyle name="输出 3 2 3 3 3" xfId="33792"/>
    <cellStyle name="输出 3 2 3 3 3 2" xfId="33793"/>
    <cellStyle name="输出 3 2 3 3 4" xfId="33794"/>
    <cellStyle name="输出 3 2 3 4" xfId="33795"/>
    <cellStyle name="输出 3 2 3 4 2" xfId="18713"/>
    <cellStyle name="输出 3 2 3 5" xfId="33796"/>
    <cellStyle name="输出 3 2 4" xfId="33797"/>
    <cellStyle name="输出 3 2 4 2" xfId="33798"/>
    <cellStyle name="输出 3 2 4 2 2" xfId="33799"/>
    <cellStyle name="输出 3 2 4 2 2 2" xfId="33800"/>
    <cellStyle name="输出 3 2 4 2 3" xfId="33801"/>
    <cellStyle name="输出 3 2 4 2 3 2" xfId="33802"/>
    <cellStyle name="输出 3 2 4 2 4" xfId="33803"/>
    <cellStyle name="输出 3 2 4 2 4 2" xfId="33804"/>
    <cellStyle name="输出 3 2 4 2 5" xfId="33805"/>
    <cellStyle name="输出 3 2 4 3" xfId="33806"/>
    <cellStyle name="输出 3 2 4 3 2" xfId="18730"/>
    <cellStyle name="输出 3 2 4 3 2 2" xfId="33807"/>
    <cellStyle name="输出 3 2 4 3 3" xfId="33808"/>
    <cellStyle name="输出 3 2 4 3 3 2" xfId="33809"/>
    <cellStyle name="输出 3 2 4 3 4" xfId="33810"/>
    <cellStyle name="输出 3 2 4 4" xfId="33811"/>
    <cellStyle name="输出 3 2 4 4 2" xfId="18735"/>
    <cellStyle name="输出 3 2 4 5" xfId="33812"/>
    <cellStyle name="输出 3 2 5" xfId="33813"/>
    <cellStyle name="输出 3 2 5 2" xfId="33814"/>
    <cellStyle name="输出 3 2 5 2 2" xfId="33815"/>
    <cellStyle name="输出 3 2 5 3" xfId="33816"/>
    <cellStyle name="输出 3 2 5 3 2" xfId="18767"/>
    <cellStyle name="输出 3 2 5 4" xfId="33817"/>
    <cellStyle name="输出 3 2 5 4 2" xfId="18777"/>
    <cellStyle name="输出 3 2 5 5" xfId="33818"/>
    <cellStyle name="输出 3 2 6" xfId="33819"/>
    <cellStyle name="输出 3 2 6 2" xfId="33820"/>
    <cellStyle name="输出 3 2 6 2 2" xfId="33821"/>
    <cellStyle name="输出 3 2 6 3" xfId="33822"/>
    <cellStyle name="输出 3 2 6 3 2" xfId="18796"/>
    <cellStyle name="输出 3 2 6 4" xfId="33823"/>
    <cellStyle name="输出 3 2 7" xfId="33824"/>
    <cellStyle name="输出 3 2 7 2" xfId="33825"/>
    <cellStyle name="输出 3 2 8" xfId="33826"/>
    <cellStyle name="输出 3 2 9" xfId="33827"/>
    <cellStyle name="输出 3 3" xfId="33828"/>
    <cellStyle name="输出 3 3 2" xfId="33829"/>
    <cellStyle name="输出 3 3 2 2" xfId="33830"/>
    <cellStyle name="输出 3 3 2 2 2" xfId="33831"/>
    <cellStyle name="输出 3 3 2 2 2 2" xfId="33832"/>
    <cellStyle name="输出 3 3 2 2 2 2 2" xfId="33833"/>
    <cellStyle name="输出 3 3 2 2 2 3" xfId="33834"/>
    <cellStyle name="输出 3 3 2 2 2 3 2" xfId="33835"/>
    <cellStyle name="输出 3 3 2 2 2 4" xfId="33836"/>
    <cellStyle name="输出 3 3 2 2 2 4 2" xfId="33837"/>
    <cellStyle name="输出 3 3 2 2 2 5" xfId="33838"/>
    <cellStyle name="输出 3 3 2 2 3" xfId="33839"/>
    <cellStyle name="输出 3 3 2 2 3 2" xfId="33840"/>
    <cellStyle name="输出 3 3 2 2 3 2 2" xfId="33841"/>
    <cellStyle name="输出 3 3 2 2 3 3" xfId="33842"/>
    <cellStyle name="输出 3 3 2 2 3 3 2" xfId="33843"/>
    <cellStyle name="输出 3 3 2 2 3 4" xfId="33844"/>
    <cellStyle name="输出 3 3 2 2 4" xfId="33845"/>
    <cellStyle name="输出 3 3 2 2 4 2" xfId="33846"/>
    <cellStyle name="输出 3 3 2 2 5" xfId="33847"/>
    <cellStyle name="输出 3 3 2 3" xfId="33848"/>
    <cellStyle name="输出 3 3 2 3 2" xfId="33849"/>
    <cellStyle name="输出 3 3 2 3 2 2" xfId="33850"/>
    <cellStyle name="输出 3 3 2 3 3" xfId="33851"/>
    <cellStyle name="输出 3 3 2 3 3 2" xfId="33852"/>
    <cellStyle name="输出 3 3 2 3 4" xfId="33853"/>
    <cellStyle name="输出 3 3 2 3 4 2" xfId="33854"/>
    <cellStyle name="输出 3 3 2 3 5" xfId="33855"/>
    <cellStyle name="输出 3 3 2 4" xfId="33856"/>
    <cellStyle name="输出 3 3 2 4 2" xfId="33857"/>
    <cellStyle name="输出 3 3 2 4 2 2" xfId="19320"/>
    <cellStyle name="输出 3 3 2 4 3" xfId="33858"/>
    <cellStyle name="输出 3 3 2 4 3 2" xfId="33859"/>
    <cellStyle name="输出 3 3 2 4 4" xfId="33860"/>
    <cellStyle name="输出 3 3 2 5" xfId="33861"/>
    <cellStyle name="输出 3 3 2 5 2" xfId="33862"/>
    <cellStyle name="输出 3 3 2 6" xfId="33863"/>
    <cellStyle name="输出 3 3 3" xfId="33864"/>
    <cellStyle name="输出 3 3 3 2" xfId="33865"/>
    <cellStyle name="输出 3 3 3 2 2" xfId="33866"/>
    <cellStyle name="输出 3 3 3 2 2 2" xfId="33867"/>
    <cellStyle name="输出 3 3 3 2 3" xfId="33868"/>
    <cellStyle name="输出 3 3 3 2 3 2" xfId="33869"/>
    <cellStyle name="输出 3 3 3 2 4" xfId="33870"/>
    <cellStyle name="输出 3 3 3 2 4 2" xfId="33871"/>
    <cellStyle name="输出 3 3 3 2 5" xfId="33872"/>
    <cellStyle name="输出 3 3 3 3" xfId="33873"/>
    <cellStyle name="输出 3 3 3 3 2" xfId="33874"/>
    <cellStyle name="输出 3 3 3 3 2 2" xfId="33875"/>
    <cellStyle name="输出 3 3 3 3 3" xfId="33876"/>
    <cellStyle name="输出 3 3 3 3 3 2" xfId="33877"/>
    <cellStyle name="输出 3 3 3 3 4" xfId="33878"/>
    <cellStyle name="输出 3 3 3 4" xfId="33879"/>
    <cellStyle name="输出 3 3 3 4 2" xfId="33880"/>
    <cellStyle name="输出 3 3 3 5" xfId="33881"/>
    <cellStyle name="输出 3 3 4" xfId="33882"/>
    <cellStyle name="输出 3 3 4 2" xfId="33883"/>
    <cellStyle name="输出 3 3 4 2 2" xfId="33884"/>
    <cellStyle name="输出 3 3 4 2 2 2" xfId="33885"/>
    <cellStyle name="输出 3 3 4 2 3" xfId="33886"/>
    <cellStyle name="输出 3 3 4 2 3 2" xfId="33887"/>
    <cellStyle name="输出 3 3 4 2 4" xfId="33888"/>
    <cellStyle name="输出 3 3 4 2 4 2" xfId="33889"/>
    <cellStyle name="输出 3 3 4 2 5" xfId="33890"/>
    <cellStyle name="输出 3 3 4 3" xfId="33891"/>
    <cellStyle name="输出 3 3 4 3 2" xfId="33892"/>
    <cellStyle name="输出 3 3 4 3 2 2" xfId="33893"/>
    <cellStyle name="输出 3 3 4 3 3" xfId="33894"/>
    <cellStyle name="输出 3 3 4 3 3 2" xfId="33895"/>
    <cellStyle name="输出 3 3 4 3 4" xfId="33896"/>
    <cellStyle name="输出 3 3 4 4" xfId="33897"/>
    <cellStyle name="输出 3 3 4 4 2" xfId="28901"/>
    <cellStyle name="输出 3 3 4 5" xfId="33898"/>
    <cellStyle name="输出 3 3 5" xfId="33899"/>
    <cellStyle name="输出 3 3 5 2" xfId="33900"/>
    <cellStyle name="输出 3 3 5 2 2" xfId="33901"/>
    <cellStyle name="输出 3 3 5 3" xfId="33902"/>
    <cellStyle name="输出 3 3 5 3 2" xfId="33903"/>
    <cellStyle name="输出 3 3 5 4" xfId="33904"/>
    <cellStyle name="输出 3 3 5 4 2" xfId="33905"/>
    <cellStyle name="输出 3 3 5 5" xfId="33906"/>
    <cellStyle name="输出 3 3 6" xfId="33907"/>
    <cellStyle name="输出 3 3 6 2" xfId="33908"/>
    <cellStyle name="输出 3 3 6 2 2" xfId="25656"/>
    <cellStyle name="输出 3 3 6 3" xfId="33909"/>
    <cellStyle name="输出 3 3 6 3 2" xfId="33910"/>
    <cellStyle name="输出 3 3 6 4" xfId="33911"/>
    <cellStyle name="输出 3 3 7" xfId="33912"/>
    <cellStyle name="输出 3 3 7 2" xfId="33913"/>
    <cellStyle name="输出 3 3 8" xfId="33914"/>
    <cellStyle name="输出 3 3 9" xfId="33915"/>
    <cellStyle name="输出 3 4" xfId="33916"/>
    <cellStyle name="输出 3 4 2" xfId="33917"/>
    <cellStyle name="输出 3 4 2 2" xfId="33918"/>
    <cellStyle name="输出 3 4 2 2 2" xfId="33919"/>
    <cellStyle name="输出 3 4 2 2 2 2" xfId="33920"/>
    <cellStyle name="输出 3 4 2 2 3" xfId="33921"/>
    <cellStyle name="输出 3 4 2 2 3 2" xfId="33922"/>
    <cellStyle name="输出 3 4 2 2 4" xfId="33923"/>
    <cellStyle name="输出 3 4 2 2 4 2" xfId="33924"/>
    <cellStyle name="输出 3 4 2 2 5" xfId="24469"/>
    <cellStyle name="输出 3 4 2 3" xfId="33925"/>
    <cellStyle name="输出 3 4 2 3 2" xfId="20833"/>
    <cellStyle name="输出 3 4 2 3 2 2" xfId="20835"/>
    <cellStyle name="输出 3 4 2 3 3" xfId="20837"/>
    <cellStyle name="输出 3 4 2 3 3 2" xfId="20840"/>
    <cellStyle name="输出 3 4 2 3 4" xfId="20842"/>
    <cellStyle name="输出 3 4 2 4" xfId="25943"/>
    <cellStyle name="输出 3 4 2 4 2" xfId="26257"/>
    <cellStyle name="输出 3 4 2 5" xfId="33926"/>
    <cellStyle name="输出 3 4 3" xfId="33927"/>
    <cellStyle name="输出 3 4 3 2" xfId="33928"/>
    <cellStyle name="输出 3 4 3 2 2" xfId="33929"/>
    <cellStyle name="输出 3 4 3 3" xfId="33930"/>
    <cellStyle name="输出 3 4 3 3 2" xfId="20419"/>
    <cellStyle name="输出 3 4 3 4" xfId="33931"/>
    <cellStyle name="输出 3 4 3 4 2" xfId="33932"/>
    <cellStyle name="输出 3 4 3 5" xfId="33933"/>
    <cellStyle name="输出 3 4 4" xfId="33934"/>
    <cellStyle name="输出 3 4 4 2" xfId="33935"/>
    <cellStyle name="输出 3 4 4 2 2" xfId="33936"/>
    <cellStyle name="输出 3 4 4 3" xfId="33937"/>
    <cellStyle name="输出 3 4 4 3 2" xfId="8418"/>
    <cellStyle name="输出 3 4 4 4" xfId="33938"/>
    <cellStyle name="输出 3 4 5" xfId="33939"/>
    <cellStyle name="输出 3 4 5 2" xfId="33940"/>
    <cellStyle name="输出 3 4 6" xfId="33941"/>
    <cellStyle name="输出 3 4 7" xfId="33942"/>
    <cellStyle name="输出 3 5" xfId="33943"/>
    <cellStyle name="输出 3 5 2" xfId="33944"/>
    <cellStyle name="输出 3 5 2 2" xfId="33945"/>
    <cellStyle name="输出 3 5 2 2 2" xfId="33946"/>
    <cellStyle name="输出 3 5 2 2 2 2" xfId="33947"/>
    <cellStyle name="输出 3 5 2 2 3" xfId="33948"/>
    <cellStyle name="输出 3 5 2 2 3 2" xfId="33949"/>
    <cellStyle name="输出 3 5 2 2 4" xfId="33950"/>
    <cellStyle name="输出 3 5 2 2 4 2" xfId="33951"/>
    <cellStyle name="输出 3 5 2 2 5" xfId="33952"/>
    <cellStyle name="输出 3 5 2 3" xfId="33953"/>
    <cellStyle name="输出 3 5 2 3 2" xfId="33954"/>
    <cellStyle name="输出 3 5 2 3 2 2" xfId="33955"/>
    <cellStyle name="输出 3 5 2 3 3" xfId="33956"/>
    <cellStyle name="输出 3 5 2 3 3 2" xfId="33957"/>
    <cellStyle name="输出 3 5 2 3 4" xfId="33958"/>
    <cellStyle name="输出 3 5 2 4" xfId="33959"/>
    <cellStyle name="输出 3 5 2 4 2" xfId="33960"/>
    <cellStyle name="输出 3 5 2 5" xfId="33961"/>
    <cellStyle name="输出 3 5 3" xfId="33962"/>
    <cellStyle name="输出 3 5 3 2" xfId="33963"/>
    <cellStyle name="输出 3 5 3 2 2" xfId="33964"/>
    <cellStyle name="输出 3 5 3 3" xfId="33965"/>
    <cellStyle name="输出 3 5 3 3 2" xfId="33966"/>
    <cellStyle name="输出 3 5 3 4" xfId="33967"/>
    <cellStyle name="输出 3 5 3 4 2" xfId="33968"/>
    <cellStyle name="输出 3 5 3 5" xfId="33969"/>
    <cellStyle name="输出 3 5 4" xfId="33970"/>
    <cellStyle name="输出 3 5 4 2" xfId="33971"/>
    <cellStyle name="输出 3 5 4 2 2" xfId="33972"/>
    <cellStyle name="输出 3 5 4 3" xfId="33973"/>
    <cellStyle name="输出 3 5 4 3 2" xfId="22009"/>
    <cellStyle name="输出 3 5 4 4" xfId="33974"/>
    <cellStyle name="输出 3 5 5" xfId="33975"/>
    <cellStyle name="输出 3 5 5 2" xfId="33976"/>
    <cellStyle name="输出 3 5 6" xfId="33977"/>
    <cellStyle name="输出 3 5 7" xfId="33978"/>
    <cellStyle name="输出 3 6" xfId="33979"/>
    <cellStyle name="输出 3 6 2" xfId="33980"/>
    <cellStyle name="输出 3 6 2 2" xfId="33981"/>
    <cellStyle name="输出 3 6 2 2 2" xfId="33982"/>
    <cellStyle name="输出 3 6 2 3" xfId="33983"/>
    <cellStyle name="输出 3 6 2 3 2" xfId="33984"/>
    <cellStyle name="输出 3 6 2 4" xfId="33985"/>
    <cellStyle name="输出 3 6 2 4 2" xfId="33986"/>
    <cellStyle name="输出 3 6 2 5" xfId="33987"/>
    <cellStyle name="输出 3 6 3" xfId="33988"/>
    <cellStyle name="输出 3 6 3 2" xfId="33989"/>
    <cellStyle name="输出 3 6 3 2 2" xfId="33990"/>
    <cellStyle name="输出 3 6 3 3" xfId="33991"/>
    <cellStyle name="输出 3 6 3 3 2" xfId="33992"/>
    <cellStyle name="输出 3 6 3 4" xfId="33993"/>
    <cellStyle name="输出 3 6 4" xfId="33994"/>
    <cellStyle name="输出 3 6 4 2" xfId="33995"/>
    <cellStyle name="输出 3 6 5" xfId="33996"/>
    <cellStyle name="输出 3 6 6" xfId="33997"/>
    <cellStyle name="输出 3 7" xfId="33998"/>
    <cellStyle name="输出 3 7 2" xfId="33999"/>
    <cellStyle name="输出 3 7 2 2" xfId="34000"/>
    <cellStyle name="输出 3 7 2 2 2" xfId="34001"/>
    <cellStyle name="输出 3 7 2 3" xfId="34002"/>
    <cellStyle name="输出 3 7 2 3 2" xfId="34003"/>
    <cellStyle name="输出 3 7 2 4" xfId="34004"/>
    <cellStyle name="输出 3 7 2 4 2" xfId="34005"/>
    <cellStyle name="输出 3 7 2 5" xfId="34006"/>
    <cellStyle name="输出 3 7 3" xfId="34007"/>
    <cellStyle name="输出 3 7 3 2" xfId="34008"/>
    <cellStyle name="输出 3 7 3 2 2" xfId="34009"/>
    <cellStyle name="输出 3 7 3 3" xfId="34010"/>
    <cellStyle name="输出 3 7 3 3 2" xfId="34011"/>
    <cellStyle name="输出 3 7 3 4" xfId="34012"/>
    <cellStyle name="输出 3 7 4" xfId="34013"/>
    <cellStyle name="输出 3 7 4 2" xfId="34014"/>
    <cellStyle name="输出 3 7 5" xfId="34015"/>
    <cellStyle name="输出 3 7 6" xfId="34016"/>
    <cellStyle name="输出 3 8" xfId="34017"/>
    <cellStyle name="输出 3 8 2" xfId="34018"/>
    <cellStyle name="输出 3 8 2 2" xfId="34019"/>
    <cellStyle name="输出 3 8 3" xfId="34020"/>
    <cellStyle name="输出 3 8 3 2" xfId="34021"/>
    <cellStyle name="输出 3 8 4" xfId="34022"/>
    <cellStyle name="输出 3 8 4 2" xfId="34023"/>
    <cellStyle name="输出 3 8 5" xfId="34024"/>
    <cellStyle name="输出 3 8 6" xfId="34025"/>
    <cellStyle name="输出 3 9" xfId="34026"/>
    <cellStyle name="输出 3 9 2" xfId="34027"/>
    <cellStyle name="输出 3 9 2 2" xfId="34028"/>
    <cellStyle name="输出 3 9 3" xfId="34029"/>
    <cellStyle name="输出 3 9 3 2" xfId="34030"/>
    <cellStyle name="输出 3 9 4" xfId="34031"/>
    <cellStyle name="输出 3 9 4 2" xfId="34032"/>
    <cellStyle name="输出 3 9 5" xfId="34033"/>
    <cellStyle name="输出 3 9 6" xfId="34034"/>
    <cellStyle name="输出 4" xfId="34035"/>
    <cellStyle name="输出 4 2" xfId="34036"/>
    <cellStyle name="输出 4 2 2" xfId="34037"/>
    <cellStyle name="输出 4 2 2 2" xfId="34038"/>
    <cellStyle name="输出 4 2 2 2 2" xfId="34039"/>
    <cellStyle name="输出 4 2 2 2 2 2" xfId="34040"/>
    <cellStyle name="输出 4 2 2 2 3" xfId="34041"/>
    <cellStyle name="输出 4 2 2 2 3 2" xfId="34042"/>
    <cellStyle name="输出 4 2 2 2 4" xfId="34043"/>
    <cellStyle name="输出 4 2 2 2 4 2" xfId="34044"/>
    <cellStyle name="输出 4 2 2 2 5" xfId="4257"/>
    <cellStyle name="输出 4 2 2 3" xfId="34045"/>
    <cellStyle name="输出 4 2 2 3 2" xfId="34046"/>
    <cellStyle name="输出 4 2 2 3 2 2" xfId="34047"/>
    <cellStyle name="输出 4 2 2 3 3" xfId="34048"/>
    <cellStyle name="输出 4 2 2 3 3 2" xfId="34049"/>
    <cellStyle name="输出 4 2 2 3 4" xfId="34050"/>
    <cellStyle name="输出 4 2 2 4" xfId="34051"/>
    <cellStyle name="输出 4 2 2 4 2" xfId="34052"/>
    <cellStyle name="输出 4 2 2 5" xfId="34053"/>
    <cellStyle name="输出 4 2 3" xfId="34054"/>
    <cellStyle name="输出 4 2 3 2" xfId="34055"/>
    <cellStyle name="输出 4 2 3 2 2" xfId="34056"/>
    <cellStyle name="输出 4 2 3 3" xfId="34057"/>
    <cellStyle name="输出 4 2 3 3 2" xfId="34058"/>
    <cellStyle name="输出 4 2 3 4" xfId="34059"/>
    <cellStyle name="输出 4 2 3 4 2" xfId="34060"/>
    <cellStyle name="输出 4 2 3 5" xfId="34062"/>
    <cellStyle name="输出 4 2 4" xfId="34063"/>
    <cellStyle name="输出 4 2 4 2" xfId="34064"/>
    <cellStyle name="输出 4 2 4 2 2" xfId="34065"/>
    <cellStyle name="输出 4 2 4 3" xfId="34066"/>
    <cellStyle name="输出 4 2 4 3 2" xfId="34067"/>
    <cellStyle name="输出 4 2 4 4" xfId="34068"/>
    <cellStyle name="输出 4 2 5" xfId="34069"/>
    <cellStyle name="输出 4 2 5 2" xfId="34070"/>
    <cellStyle name="输出 4 2 6" xfId="34071"/>
    <cellStyle name="输出 4 2 7" xfId="34072"/>
    <cellStyle name="输出 4 3" xfId="34073"/>
    <cellStyle name="输出 4 3 2" xfId="34074"/>
    <cellStyle name="输出 4 3 2 2" xfId="34075"/>
    <cellStyle name="输出 4 3 2 2 2" xfId="34076"/>
    <cellStyle name="输出 4 3 2 2 2 2" xfId="34077"/>
    <cellStyle name="输出 4 3 2 2 3" xfId="24803"/>
    <cellStyle name="输出 4 3 2 2 3 2" xfId="32985"/>
    <cellStyle name="输出 4 3 2 2 4" xfId="34078"/>
    <cellStyle name="输出 4 3 2 2 4 2" xfId="34079"/>
    <cellStyle name="输出 4 3 2 2 5" xfId="34080"/>
    <cellStyle name="输出 4 3 2 3" xfId="34081"/>
    <cellStyle name="输出 4 3 2 3 2" xfId="34082"/>
    <cellStyle name="输出 4 3 2 3 2 2" xfId="34083"/>
    <cellStyle name="输出 4 3 2 3 3" xfId="34084"/>
    <cellStyle name="输出 4 3 2 3 3 2" xfId="34085"/>
    <cellStyle name="输出 4 3 2 3 4" xfId="13671"/>
    <cellStyle name="输出 4 3 2 4" xfId="34086"/>
    <cellStyle name="输出 4 3 2 4 2" xfId="34087"/>
    <cellStyle name="输出 4 3 2 5" xfId="34088"/>
    <cellStyle name="输出 4 3 3" xfId="34089"/>
    <cellStyle name="输出 4 3 3 2" xfId="34090"/>
    <cellStyle name="输出 4 3 3 2 2" xfId="34091"/>
    <cellStyle name="输出 4 3 3 3" xfId="34092"/>
    <cellStyle name="输出 4 3 3 3 2" xfId="34093"/>
    <cellStyle name="输出 4 3 3 4" xfId="34094"/>
    <cellStyle name="输出 4 3 3 4 2" xfId="34095"/>
    <cellStyle name="输出 4 3 3 5" xfId="34096"/>
    <cellStyle name="输出 4 3 4" xfId="34097"/>
    <cellStyle name="输出 4 3 4 2" xfId="34098"/>
    <cellStyle name="输出 4 3 4 2 2" xfId="34099"/>
    <cellStyle name="输出 4 3 4 3" xfId="34100"/>
    <cellStyle name="输出 4 3 4 3 2" xfId="34101"/>
    <cellStyle name="输出 4 3 4 4" xfId="34102"/>
    <cellStyle name="输出 4 3 5" xfId="34103"/>
    <cellStyle name="输出 4 3 5 2" xfId="34104"/>
    <cellStyle name="输出 4 3 6" xfId="34105"/>
    <cellStyle name="输出 4 3 7" xfId="34106"/>
    <cellStyle name="输出 4 4" xfId="34107"/>
    <cellStyle name="输出 4 4 2" xfId="34108"/>
    <cellStyle name="输出 4 4 2 2" xfId="34109"/>
    <cellStyle name="输出 4 4 2 2 2" xfId="34110"/>
    <cellStyle name="输出 4 4 2 3" xfId="34111"/>
    <cellStyle name="输出 4 4 2 3 2" xfId="34112"/>
    <cellStyle name="输出 4 4 2 4" xfId="34113"/>
    <cellStyle name="输出 4 4 2 4 2" xfId="34114"/>
    <cellStyle name="输出 4 4 2 5" xfId="34115"/>
    <cellStyle name="输出 4 4 3" xfId="34116"/>
    <cellStyle name="输出 4 4 3 2" xfId="34117"/>
    <cellStyle name="输出 4 4 3 2 2" xfId="34118"/>
    <cellStyle name="输出 4 4 3 3" xfId="34119"/>
    <cellStyle name="输出 4 4 3 3 2" xfId="34120"/>
    <cellStyle name="输出 4 4 3 4" xfId="34121"/>
    <cellStyle name="输出 4 4 4" xfId="34122"/>
    <cellStyle name="输出 4 4 4 2" xfId="34123"/>
    <cellStyle name="输出 4 4 5" xfId="34124"/>
    <cellStyle name="输出 4 5" xfId="34125"/>
    <cellStyle name="输出 4 5 2" xfId="34126"/>
    <cellStyle name="输出 4 5 2 2" xfId="34127"/>
    <cellStyle name="输出 4 5 2 2 2" xfId="34128"/>
    <cellStyle name="输出 4 5 2 3" xfId="34129"/>
    <cellStyle name="输出 4 5 2 3 2" xfId="34130"/>
    <cellStyle name="输出 4 5 2 4" xfId="34131"/>
    <cellStyle name="输出 4 5 2 4 2" xfId="34132"/>
    <cellStyle name="输出 4 5 2 5" xfId="34133"/>
    <cellStyle name="输出 4 5 3" xfId="34134"/>
    <cellStyle name="输出 4 5 3 2" xfId="34135"/>
    <cellStyle name="输出 4 5 3 2 2" xfId="34136"/>
    <cellStyle name="输出 4 5 3 3" xfId="34137"/>
    <cellStyle name="输出 4 5 3 3 2" xfId="34138"/>
    <cellStyle name="输出 4 5 3 4" xfId="34139"/>
    <cellStyle name="输出 4 5 4" xfId="34140"/>
    <cellStyle name="输出 4 5 4 2" xfId="34141"/>
    <cellStyle name="输出 4 5 5" xfId="34142"/>
    <cellStyle name="输出 4 6" xfId="34143"/>
    <cellStyle name="输出 4 6 2" xfId="34144"/>
    <cellStyle name="输出 4 6 2 2" xfId="34145"/>
    <cellStyle name="输出 4 6 3" xfId="34146"/>
    <cellStyle name="输出 4 6 3 2" xfId="34147"/>
    <cellStyle name="输出 4 6 4" xfId="34148"/>
    <cellStyle name="输出 4 6 4 2" xfId="34149"/>
    <cellStyle name="输出 4 6 5" xfId="34150"/>
    <cellStyle name="输出 4 7" xfId="34151"/>
    <cellStyle name="输出 4 7 2" xfId="34152"/>
    <cellStyle name="输出 4 7 2 2" xfId="34153"/>
    <cellStyle name="输出 4 7 3" xfId="34154"/>
    <cellStyle name="输出 4 7 3 2" xfId="34155"/>
    <cellStyle name="输出 4 7 4" xfId="34156"/>
    <cellStyle name="输出 4 7 4 2" xfId="34157"/>
    <cellStyle name="输出 4 7 5" xfId="34158"/>
    <cellStyle name="输出 4 8" xfId="34159"/>
    <cellStyle name="输出 4 8 2" xfId="34160"/>
    <cellStyle name="输出 4 8 2 2" xfId="34161"/>
    <cellStyle name="输出 4 8 3" xfId="34162"/>
    <cellStyle name="输出 4 8 3 2" xfId="34163"/>
    <cellStyle name="输出 4 8 4" xfId="34164"/>
    <cellStyle name="输出 4 8 4 2" xfId="34165"/>
    <cellStyle name="输出 4 8 5" xfId="34166"/>
    <cellStyle name="输出 4 9" xfId="34167"/>
    <cellStyle name="输出 5" xfId="34168"/>
    <cellStyle name="输出 5 2" xfId="34169"/>
    <cellStyle name="输出 5 2 2" xfId="34170"/>
    <cellStyle name="输出 5 2 2 2" xfId="34171"/>
    <cellStyle name="输出 5 2 2 2 2" xfId="30702"/>
    <cellStyle name="输出 5 2 2 2 2 2" xfId="30704"/>
    <cellStyle name="输出 5 2 2 2 3" xfId="30706"/>
    <cellStyle name="输出 5 2 2 2 3 2" xfId="30708"/>
    <cellStyle name="输出 5 2 2 2 4" xfId="30710"/>
    <cellStyle name="输出 5 2 2 2 4 2" xfId="34172"/>
    <cellStyle name="输出 5 2 2 2 5" xfId="34173"/>
    <cellStyle name="输出 5 2 2 3" xfId="34174"/>
    <cellStyle name="输出 5 2 2 3 2" xfId="34175"/>
    <cellStyle name="输出 5 2 2 3 2 2" xfId="34176"/>
    <cellStyle name="输出 5 2 2 3 3" xfId="34177"/>
    <cellStyle name="输出 5 2 2 3 3 2" xfId="34178"/>
    <cellStyle name="输出 5 2 2 3 4" xfId="34179"/>
    <cellStyle name="输出 5 2 2 4" xfId="34180"/>
    <cellStyle name="输出 5 2 2 4 2" xfId="7759"/>
    <cellStyle name="输出 5 2 2 5" xfId="34181"/>
    <cellStyle name="输出 5 2 3" xfId="34182"/>
    <cellStyle name="输出 5 2 3 2" xfId="34183"/>
    <cellStyle name="输出 5 2 3 2 2" xfId="34184"/>
    <cellStyle name="输出 5 2 3 3" xfId="34185"/>
    <cellStyle name="输出 5 2 3 3 2" xfId="34186"/>
    <cellStyle name="输出 5 2 3 4" xfId="34187"/>
    <cellStyle name="输出 5 2 3 4 2" xfId="34188"/>
    <cellStyle name="输出 5 2 3 5" xfId="34189"/>
    <cellStyle name="输出 5 2 4" xfId="34190"/>
    <cellStyle name="输出 5 2 4 2" xfId="34191"/>
    <cellStyle name="输出 5 2 4 2 2" xfId="34192"/>
    <cellStyle name="输出 5 2 4 3" xfId="34193"/>
    <cellStyle name="输出 5 2 4 3 2" xfId="34194"/>
    <cellStyle name="输出 5 2 4 4" xfId="34195"/>
    <cellStyle name="输出 5 2 5" xfId="34196"/>
    <cellStyle name="输出 5 2 5 2" xfId="34197"/>
    <cellStyle name="输出 5 2 6" xfId="34198"/>
    <cellStyle name="输出 5 2 7" xfId="34199"/>
    <cellStyle name="输出 5 3" xfId="34200"/>
    <cellStyle name="输出 5 3 2" xfId="34201"/>
    <cellStyle name="输出 5 3 2 2" xfId="34202"/>
    <cellStyle name="输出 5 3 2 2 2" xfId="34203"/>
    <cellStyle name="输出 5 3 2 2 2 2" xfId="34204"/>
    <cellStyle name="输出 5 3 2 2 3" xfId="34205"/>
    <cellStyle name="输出 5 3 2 2 3 2" xfId="34206"/>
    <cellStyle name="输出 5 3 2 2 4" xfId="34207"/>
    <cellStyle name="输出 5 3 2 2 4 2" xfId="34208"/>
    <cellStyle name="输出 5 3 2 2 5" xfId="34209"/>
    <cellStyle name="输出 5 3 2 3" xfId="34210"/>
    <cellStyle name="输出 5 3 2 3 2" xfId="34211"/>
    <cellStyle name="输出 5 3 2 3 2 2" xfId="34212"/>
    <cellStyle name="输出 5 3 2 3 3" xfId="34213"/>
    <cellStyle name="输出 5 3 2 3 3 2" xfId="34214"/>
    <cellStyle name="输出 5 3 2 3 4" xfId="34215"/>
    <cellStyle name="输出 5 3 2 4" xfId="27411"/>
    <cellStyle name="输出 5 3 2 4 2" xfId="12566"/>
    <cellStyle name="输出 5 3 2 5" xfId="27414"/>
    <cellStyle name="输出 5 3 3" xfId="34216"/>
    <cellStyle name="输出 5 3 3 2" xfId="34217"/>
    <cellStyle name="输出 5 3 3 2 2" xfId="34218"/>
    <cellStyle name="输出 5 3 3 3" xfId="34219"/>
    <cellStyle name="输出 5 3 3 3 2" xfId="34220"/>
    <cellStyle name="输出 5 3 3 4" xfId="23688"/>
    <cellStyle name="输出 5 3 3 4 2" xfId="12795"/>
    <cellStyle name="输出 5 3 3 5" xfId="23692"/>
    <cellStyle name="输出 5 3 4" xfId="34221"/>
    <cellStyle name="输出 5 3 4 2" xfId="34222"/>
    <cellStyle name="输出 5 3 4 2 2" xfId="34223"/>
    <cellStyle name="输出 5 3 4 3" xfId="34224"/>
    <cellStyle name="输出 5 3 4 3 2" xfId="34225"/>
    <cellStyle name="输出 5 3 4 4" xfId="15790"/>
    <cellStyle name="输出 5 3 5" xfId="34226"/>
    <cellStyle name="输出 5 3 5 2" xfId="34227"/>
    <cellStyle name="输出 5 3 6" xfId="34228"/>
    <cellStyle name="输出 5 3 7" xfId="34229"/>
    <cellStyle name="输出 5 4" xfId="34230"/>
    <cellStyle name="输出 5 4 2" xfId="34231"/>
    <cellStyle name="输出 5 4 2 2" xfId="34232"/>
    <cellStyle name="输出 5 4 2 2 2" xfId="34233"/>
    <cellStyle name="输出 5 4 2 3" xfId="34234"/>
    <cellStyle name="输出 5 4 2 3 2" xfId="34235"/>
    <cellStyle name="输出 5 4 2 4" xfId="34236"/>
    <cellStyle name="输出 5 4 2 4 2" xfId="3694"/>
    <cellStyle name="输出 5 4 2 5" xfId="34237"/>
    <cellStyle name="输出 5 4 3" xfId="34238"/>
    <cellStyle name="输出 5 4 3 2" xfId="34239"/>
    <cellStyle name="输出 5 4 3 2 2" xfId="34240"/>
    <cellStyle name="输出 5 4 3 3" xfId="34241"/>
    <cellStyle name="输出 5 4 3 3 2" xfId="34242"/>
    <cellStyle name="输出 5 4 3 4" xfId="34243"/>
    <cellStyle name="输出 5 4 4" xfId="34244"/>
    <cellStyle name="输出 5 4 4 2" xfId="34245"/>
    <cellStyle name="输出 5 4 5" xfId="34246"/>
    <cellStyle name="输出 5 5" xfId="34247"/>
    <cellStyle name="输出 5 5 2" xfId="34248"/>
    <cellStyle name="输出 5 5 2 2" xfId="34249"/>
    <cellStyle name="输出 5 5 2 2 2" xfId="34250"/>
    <cellStyle name="输出 5 5 2 3" xfId="34251"/>
    <cellStyle name="输出 5 5 2 3 2" xfId="34252"/>
    <cellStyle name="输出 5 5 2 4" xfId="34253"/>
    <cellStyle name="输出 5 5 2 4 2" xfId="34254"/>
    <cellStyle name="输出 5 5 2 5" xfId="34255"/>
    <cellStyle name="输出 5 5 3" xfId="34256"/>
    <cellStyle name="输出 5 5 3 2" xfId="34257"/>
    <cellStyle name="输出 5 5 3 2 2" xfId="34258"/>
    <cellStyle name="输出 5 5 3 3" xfId="34259"/>
    <cellStyle name="输出 5 5 3 3 2" xfId="34260"/>
    <cellStyle name="输出 5 5 3 4" xfId="34261"/>
    <cellStyle name="输出 5 5 4" xfId="34262"/>
    <cellStyle name="输出 5 5 4 2" xfId="34263"/>
    <cellStyle name="输出 5 5 5" xfId="34264"/>
    <cellStyle name="输出 5 6" xfId="34265"/>
    <cellStyle name="输出 5 6 2" xfId="34266"/>
    <cellStyle name="输出 5 6 2 2" xfId="26475"/>
    <cellStyle name="输出 5 6 3" xfId="34267"/>
    <cellStyle name="输出 5 6 3 2" xfId="34268"/>
    <cellStyle name="输出 5 6 4" xfId="34269"/>
    <cellStyle name="输出 5 6 4 2" xfId="34270"/>
    <cellStyle name="输出 5 6 5" xfId="34271"/>
    <cellStyle name="输出 5 7" xfId="34272"/>
    <cellStyle name="输出 5 7 2" xfId="34273"/>
    <cellStyle name="输出 5 7 2 2" xfId="34274"/>
    <cellStyle name="输出 5 7 3" xfId="34275"/>
    <cellStyle name="输出 5 7 3 2" xfId="34276"/>
    <cellStyle name="输出 5 7 4" xfId="34277"/>
    <cellStyle name="输出 5 7 4 2" xfId="34278"/>
    <cellStyle name="输出 5 7 5" xfId="34279"/>
    <cellStyle name="输出 5 8" xfId="34280"/>
    <cellStyle name="输出 5 8 2" xfId="34281"/>
    <cellStyle name="输出 5 8 2 2" xfId="34282"/>
    <cellStyle name="输出 5 8 3" xfId="34283"/>
    <cellStyle name="输出 5 8 3 2" xfId="34284"/>
    <cellStyle name="输出 5 8 4" xfId="34285"/>
    <cellStyle name="输出 5 8 4 2" xfId="34286"/>
    <cellStyle name="输出 5 8 5" xfId="34287"/>
    <cellStyle name="输出 5 9" xfId="34288"/>
    <cellStyle name="输出 6" xfId="34289"/>
    <cellStyle name="输出 6 2" xfId="34290"/>
    <cellStyle name="输出 6 2 2" xfId="34291"/>
    <cellStyle name="输出 6 2 2 2" xfId="34292"/>
    <cellStyle name="输出 6 2 2 2 2" xfId="34293"/>
    <cellStyle name="输出 6 2 2 2 2 2" xfId="34294"/>
    <cellStyle name="输出 6 2 2 2 3" xfId="34295"/>
    <cellStyle name="输出 6 2 2 2 3 2" xfId="34296"/>
    <cellStyle name="输出 6 2 2 2 4" xfId="11338"/>
    <cellStyle name="输出 6 2 2 2 4 2" xfId="34297"/>
    <cellStyle name="输出 6 2 2 2 5" xfId="11344"/>
    <cellStyle name="输出 6 2 2 3" xfId="34298"/>
    <cellStyle name="输出 6 2 2 3 2" xfId="11348"/>
    <cellStyle name="输出 6 2 2 3 2 2" xfId="11351"/>
    <cellStyle name="输出 6 2 2 3 3" xfId="11354"/>
    <cellStyle name="输出 6 2 2 3 3 2" xfId="34299"/>
    <cellStyle name="输出 6 2 2 3 4" xfId="11359"/>
    <cellStyle name="输出 6 2 2 4" xfId="34300"/>
    <cellStyle name="输出 6 2 2 4 2" xfId="34301"/>
    <cellStyle name="输出 6 2 2 5" xfId="34302"/>
    <cellStyle name="输出 6 2 3" xfId="34303"/>
    <cellStyle name="输出 6 2 3 2" xfId="34304"/>
    <cellStyle name="输出 6 2 3 2 2" xfId="34305"/>
    <cellStyle name="输出 6 2 3 3" xfId="34306"/>
    <cellStyle name="输出 6 2 3 3 2" xfId="34307"/>
    <cellStyle name="输出 6 2 3 4" xfId="34308"/>
    <cellStyle name="输出 6 2 3 4 2" xfId="34309"/>
    <cellStyle name="输出 6 2 3 5" xfId="34310"/>
    <cellStyle name="输出 6 2 4" xfId="34311"/>
    <cellStyle name="输出 6 2 4 2" xfId="34312"/>
    <cellStyle name="输出 6 2 4 2 2" xfId="34313"/>
    <cellStyle name="输出 6 2 4 3" xfId="11425"/>
    <cellStyle name="输出 6 2 4 3 2" xfId="7096"/>
    <cellStyle name="输出 6 2 4 4" xfId="34314"/>
    <cellStyle name="输出 6 2 5" xfId="34315"/>
    <cellStyle name="输出 6 2 5 2" xfId="34316"/>
    <cellStyle name="输出 6 2 6" xfId="34317"/>
    <cellStyle name="输出 6 2 7" xfId="34318"/>
    <cellStyle name="输出 6 3" xfId="34319"/>
    <cellStyle name="输出 6 3 2" xfId="34320"/>
    <cellStyle name="输出 6 3 2 2" xfId="34321"/>
    <cellStyle name="输出 6 3 2 2 2" xfId="34322"/>
    <cellStyle name="输出 6 3 2 2 2 2" xfId="34323"/>
    <cellStyle name="输出 6 3 2 2 3" xfId="34324"/>
    <cellStyle name="输出 6 3 2 2 3 2" xfId="34325"/>
    <cellStyle name="输出 6 3 2 2 4" xfId="11619"/>
    <cellStyle name="输出 6 3 2 2 4 2" xfId="34326"/>
    <cellStyle name="输出 6 3 2 2 5" xfId="11623"/>
    <cellStyle name="输出 6 3 2 3" xfId="34327"/>
    <cellStyle name="输出 6 3 2 3 2" xfId="34328"/>
    <cellStyle name="输出 6 3 2 3 2 2" xfId="34329"/>
    <cellStyle name="输出 6 3 2 3 3" xfId="34330"/>
    <cellStyle name="输出 6 3 2 3 3 2" xfId="34331"/>
    <cellStyle name="输出 6 3 2 3 4" xfId="8847"/>
    <cellStyle name="输出 6 3 2 4" xfId="34332"/>
    <cellStyle name="输出 6 3 2 4 2" xfId="34333"/>
    <cellStyle name="输出 6 3 2 5" xfId="34334"/>
    <cellStyle name="输出 6 3 3" xfId="34335"/>
    <cellStyle name="输出 6 3 3 2" xfId="34336"/>
    <cellStyle name="输出 6 3 3 2 2" xfId="34337"/>
    <cellStyle name="输出 6 3 3 3" xfId="34338"/>
    <cellStyle name="输出 6 3 3 3 2" xfId="34339"/>
    <cellStyle name="输出 6 3 3 4" xfId="34340"/>
    <cellStyle name="输出 6 3 3 4 2" xfId="34341"/>
    <cellStyle name="输出 6 3 3 5" xfId="34342"/>
    <cellStyle name="输出 6 3 4" xfId="34343"/>
    <cellStyle name="输出 6 3 4 2" xfId="34344"/>
    <cellStyle name="输出 6 3 4 2 2" xfId="34345"/>
    <cellStyle name="输出 6 3 4 3" xfId="34346"/>
    <cellStyle name="输出 6 3 4 3 2" xfId="34347"/>
    <cellStyle name="输出 6 3 4 4" xfId="34348"/>
    <cellStyle name="输出 6 3 5" xfId="34349"/>
    <cellStyle name="输出 6 3 5 2" xfId="34350"/>
    <cellStyle name="输出 6 3 6" xfId="11694"/>
    <cellStyle name="输出 6 3 7" xfId="34351"/>
    <cellStyle name="输出 6 4" xfId="34352"/>
    <cellStyle name="输出 6 4 2" xfId="34353"/>
    <cellStyle name="输出 6 4 2 2" xfId="34354"/>
    <cellStyle name="输出 6 4 2 2 2" xfId="34355"/>
    <cellStyle name="输出 6 4 2 3" xfId="5926"/>
    <cellStyle name="输出 6 4 2 3 2" xfId="34356"/>
    <cellStyle name="输出 6 4 2 4" xfId="34357"/>
    <cellStyle name="输出 6 4 2 4 2" xfId="34358"/>
    <cellStyle name="输出 6 4 2 5" xfId="34359"/>
    <cellStyle name="输出 6 4 3" xfId="34360"/>
    <cellStyle name="输出 6 4 3 2" xfId="34361"/>
    <cellStyle name="输出 6 4 3 2 2" xfId="34362"/>
    <cellStyle name="输出 6 4 3 3" xfId="34363"/>
    <cellStyle name="输出 6 4 3 3 2" xfId="34364"/>
    <cellStyle name="输出 6 4 3 4" xfId="34365"/>
    <cellStyle name="输出 6 4 4" xfId="34366"/>
    <cellStyle name="输出 6 4 4 2" xfId="34367"/>
    <cellStyle name="输出 6 4 5" xfId="34368"/>
    <cellStyle name="输出 6 5" xfId="34369"/>
    <cellStyle name="输出 6 5 2" xfId="34370"/>
    <cellStyle name="输出 6 5 2 2" xfId="34371"/>
    <cellStyle name="输出 6 5 2 2 2" xfId="34372"/>
    <cellStyle name="输出 6 5 2 3" xfId="34373"/>
    <cellStyle name="输出 6 5 2 3 2" xfId="34374"/>
    <cellStyle name="输出 6 5 2 4" xfId="34375"/>
    <cellStyle name="输出 6 5 2 4 2" xfId="34376"/>
    <cellStyle name="输出 6 5 2 5" xfId="34377"/>
    <cellStyle name="输出 6 5 3" xfId="34378"/>
    <cellStyle name="输出 6 5 3 2" xfId="34379"/>
    <cellStyle name="输出 6 5 3 2 2" xfId="34380"/>
    <cellStyle name="输出 6 5 3 3" xfId="34381"/>
    <cellStyle name="输出 6 5 3 3 2" xfId="34382"/>
    <cellStyle name="输出 6 5 3 4" xfId="34383"/>
    <cellStyle name="输出 6 5 4" xfId="34384"/>
    <cellStyle name="输出 6 5 4 2" xfId="34385"/>
    <cellStyle name="输出 6 5 5" xfId="34386"/>
    <cellStyle name="输出 6 6" xfId="34387"/>
    <cellStyle name="输出 6 6 2" xfId="34388"/>
    <cellStyle name="输出 6 6 2 2" xfId="34389"/>
    <cellStyle name="输出 6 6 3" xfId="34390"/>
    <cellStyle name="输出 6 6 3 2" xfId="34391"/>
    <cellStyle name="输出 6 6 4" xfId="34392"/>
    <cellStyle name="输出 6 6 4 2" xfId="34393"/>
    <cellStyle name="输出 6 6 5" xfId="34394"/>
    <cellStyle name="输出 6 7" xfId="34395"/>
    <cellStyle name="输出 6 7 2" xfId="34396"/>
    <cellStyle name="输出 6 7 2 2" xfId="34397"/>
    <cellStyle name="输出 6 7 3" xfId="34398"/>
    <cellStyle name="输出 6 7 3 2" xfId="34399"/>
    <cellStyle name="输出 6 7 4" xfId="34400"/>
    <cellStyle name="输出 6 7 4 2" xfId="34401"/>
    <cellStyle name="输出 6 7 5" xfId="34402"/>
    <cellStyle name="输出 6 8" xfId="34403"/>
    <cellStyle name="输出 6 8 2" xfId="34404"/>
    <cellStyle name="输出 6 8 2 2" xfId="34405"/>
    <cellStyle name="输出 6 8 3" xfId="34406"/>
    <cellStyle name="输出 6 8 3 2" xfId="31637"/>
    <cellStyle name="输出 6 8 4" xfId="34407"/>
    <cellStyle name="输出 6 8 4 2" xfId="34408"/>
    <cellStyle name="输出 6 8 5" xfId="34409"/>
    <cellStyle name="输出 6 9" xfId="34410"/>
    <cellStyle name="输出 7" xfId="34411"/>
    <cellStyle name="输出 7 2" xfId="34412"/>
    <cellStyle name="输出 7 2 2" xfId="34413"/>
    <cellStyle name="输出 7 2 2 2" xfId="34414"/>
    <cellStyle name="输出 7 2 2 2 2" xfId="34415"/>
    <cellStyle name="输出 7 2 2 2 2 2" xfId="34416"/>
    <cellStyle name="输出 7 2 2 2 3" xfId="34417"/>
    <cellStyle name="输出 7 2 2 2 3 2" xfId="763"/>
    <cellStyle name="输出 7 2 2 2 4" xfId="34418"/>
    <cellStyle name="输出 7 2 2 2 4 2" xfId="34419"/>
    <cellStyle name="输出 7 2 2 2 5" xfId="34420"/>
    <cellStyle name="输出 7 2 2 3" xfId="34421"/>
    <cellStyle name="输出 7 2 2 3 2" xfId="34422"/>
    <cellStyle name="输出 7 2 2 3 2 2" xfId="34423"/>
    <cellStyle name="输出 7 2 2 3 3" xfId="34424"/>
    <cellStyle name="输出 7 2 2 3 3 2" xfId="34425"/>
    <cellStyle name="输出 7 2 2 3 4" xfId="34426"/>
    <cellStyle name="输出 7 2 2 4" xfId="34427"/>
    <cellStyle name="输出 7 2 2 4 2" xfId="34428"/>
    <cellStyle name="输出 7 2 2 5" xfId="34429"/>
    <cellStyle name="输出 7 2 3" xfId="34430"/>
    <cellStyle name="输出 7 2 3 2" xfId="34431"/>
    <cellStyle name="输出 7 2 3 2 2" xfId="34432"/>
    <cellStyle name="输出 7 2 3 3" xfId="34433"/>
    <cellStyle name="输出 7 2 3 3 2" xfId="34434"/>
    <cellStyle name="输出 7 2 3 4" xfId="34435"/>
    <cellStyle name="输出 7 2 3 4 2" xfId="34436"/>
    <cellStyle name="输出 7 2 3 5" xfId="34437"/>
    <cellStyle name="输出 7 2 4" xfId="34438"/>
    <cellStyle name="输出 7 2 4 2" xfId="34439"/>
    <cellStyle name="输出 7 2 4 2 2" xfId="34440"/>
    <cellStyle name="输出 7 2 4 3" xfId="34441"/>
    <cellStyle name="输出 7 2 4 3 2" xfId="34442"/>
    <cellStyle name="输出 7 2 4 4" xfId="34443"/>
    <cellStyle name="输出 7 2 5" xfId="34444"/>
    <cellStyle name="输出 7 2 5 2" xfId="34445"/>
    <cellStyle name="输出 7 2 6" xfId="34446"/>
    <cellStyle name="输出 7 2 7" xfId="34447"/>
    <cellStyle name="输出 7 3" xfId="34448"/>
    <cellStyle name="输出 7 3 2" xfId="34449"/>
    <cellStyle name="输出 7 3 2 2" xfId="34450"/>
    <cellStyle name="输出 7 3 2 2 2" xfId="34451"/>
    <cellStyle name="输出 7 3 2 2 2 2" xfId="34452"/>
    <cellStyle name="输出 7 3 2 2 3" xfId="34453"/>
    <cellStyle name="输出 7 3 2 2 3 2" xfId="34454"/>
    <cellStyle name="输出 7 3 2 2 4" xfId="34455"/>
    <cellStyle name="输出 7 3 2 2 4 2" xfId="34456"/>
    <cellStyle name="输出 7 3 2 2 5" xfId="34457"/>
    <cellStyle name="输出 7 3 2 3" xfId="34458"/>
    <cellStyle name="输出 7 3 2 3 2" xfId="34459"/>
    <cellStyle name="输出 7 3 2 3 2 2" xfId="34460"/>
    <cellStyle name="输出 7 3 2 3 3" xfId="34461"/>
    <cellStyle name="输出 7 3 2 3 3 2" xfId="34462"/>
    <cellStyle name="输出 7 3 2 3 4" xfId="34463"/>
    <cellStyle name="输出 7 3 2 4" xfId="34464"/>
    <cellStyle name="输出 7 3 2 4 2" xfId="34465"/>
    <cellStyle name="输出 7 3 2 5" xfId="34466"/>
    <cellStyle name="输出 7 3 3" xfId="34467"/>
    <cellStyle name="输出 7 3 3 2" xfId="34468"/>
    <cellStyle name="输出 7 3 3 2 2" xfId="34469"/>
    <cellStyle name="输出 7 3 3 3" xfId="34470"/>
    <cellStyle name="输出 7 3 3 3 2" xfId="34471"/>
    <cellStyle name="输出 7 3 3 4" xfId="34472"/>
    <cellStyle name="输出 7 3 3 4 2" xfId="34473"/>
    <cellStyle name="输出 7 3 3 5" xfId="34474"/>
    <cellStyle name="输出 7 3 4" xfId="34475"/>
    <cellStyle name="输出 7 3 4 2" xfId="34476"/>
    <cellStyle name="输出 7 3 4 2 2" xfId="34477"/>
    <cellStyle name="输出 7 3 4 3" xfId="34478"/>
    <cellStyle name="输出 7 3 4 3 2" xfId="34479"/>
    <cellStyle name="输出 7 3 4 4" xfId="34480"/>
    <cellStyle name="输出 7 3 5" xfId="34481"/>
    <cellStyle name="输出 7 3 5 2" xfId="34482"/>
    <cellStyle name="输出 7 3 6" xfId="34483"/>
    <cellStyle name="输出 7 3 7" xfId="34484"/>
    <cellStyle name="输出 7 4" xfId="34485"/>
    <cellStyle name="输出 7 4 2" xfId="34486"/>
    <cellStyle name="输出 7 4 2 2" xfId="34487"/>
    <cellStyle name="输出 7 4 2 2 2" xfId="34488"/>
    <cellStyle name="输出 7 4 2 3" xfId="34489"/>
    <cellStyle name="输出 7 4 2 3 2" xfId="34490"/>
    <cellStyle name="输出 7 4 2 4" xfId="34491"/>
    <cellStyle name="输出 7 4 2 4 2" xfId="34492"/>
    <cellStyle name="输出 7 4 2 5" xfId="34493"/>
    <cellStyle name="输出 7 4 3" xfId="34494"/>
    <cellStyle name="输出 7 4 3 2" xfId="34495"/>
    <cellStyle name="输出 7 4 3 2 2" xfId="34496"/>
    <cellStyle name="输出 7 4 3 3" xfId="34497"/>
    <cellStyle name="输出 7 4 3 3 2" xfId="34498"/>
    <cellStyle name="输出 7 4 3 4" xfId="34499"/>
    <cellStyle name="输出 7 4 4" xfId="34500"/>
    <cellStyle name="输出 7 4 4 2" xfId="34501"/>
    <cellStyle name="输出 7 4 5" xfId="34502"/>
    <cellStyle name="输出 7 5" xfId="34503"/>
    <cellStyle name="输出 7 5 2" xfId="24625"/>
    <cellStyle name="输出 7 5 2 2" xfId="34504"/>
    <cellStyle name="输出 7 5 2 2 2" xfId="34505"/>
    <cellStyle name="输出 7 5 2 3" xfId="34506"/>
    <cellStyle name="输出 7 5 2 3 2" xfId="34507"/>
    <cellStyle name="输出 7 5 2 4" xfId="34508"/>
    <cellStyle name="输出 7 5 2 4 2" xfId="34509"/>
    <cellStyle name="输出 7 5 2 5" xfId="34510"/>
    <cellStyle name="输出 7 5 3" xfId="20427"/>
    <cellStyle name="输出 7 5 3 2" xfId="34511"/>
    <cellStyle name="输出 7 5 3 2 2" xfId="34512"/>
    <cellStyle name="输出 7 5 3 3" xfId="34513"/>
    <cellStyle name="输出 7 5 3 3 2" xfId="34514"/>
    <cellStyle name="输出 7 5 3 4" xfId="34515"/>
    <cellStyle name="输出 7 5 4" xfId="34516"/>
    <cellStyle name="输出 7 5 4 2" xfId="34517"/>
    <cellStyle name="输出 7 5 5" xfId="34518"/>
    <cellStyle name="输出 7 6" xfId="34519"/>
    <cellStyle name="输出 7 6 2" xfId="34520"/>
    <cellStyle name="输出 7 6 2 2" xfId="34521"/>
    <cellStyle name="输出 7 6 3" xfId="34522"/>
    <cellStyle name="输出 7 6 3 2" xfId="34523"/>
    <cellStyle name="输出 7 6 4" xfId="34524"/>
    <cellStyle name="输出 7 6 4 2" xfId="34525"/>
    <cellStyle name="输出 7 6 5" xfId="34526"/>
    <cellStyle name="输出 7 7" xfId="34527"/>
    <cellStyle name="输出 7 7 2" xfId="34528"/>
    <cellStyle name="输出 7 7 2 2" xfId="34529"/>
    <cellStyle name="输出 7 7 3" xfId="34530"/>
    <cellStyle name="输出 7 7 3 2" xfId="34531"/>
    <cellStyle name="输出 7 7 4" xfId="34532"/>
    <cellStyle name="输出 7 7 4 2" xfId="34533"/>
    <cellStyle name="输出 7 7 5" xfId="34534"/>
    <cellStyle name="输出 7 8" xfId="34535"/>
    <cellStyle name="输出 7 8 2" xfId="34536"/>
    <cellStyle name="输出 7 8 2 2" xfId="34538"/>
    <cellStyle name="输出 7 8 3" xfId="34539"/>
    <cellStyle name="输出 7 8 3 2" xfId="34540"/>
    <cellStyle name="输出 7 8 4" xfId="34541"/>
    <cellStyle name="输出 7 8 4 2" xfId="34542"/>
    <cellStyle name="输出 7 8 5" xfId="34543"/>
    <cellStyle name="输出 7 9" xfId="34544"/>
    <cellStyle name="输出 8" xfId="34545"/>
    <cellStyle name="输出 8 2" xfId="34546"/>
    <cellStyle name="输出 8 2 2" xfId="34547"/>
    <cellStyle name="输出 8 2 2 2" xfId="34548"/>
    <cellStyle name="输出 8 2 2 2 2" xfId="34549"/>
    <cellStyle name="输出 8 2 2 2 2 2" xfId="34550"/>
    <cellStyle name="输出 8 2 2 2 3" xfId="34551"/>
    <cellStyle name="输出 8 2 2 2 3 2" xfId="34552"/>
    <cellStyle name="输出 8 2 2 2 4" xfId="34553"/>
    <cellStyle name="输出 8 2 2 2 4 2" xfId="34554"/>
    <cellStyle name="输出 8 2 2 2 5" xfId="34555"/>
    <cellStyle name="输出 8 2 2 3" xfId="34556"/>
    <cellStyle name="输出 8 2 2 3 2" xfId="34557"/>
    <cellStyle name="输出 8 2 2 3 2 2" xfId="34558"/>
    <cellStyle name="输出 8 2 2 3 3" xfId="34559"/>
    <cellStyle name="输出 8 2 2 3 3 2" xfId="34560"/>
    <cellStyle name="输出 8 2 2 3 4" xfId="34561"/>
    <cellStyle name="输出 8 2 2 4" xfId="34562"/>
    <cellStyle name="输出 8 2 2 4 2" xfId="34563"/>
    <cellStyle name="输出 8 2 2 5" xfId="34564"/>
    <cellStyle name="输出 8 2 3" xfId="34565"/>
    <cellStyle name="输出 8 2 3 2" xfId="34566"/>
    <cellStyle name="输出 8 2 3 2 2" xfId="34567"/>
    <cellStyle name="输出 8 2 3 3" xfId="34568"/>
    <cellStyle name="输出 8 2 3 3 2" xfId="34569"/>
    <cellStyle name="输出 8 2 3 4" xfId="34570"/>
    <cellStyle name="输出 8 2 3 4 2" xfId="34571"/>
    <cellStyle name="输出 8 2 3 5" xfId="34572"/>
    <cellStyle name="输出 8 2 4" xfId="34573"/>
    <cellStyle name="输出 8 2 4 2" xfId="34574"/>
    <cellStyle name="输出 8 2 4 2 2" xfId="34575"/>
    <cellStyle name="输出 8 2 4 3" xfId="34576"/>
    <cellStyle name="输出 8 2 4 3 2" xfId="34577"/>
    <cellStyle name="输出 8 2 4 4" xfId="34578"/>
    <cellStyle name="输出 8 2 5" xfId="34579"/>
    <cellStyle name="输出 8 2 5 2" xfId="34580"/>
    <cellStyle name="输出 8 2 6" xfId="29499"/>
    <cellStyle name="输出 8 3" xfId="34581"/>
    <cellStyle name="输出 8 3 2" xfId="34582"/>
    <cellStyle name="输出 8 3 2 2" xfId="34583"/>
    <cellStyle name="输出 8 3 2 2 2" xfId="34584"/>
    <cellStyle name="输出 8 3 2 2 2 2" xfId="34585"/>
    <cellStyle name="输出 8 3 2 2 3" xfId="34586"/>
    <cellStyle name="输出 8 3 2 2 3 2" xfId="34587"/>
    <cellStyle name="输出 8 3 2 2 4" xfId="34588"/>
    <cellStyle name="输出 8 3 2 2 4 2" xfId="29458"/>
    <cellStyle name="输出 8 3 2 2 5" xfId="34589"/>
    <cellStyle name="输出 8 3 2 3" xfId="34590"/>
    <cellStyle name="输出 8 3 2 3 2" xfId="34591"/>
    <cellStyle name="输出 8 3 2 3 2 2" xfId="34592"/>
    <cellStyle name="输出 8 3 2 3 3" xfId="34593"/>
    <cellStyle name="输出 8 3 2 3 3 2" xfId="34594"/>
    <cellStyle name="输出 8 3 2 3 4" xfId="34595"/>
    <cellStyle name="输出 8 3 2 4" xfId="34596"/>
    <cellStyle name="输出 8 3 2 4 2" xfId="34597"/>
    <cellStyle name="输出 8 3 2 5" xfId="34598"/>
    <cellStyle name="输出 8 3 3" xfId="34599"/>
    <cellStyle name="输出 8 3 3 2" xfId="34600"/>
    <cellStyle name="输出 8 3 3 2 2" xfId="34601"/>
    <cellStyle name="输出 8 3 3 3" xfId="34602"/>
    <cellStyle name="输出 8 3 3 3 2" xfId="34603"/>
    <cellStyle name="输出 8 3 3 4" xfId="34604"/>
    <cellStyle name="输出 8 3 3 4 2" xfId="20242"/>
    <cellStyle name="输出 8 3 3 5" xfId="34605"/>
    <cellStyle name="输出 8 3 4" xfId="34606"/>
    <cellStyle name="输出 8 3 4 2" xfId="34607"/>
    <cellStyle name="输出 8 3 4 2 2" xfId="34608"/>
    <cellStyle name="输出 8 3 4 3" xfId="34609"/>
    <cellStyle name="输出 8 3 4 3 2" xfId="34610"/>
    <cellStyle name="输出 8 3 4 4" xfId="34611"/>
    <cellStyle name="输出 8 3 5" xfId="34612"/>
    <cellStyle name="输出 8 3 5 2" xfId="34613"/>
    <cellStyle name="输出 8 3 6" xfId="34614"/>
    <cellStyle name="输出 8 4" xfId="34615"/>
    <cellStyle name="输出 8 4 2" xfId="34616"/>
    <cellStyle name="输出 8 4 2 2" xfId="34617"/>
    <cellStyle name="输出 8 4 2 2 2" xfId="34618"/>
    <cellStyle name="输出 8 4 2 3" xfId="34619"/>
    <cellStyle name="输出 8 4 2 3 2" xfId="34620"/>
    <cellStyle name="输出 8 4 2 4" xfId="34621"/>
    <cellStyle name="输出 8 4 2 4 2" xfId="34622"/>
    <cellStyle name="输出 8 4 2 5" xfId="34623"/>
    <cellStyle name="输出 8 4 3" xfId="34624"/>
    <cellStyle name="输出 8 4 3 2" xfId="34625"/>
    <cellStyle name="输出 8 4 3 2 2" xfId="34626"/>
    <cellStyle name="输出 8 4 3 3" xfId="34627"/>
    <cellStyle name="输出 8 4 3 3 2" xfId="34628"/>
    <cellStyle name="输出 8 4 3 4" xfId="34629"/>
    <cellStyle name="输出 8 4 4" xfId="34630"/>
    <cellStyle name="输出 8 4 4 2" xfId="34631"/>
    <cellStyle name="输出 8 4 5" xfId="34632"/>
    <cellStyle name="输出 8 5" xfId="34633"/>
    <cellStyle name="输出 8 5 2" xfId="34634"/>
    <cellStyle name="输出 8 5 2 2" xfId="34635"/>
    <cellStyle name="输出 8 5 2 2 2" xfId="34636"/>
    <cellStyle name="输出 8 5 2 3" xfId="34637"/>
    <cellStyle name="输出 8 5 2 3 2" xfId="34638"/>
    <cellStyle name="输出 8 5 2 4" xfId="34639"/>
    <cellStyle name="输出 8 5 2 4 2" xfId="34640"/>
    <cellStyle name="输出 8 5 2 5" xfId="34641"/>
    <cellStyle name="输出 8 5 3" xfId="34642"/>
    <cellStyle name="输出 8 5 3 2" xfId="34643"/>
    <cellStyle name="输出 8 5 3 2 2" xfId="34644"/>
    <cellStyle name="输出 8 5 3 3" xfId="34645"/>
    <cellStyle name="输出 8 5 3 3 2" xfId="21010"/>
    <cellStyle name="输出 8 5 3 4" xfId="34646"/>
    <cellStyle name="输出 8 5 4" xfId="34647"/>
    <cellStyle name="输出 8 5 4 2" xfId="34648"/>
    <cellStyle name="输出 8 5 5" xfId="34649"/>
    <cellStyle name="输出 8 6" xfId="34650"/>
    <cellStyle name="输出 8 6 2" xfId="34651"/>
    <cellStyle name="输出 8 6 2 2" xfId="34652"/>
    <cellStyle name="输出 8 6 3" xfId="34653"/>
    <cellStyle name="输出 8 6 3 2" xfId="34654"/>
    <cellStyle name="输出 8 6 4" xfId="34655"/>
    <cellStyle name="输出 8 6 4 2" xfId="34656"/>
    <cellStyle name="输出 8 6 5" xfId="34657"/>
    <cellStyle name="输出 8 7" xfId="34658"/>
    <cellStyle name="输出 8 7 2" xfId="34659"/>
    <cellStyle name="输出 8 7 2 2" xfId="34660"/>
    <cellStyle name="输出 8 7 3" xfId="34661"/>
    <cellStyle name="输出 8 7 3 2" xfId="34662"/>
    <cellStyle name="输出 8 7 4" xfId="34663"/>
    <cellStyle name="输出 8 7 4 2" xfId="34664"/>
    <cellStyle name="输出 8 7 5" xfId="34666"/>
    <cellStyle name="输出 8 8" xfId="34667"/>
    <cellStyle name="输出 8 8 2" xfId="34668"/>
    <cellStyle name="输出 8 8 2 2" xfId="34669"/>
    <cellStyle name="输出 8 8 3" xfId="34670"/>
    <cellStyle name="输出 8 8 3 2" xfId="34671"/>
    <cellStyle name="输出 8 8 4" xfId="34672"/>
    <cellStyle name="输出 8 8 4 2" xfId="34673"/>
    <cellStyle name="输出 8 8 5" xfId="34675"/>
    <cellStyle name="输出 8 9" xfId="34676"/>
    <cellStyle name="输入" xfId="34677"/>
    <cellStyle name="输入 2" xfId="34678"/>
    <cellStyle name="输入 2 10" xfId="34679"/>
    <cellStyle name="输入 2 10 2" xfId="34680"/>
    <cellStyle name="输入 2 10 2 2" xfId="34681"/>
    <cellStyle name="输入 2 10 2 2 2" xfId="2343"/>
    <cellStyle name="输入 2 10 2 2 2 2" xfId="34682"/>
    <cellStyle name="输入 2 10 2 2 3" xfId="2364"/>
    <cellStyle name="输入 2 10 2 2 3 2" xfId="34683"/>
    <cellStyle name="输入 2 10 2 2 4" xfId="34684"/>
    <cellStyle name="输入 2 10 2 2 4 2" xfId="34685"/>
    <cellStyle name="输入 2 10 2 2 5" xfId="34686"/>
    <cellStyle name="输入 2 10 2 3" xfId="34687"/>
    <cellStyle name="输入 2 10 2 3 2" xfId="34688"/>
    <cellStyle name="输入 2 10 2 3 2 2" xfId="34689"/>
    <cellStyle name="输入 2 10 2 3 3" xfId="34690"/>
    <cellStyle name="输入 2 10 2 3 3 2" xfId="34691"/>
    <cellStyle name="输入 2 10 2 3 4" xfId="34692"/>
    <cellStyle name="输入 2 10 2 4" xfId="34693"/>
    <cellStyle name="输入 2 10 2 4 2" xfId="34694"/>
    <cellStyle name="输入 2 10 2 5" xfId="34695"/>
    <cellStyle name="输入 2 10 3" xfId="34696"/>
    <cellStyle name="输入 2 10 3 2" xfId="34697"/>
    <cellStyle name="输入 2 10 3 2 2" xfId="34698"/>
    <cellStyle name="输入 2 10 3 3" xfId="34699"/>
    <cellStyle name="输入 2 10 3 3 2" xfId="34700"/>
    <cellStyle name="输入 2 10 3 4" xfId="34701"/>
    <cellStyle name="输入 2 10 3 4 2" xfId="34702"/>
    <cellStyle name="输入 2 10 3 5" xfId="34703"/>
    <cellStyle name="输入 2 10 4" xfId="34704"/>
    <cellStyle name="输入 2 10 4 2" xfId="34705"/>
    <cellStyle name="输入 2 10 4 2 2" xfId="34706"/>
    <cellStyle name="输入 2 10 4 3" xfId="34707"/>
    <cellStyle name="输入 2 10 4 3 2" xfId="34708"/>
    <cellStyle name="输入 2 10 4 4" xfId="34709"/>
    <cellStyle name="输入 2 10 5" xfId="21437"/>
    <cellStyle name="输入 2 10 5 2" xfId="34710"/>
    <cellStyle name="输入 2 10 6" xfId="34711"/>
    <cellStyle name="输入 2 10 7" xfId="34712"/>
    <cellStyle name="输入 2 11" xfId="22799"/>
    <cellStyle name="输入 2 11 2" xfId="34713"/>
    <cellStyle name="输入 2 11 2 2" xfId="34714"/>
    <cellStyle name="输入 2 11 2 2 2" xfId="34715"/>
    <cellStyle name="输入 2 11 2 3" xfId="34716"/>
    <cellStyle name="输入 2 11 2 3 2" xfId="34717"/>
    <cellStyle name="输入 2 11 2 4" xfId="34718"/>
    <cellStyle name="输入 2 11 2 4 2" xfId="34719"/>
    <cellStyle name="输入 2 11 2 5" xfId="34720"/>
    <cellStyle name="输入 2 11 3" xfId="34721"/>
    <cellStyle name="输入 2 11 3 2" xfId="34722"/>
    <cellStyle name="输入 2 11 3 2 2" xfId="34723"/>
    <cellStyle name="输入 2 11 3 3" xfId="34724"/>
    <cellStyle name="输入 2 11 3 3 2" xfId="34725"/>
    <cellStyle name="输入 2 11 3 4" xfId="34726"/>
    <cellStyle name="输入 2 11 4" xfId="34727"/>
    <cellStyle name="输入 2 11 4 2" xfId="34728"/>
    <cellStyle name="输入 2 11 5" xfId="34729"/>
    <cellStyle name="输入 2 11 6" xfId="34730"/>
    <cellStyle name="输入 2 12" xfId="34731"/>
    <cellStyle name="输入 2 12 2" xfId="34732"/>
    <cellStyle name="输入 2 12 2 2" xfId="34733"/>
    <cellStyle name="输入 2 12 2 2 2" xfId="34734"/>
    <cellStyle name="输入 2 12 2 3" xfId="34735"/>
    <cellStyle name="输入 2 12 2 3 2" xfId="34736"/>
    <cellStyle name="输入 2 12 2 4" xfId="24710"/>
    <cellStyle name="输入 2 12 2 4 2" xfId="34737"/>
    <cellStyle name="输入 2 12 2 5" xfId="34738"/>
    <cellStyle name="输入 2 12 3" xfId="34739"/>
    <cellStyle name="输入 2 12 3 2" xfId="34740"/>
    <cellStyle name="输入 2 12 3 2 2" xfId="34741"/>
    <cellStyle name="输入 2 12 3 3" xfId="34742"/>
    <cellStyle name="输入 2 12 3 3 2" xfId="34743"/>
    <cellStyle name="输入 2 12 3 4" xfId="34744"/>
    <cellStyle name="输入 2 12 4" xfId="34745"/>
    <cellStyle name="输入 2 12 4 2" xfId="34746"/>
    <cellStyle name="输入 2 12 5" xfId="34747"/>
    <cellStyle name="输入 2 12 6" xfId="34748"/>
    <cellStyle name="输入 2 13" xfId="34749"/>
    <cellStyle name="输入 2 13 2" xfId="34750"/>
    <cellStyle name="输入 2 13 2 2" xfId="34751"/>
    <cellStyle name="输入 2 13 3" xfId="34752"/>
    <cellStyle name="输入 2 13 3 2" xfId="34753"/>
    <cellStyle name="输入 2 13 4" xfId="34754"/>
    <cellStyle name="输入 2 13 4 2" xfId="34755"/>
    <cellStyle name="输入 2 13 5" xfId="34756"/>
    <cellStyle name="输入 2 13 6" xfId="34757"/>
    <cellStyle name="输入 2 14" xfId="34758"/>
    <cellStyle name="输入 2 14 2" xfId="34759"/>
    <cellStyle name="输入 2 14 2 2" xfId="34760"/>
    <cellStyle name="输入 2 14 3" xfId="34761"/>
    <cellStyle name="输入 2 14 3 2" xfId="34762"/>
    <cellStyle name="输入 2 14 4" xfId="34763"/>
    <cellStyle name="输入 2 14 4 2" xfId="34764"/>
    <cellStyle name="输入 2 14 5" xfId="34765"/>
    <cellStyle name="输入 2 14 6" xfId="34766"/>
    <cellStyle name="输入 2 15" xfId="34767"/>
    <cellStyle name="输入 2 15 2" xfId="34768"/>
    <cellStyle name="输入 2 15 2 2" xfId="34769"/>
    <cellStyle name="输入 2 15 3" xfId="34770"/>
    <cellStyle name="输入 2 15 3 2" xfId="34771"/>
    <cellStyle name="输入 2 15 4" xfId="34772"/>
    <cellStyle name="输入 2 15 4 2" xfId="34773"/>
    <cellStyle name="输入 2 15 5" xfId="34774"/>
    <cellStyle name="输入 2 15 6" xfId="34775"/>
    <cellStyle name="输入 2 16" xfId="34776"/>
    <cellStyle name="输入 2 16 2" xfId="34777"/>
    <cellStyle name="输入 2 16 3" xfId="34778"/>
    <cellStyle name="输入 2 17" xfId="34779"/>
    <cellStyle name="输入 2 17 2" xfId="34780"/>
    <cellStyle name="输入 2 18" xfId="34781"/>
    <cellStyle name="输入 2 19" xfId="34782"/>
    <cellStyle name="输入 2 2" xfId="34783"/>
    <cellStyle name="输入 2 2 2" xfId="34784"/>
    <cellStyle name="输入 2 2 2 2" xfId="34785"/>
    <cellStyle name="输入 2 2 2 2 2" xfId="34786"/>
    <cellStyle name="输入 2 2 2 2 2 2" xfId="34787"/>
    <cellStyle name="输入 2 2 2 2 2 2 2" xfId="34788"/>
    <cellStyle name="输入 2 2 2 2 2 3" xfId="34789"/>
    <cellStyle name="输入 2 2 2 2 2 3 2" xfId="34790"/>
    <cellStyle name="输入 2 2 2 2 2 4" xfId="34791"/>
    <cellStyle name="输入 2 2 2 2 2 4 2" xfId="34792"/>
    <cellStyle name="输入 2 2 2 2 2 5" xfId="34793"/>
    <cellStyle name="输入 2 2 2 2 3" xfId="34794"/>
    <cellStyle name="输入 2 2 2 2 3 2" xfId="34795"/>
    <cellStyle name="输入 2 2 2 2 3 2 2" xfId="34796"/>
    <cellStyle name="输入 2 2 2 2 3 3" xfId="34797"/>
    <cellStyle name="输入 2 2 2 2 3 3 2" xfId="34798"/>
    <cellStyle name="输入 2 2 2 2 3 4" xfId="34799"/>
    <cellStyle name="输入 2 2 2 2 4" xfId="34800"/>
    <cellStyle name="输入 2 2 2 2 4 2" xfId="34801"/>
    <cellStyle name="输入 2 2 2 2 5" xfId="34802"/>
    <cellStyle name="输入 2 2 2 3" xfId="34803"/>
    <cellStyle name="输入 2 2 2 3 2" xfId="34804"/>
    <cellStyle name="输入 2 2 2 3 2 2" xfId="34805"/>
    <cellStyle name="输入 2 2 2 3 3" xfId="34806"/>
    <cellStyle name="输入 2 2 2 3 3 2" xfId="34807"/>
    <cellStyle name="输入 2 2 2 3 4" xfId="34808"/>
    <cellStyle name="输入 2 2 2 3 4 2" xfId="34810"/>
    <cellStyle name="输入 2 2 2 3 5" xfId="34811"/>
    <cellStyle name="输入 2 2 2 4" xfId="34812"/>
    <cellStyle name="输入 2 2 2 4 2" xfId="34813"/>
    <cellStyle name="输入 2 2 2 4 2 2" xfId="34814"/>
    <cellStyle name="输入 2 2 2 4 3" xfId="34815"/>
    <cellStyle name="输入 2 2 2 4 3 2" xfId="34816"/>
    <cellStyle name="输入 2 2 2 4 4" xfId="34817"/>
    <cellStyle name="输入 2 2 2 5" xfId="34818"/>
    <cellStyle name="输入 2 2 2 5 2" xfId="34819"/>
    <cellStyle name="输入 2 2 2 6" xfId="13177"/>
    <cellStyle name="输入 2 2 2 7" xfId="34820"/>
    <cellStyle name="输入 2 2 3" xfId="34821"/>
    <cellStyle name="输入 2 2 3 2" xfId="34822"/>
    <cellStyle name="输入 2 2 3 2 2" xfId="34823"/>
    <cellStyle name="输入 2 2 3 2 2 2" xfId="34824"/>
    <cellStyle name="输入 2 2 3 2 2 2 2" xfId="34825"/>
    <cellStyle name="输入 2 2 3 2 2 3" xfId="34826"/>
    <cellStyle name="输入 2 2 3 2 2 3 2" xfId="34827"/>
    <cellStyle name="输入 2 2 3 2 2 4" xfId="34828"/>
    <cellStyle name="输入 2 2 3 2 2 4 2" xfId="34829"/>
    <cellStyle name="输入 2 2 3 2 2 5" xfId="34830"/>
    <cellStyle name="输入 2 2 3 2 3" xfId="34831"/>
    <cellStyle name="输入 2 2 3 2 3 2" xfId="34832"/>
    <cellStyle name="输入 2 2 3 2 3 2 2" xfId="34833"/>
    <cellStyle name="输入 2 2 3 2 3 3" xfId="34834"/>
    <cellStyle name="输入 2 2 3 2 3 3 2" xfId="34835"/>
    <cellStyle name="输入 2 2 3 2 3 4" xfId="34836"/>
    <cellStyle name="输入 2 2 3 2 4" xfId="34837"/>
    <cellStyle name="输入 2 2 3 2 4 2" xfId="34838"/>
    <cellStyle name="输入 2 2 3 2 5" xfId="34839"/>
    <cellStyle name="输入 2 2 3 3" xfId="34840"/>
    <cellStyle name="输入 2 2 3 3 2" xfId="34841"/>
    <cellStyle name="输入 2 2 3 3 2 2" xfId="34842"/>
    <cellStyle name="输入 2 2 3 3 3" xfId="34843"/>
    <cellStyle name="输入 2 2 3 3 3 2" xfId="34844"/>
    <cellStyle name="输入 2 2 3 3 4" xfId="34845"/>
    <cellStyle name="输入 2 2 3 3 4 2" xfId="34846"/>
    <cellStyle name="输入 2 2 3 3 5" xfId="34847"/>
    <cellStyle name="输入 2 2 3 4" xfId="34848"/>
    <cellStyle name="输入 2 2 3 4 2" xfId="34849"/>
    <cellStyle name="输入 2 2 3 4 2 2" xfId="34850"/>
    <cellStyle name="输入 2 2 3 4 3" xfId="34851"/>
    <cellStyle name="输入 2 2 3 4 3 2" xfId="34852"/>
    <cellStyle name="输入 2 2 3 4 4" xfId="34853"/>
    <cellStyle name="输入 2 2 3 5" xfId="34854"/>
    <cellStyle name="输入 2 2 3 5 2" xfId="34855"/>
    <cellStyle name="输入 2 2 3 6" xfId="10559"/>
    <cellStyle name="输入 2 2 4" xfId="34856"/>
    <cellStyle name="输入 2 2 4 2" xfId="34857"/>
    <cellStyle name="输入 2 2 4 2 2" xfId="34858"/>
    <cellStyle name="输入 2 2 4 2 2 2" xfId="34859"/>
    <cellStyle name="输入 2 2 4 2 3" xfId="34860"/>
    <cellStyle name="输入 2 2 4 2 3 2" xfId="34861"/>
    <cellStyle name="输入 2 2 4 2 4" xfId="34862"/>
    <cellStyle name="输入 2 2 4 2 4 2" xfId="34863"/>
    <cellStyle name="输入 2 2 4 2 5" xfId="26176"/>
    <cellStyle name="输入 2 2 4 3" xfId="34864"/>
    <cellStyle name="输入 2 2 4 3 2" xfId="34865"/>
    <cellStyle name="输入 2 2 4 3 2 2" xfId="34866"/>
    <cellStyle name="输入 2 2 4 3 3" xfId="34867"/>
    <cellStyle name="输入 2 2 4 3 3 2" xfId="34868"/>
    <cellStyle name="输入 2 2 4 3 4" xfId="34869"/>
    <cellStyle name="输入 2 2 4 4" xfId="34870"/>
    <cellStyle name="输入 2 2 4 4 2" xfId="34871"/>
    <cellStyle name="输入 2 2 4 5" xfId="34872"/>
    <cellStyle name="输入 2 2 5" xfId="34873"/>
    <cellStyle name="输入 2 2 5 2" xfId="34874"/>
    <cellStyle name="输入 2 2 5 2 2" xfId="34875"/>
    <cellStyle name="输入 2 2 5 2 2 2" xfId="34876"/>
    <cellStyle name="输入 2 2 5 2 3" xfId="34877"/>
    <cellStyle name="输入 2 2 5 2 3 2" xfId="34878"/>
    <cellStyle name="输入 2 2 5 2 4" xfId="34879"/>
    <cellStyle name="输入 2 2 5 2 4 2" xfId="34880"/>
    <cellStyle name="输入 2 2 5 2 5" xfId="34881"/>
    <cellStyle name="输入 2 2 5 3" xfId="34882"/>
    <cellStyle name="输入 2 2 5 3 2" xfId="34883"/>
    <cellStyle name="输入 2 2 5 3 2 2" xfId="34884"/>
    <cellStyle name="输入 2 2 5 3 3" xfId="34885"/>
    <cellStyle name="输入 2 2 5 3 3 2" xfId="34886"/>
    <cellStyle name="输入 2 2 5 3 4" xfId="34887"/>
    <cellStyle name="输入 2 2 5 4" xfId="34888"/>
    <cellStyle name="输入 2 2 5 4 2" xfId="34889"/>
    <cellStyle name="输入 2 2 5 5" xfId="34890"/>
    <cellStyle name="输入 2 2 6" xfId="34891"/>
    <cellStyle name="输入 2 2 6 2" xfId="34892"/>
    <cellStyle name="输入 2 2 6 2 2" xfId="34893"/>
    <cellStyle name="输入 2 2 6 3" xfId="34894"/>
    <cellStyle name="输入 2 2 6 3 2" xfId="34895"/>
    <cellStyle name="输入 2 2 6 4" xfId="34896"/>
    <cellStyle name="输入 2 2 6 4 2" xfId="34897"/>
    <cellStyle name="输入 2 2 6 5" xfId="34898"/>
    <cellStyle name="输入 2 2 7" xfId="34899"/>
    <cellStyle name="输入 2 2 7 2" xfId="34900"/>
    <cellStyle name="输入 2 2 7 2 2" xfId="34901"/>
    <cellStyle name="输入 2 2 7 3" xfId="34902"/>
    <cellStyle name="输入 2 2 7 3 2" xfId="34903"/>
    <cellStyle name="输入 2 2 7 4" xfId="16265"/>
    <cellStyle name="输入 2 2 7 4 2" xfId="34904"/>
    <cellStyle name="输入 2 2 7 5" xfId="21527"/>
    <cellStyle name="输入 2 2 8" xfId="34905"/>
    <cellStyle name="输入 2 2 8 2" xfId="34906"/>
    <cellStyle name="输入 2 2 8 2 2" xfId="34907"/>
    <cellStyle name="输入 2 2 8 3" xfId="34908"/>
    <cellStyle name="输入 2 2 8 3 2" xfId="34909"/>
    <cellStyle name="输入 2 2 8 4" xfId="16267"/>
    <cellStyle name="输入 2 2 8 4 2" xfId="34910"/>
    <cellStyle name="输入 2 2 8 5" xfId="34911"/>
    <cellStyle name="输入 2 2 9" xfId="34912"/>
    <cellStyle name="输入 2 3" xfId="34914"/>
    <cellStyle name="输入 2 3 2" xfId="34915"/>
    <cellStyle name="输入 2 3 2 2" xfId="34916"/>
    <cellStyle name="输入 2 3 2 2 2" xfId="34917"/>
    <cellStyle name="输入 2 3 2 2 2 2" xfId="34918"/>
    <cellStyle name="输入 2 3 2 2 2 2 2" xfId="34919"/>
    <cellStyle name="输入 2 3 2 2 2 3" xfId="34920"/>
    <cellStyle name="输入 2 3 2 2 2 3 2" xfId="34921"/>
    <cellStyle name="输入 2 3 2 2 2 4" xfId="34922"/>
    <cellStyle name="输入 2 3 2 2 2 4 2" xfId="34923"/>
    <cellStyle name="输入 2 3 2 2 2 5" xfId="34924"/>
    <cellStyle name="输入 2 3 2 2 3" xfId="34925"/>
    <cellStyle name="输入 2 3 2 2 3 2" xfId="34926"/>
    <cellStyle name="输入 2 3 2 2 3 2 2" xfId="34927"/>
    <cellStyle name="输入 2 3 2 2 3 3" xfId="34928"/>
    <cellStyle name="输入 2 3 2 2 3 3 2" xfId="34929"/>
    <cellStyle name="输入 2 3 2 2 3 4" xfId="34930"/>
    <cellStyle name="输入 2 3 2 2 4" xfId="34931"/>
    <cellStyle name="输入 2 3 2 2 4 2" xfId="9270"/>
    <cellStyle name="输入 2 3 2 2 5" xfId="34932"/>
    <cellStyle name="输入 2 3 2 3" xfId="34933"/>
    <cellStyle name="输入 2 3 2 3 2" xfId="34934"/>
    <cellStyle name="输入 2 3 2 3 2 2" xfId="34935"/>
    <cellStyle name="输入 2 3 2 3 3" xfId="34936"/>
    <cellStyle name="输入 2 3 2 3 3 2" xfId="34937"/>
    <cellStyle name="输入 2 3 2 3 4" xfId="34938"/>
    <cellStyle name="输入 2 3 2 3 4 2" xfId="34939"/>
    <cellStyle name="输入 2 3 2 3 5" xfId="34940"/>
    <cellStyle name="输入 2 3 2 4" xfId="34941"/>
    <cellStyle name="输入 2 3 2 4 2" xfId="34942"/>
    <cellStyle name="输入 2 3 2 4 2 2" xfId="34943"/>
    <cellStyle name="输入 2 3 2 4 3" xfId="34944"/>
    <cellStyle name="输入 2 3 2 4 3 2" xfId="34945"/>
    <cellStyle name="输入 2 3 2 4 4" xfId="34946"/>
    <cellStyle name="输入 2 3 2 5" xfId="34947"/>
    <cellStyle name="输入 2 3 2 5 2" xfId="34948"/>
    <cellStyle name="输入 2 3 2 6" xfId="33123"/>
    <cellStyle name="输入 2 3 2 7" xfId="34949"/>
    <cellStyle name="输入 2 3 3" xfId="34950"/>
    <cellStyle name="输入 2 3 3 2" xfId="34951"/>
    <cellStyle name="输入 2 3 3 2 2" xfId="34952"/>
    <cellStyle name="输入 2 3 3 2 2 2" xfId="34953"/>
    <cellStyle name="输入 2 3 3 2 2 2 2" xfId="34954"/>
    <cellStyle name="输入 2 3 3 2 2 3" xfId="34955"/>
    <cellStyle name="输入 2 3 3 2 2 3 2" xfId="34956"/>
    <cellStyle name="输入 2 3 3 2 2 4" xfId="34957"/>
    <cellStyle name="输入 2 3 3 2 2 4 2" xfId="34958"/>
    <cellStyle name="输入 2 3 3 2 2 5" xfId="34959"/>
    <cellStyle name="输入 2 3 3 2 3" xfId="34960"/>
    <cellStyle name="输入 2 3 3 2 3 2" xfId="34961"/>
    <cellStyle name="输入 2 3 3 2 3 2 2" xfId="34962"/>
    <cellStyle name="输入 2 3 3 2 3 3" xfId="34963"/>
    <cellStyle name="输入 2 3 3 2 3 3 2" xfId="34964"/>
    <cellStyle name="输入 2 3 3 2 3 4" xfId="34965"/>
    <cellStyle name="输入 2 3 3 2 4" xfId="34966"/>
    <cellStyle name="输入 2 3 3 2 4 2" xfId="34967"/>
    <cellStyle name="输入 2 3 3 2 5" xfId="34968"/>
    <cellStyle name="输入 2 3 3 3" xfId="34969"/>
    <cellStyle name="输入 2 3 3 3 2" xfId="34970"/>
    <cellStyle name="输入 2 3 3 3 2 2" xfId="34971"/>
    <cellStyle name="输入 2 3 3 3 3" xfId="34972"/>
    <cellStyle name="输入 2 3 3 3 3 2" xfId="34973"/>
    <cellStyle name="输入 2 3 3 3 4" xfId="34974"/>
    <cellStyle name="输入 2 3 3 3 4 2" xfId="34975"/>
    <cellStyle name="输入 2 3 3 3 5" xfId="34976"/>
    <cellStyle name="输入 2 3 3 4" xfId="34977"/>
    <cellStyle name="输入 2 3 3 4 2" xfId="34978"/>
    <cellStyle name="输入 2 3 3 4 2 2" xfId="34979"/>
    <cellStyle name="输入 2 3 3 4 3" xfId="34980"/>
    <cellStyle name="输入 2 3 3 4 3 2" xfId="34981"/>
    <cellStyle name="输入 2 3 3 4 4" xfId="34982"/>
    <cellStyle name="输入 2 3 3 5" xfId="1761"/>
    <cellStyle name="输入 2 3 3 5 2" xfId="34983"/>
    <cellStyle name="输入 2 3 3 6" xfId="34984"/>
    <cellStyle name="输入 2 3 4" xfId="34985"/>
    <cellStyle name="输入 2 3 4 2" xfId="34986"/>
    <cellStyle name="输入 2 3 4 2 2" xfId="34987"/>
    <cellStyle name="输入 2 3 4 2 2 2" xfId="34988"/>
    <cellStyle name="输入 2 3 4 2 3" xfId="34989"/>
    <cellStyle name="输入 2 3 4 2 3 2" xfId="34990"/>
    <cellStyle name="输入 2 3 4 2 4" xfId="34991"/>
    <cellStyle name="输入 2 3 4 2 4 2" xfId="34992"/>
    <cellStyle name="输入 2 3 4 2 5" xfId="34993"/>
    <cellStyle name="输入 2 3 4 3" xfId="34994"/>
    <cellStyle name="输入 2 3 4 3 2" xfId="34995"/>
    <cellStyle name="输入 2 3 4 3 2 2" xfId="34996"/>
    <cellStyle name="输入 2 3 4 3 3" xfId="34997"/>
    <cellStyle name="输入 2 3 4 3 3 2" xfId="34998"/>
    <cellStyle name="输入 2 3 4 3 4" xfId="34999"/>
    <cellStyle name="输入 2 3 4 4" xfId="35000"/>
    <cellStyle name="输入 2 3 4 4 2" xfId="35001"/>
    <cellStyle name="输入 2 3 4 5" xfId="1843"/>
    <cellStyle name="输入 2 3 5" xfId="35002"/>
    <cellStyle name="输入 2 3 5 2" xfId="35003"/>
    <cellStyle name="输入 2 3 5 2 2" xfId="35004"/>
    <cellStyle name="输入 2 3 5 2 2 2" xfId="35005"/>
    <cellStyle name="输入 2 3 5 2 3" xfId="35006"/>
    <cellStyle name="输入 2 3 5 2 3 2" xfId="35007"/>
    <cellStyle name="输入 2 3 5 2 4" xfId="35008"/>
    <cellStyle name="输入 2 3 5 2 4 2" xfId="35009"/>
    <cellStyle name="输入 2 3 5 2 5" xfId="35010"/>
    <cellStyle name="输入 2 3 5 3" xfId="35011"/>
    <cellStyle name="输入 2 3 5 3 2" xfId="35012"/>
    <cellStyle name="输入 2 3 5 3 2 2" xfId="35013"/>
    <cellStyle name="输入 2 3 5 3 3" xfId="35014"/>
    <cellStyle name="输入 2 3 5 3 3 2" xfId="35015"/>
    <cellStyle name="输入 2 3 5 3 4" xfId="35016"/>
    <cellStyle name="输入 2 3 5 4" xfId="35017"/>
    <cellStyle name="输入 2 3 5 4 2" xfId="35018"/>
    <cellStyle name="输入 2 3 5 5" xfId="1869"/>
    <cellStyle name="输入 2 3 6" xfId="35019"/>
    <cellStyle name="输入 2 3 6 2" xfId="35020"/>
    <cellStyle name="输入 2 3 6 2 2" xfId="35021"/>
    <cellStyle name="输入 2 3 6 3" xfId="20064"/>
    <cellStyle name="输入 2 3 6 3 2" xfId="35022"/>
    <cellStyle name="输入 2 3 6 4" xfId="35023"/>
    <cellStyle name="输入 2 3 6 4 2" xfId="35024"/>
    <cellStyle name="输入 2 3 6 5" xfId="35025"/>
    <cellStyle name="输入 2 3 7" xfId="35026"/>
    <cellStyle name="输入 2 3 7 2" xfId="35027"/>
    <cellStyle name="输入 2 3 7 2 2" xfId="35028"/>
    <cellStyle name="输入 2 3 7 3" xfId="35029"/>
    <cellStyle name="输入 2 3 7 3 2" xfId="35030"/>
    <cellStyle name="输入 2 3 7 4" xfId="16278"/>
    <cellStyle name="输入 2 3 7 4 2" xfId="35031"/>
    <cellStyle name="输入 2 3 7 5" xfId="35032"/>
    <cellStyle name="输入 2 3 8" xfId="35033"/>
    <cellStyle name="输入 2 3 8 2" xfId="35034"/>
    <cellStyle name="输入 2 3 8 2 2" xfId="35035"/>
    <cellStyle name="输入 2 3 8 3" xfId="35036"/>
    <cellStyle name="输入 2 3 8 3 2" xfId="35037"/>
    <cellStyle name="输入 2 3 8 4" xfId="16281"/>
    <cellStyle name="输入 2 3 8 4 2" xfId="35038"/>
    <cellStyle name="输入 2 3 8 5" xfId="35039"/>
    <cellStyle name="输入 2 3 9" xfId="35040"/>
    <cellStyle name="输入 2 4" xfId="35041"/>
    <cellStyle name="输入 2 4 2" xfId="35042"/>
    <cellStyle name="输入 2 4 2 2" xfId="35043"/>
    <cellStyle name="输入 2 4 2 2 2" xfId="35044"/>
    <cellStyle name="输入 2 4 2 2 2 2" xfId="35045"/>
    <cellStyle name="输入 2 4 2 2 2 2 2" xfId="35046"/>
    <cellStyle name="输入 2 4 2 2 2 3" xfId="35047"/>
    <cellStyle name="输入 2 4 2 2 2 3 2" xfId="35048"/>
    <cellStyle name="输入 2 4 2 2 2 4" xfId="35049"/>
    <cellStyle name="输入 2 4 2 2 2 4 2" xfId="1537"/>
    <cellStyle name="输入 2 4 2 2 2 5" xfId="35050"/>
    <cellStyle name="输入 2 4 2 2 3" xfId="35051"/>
    <cellStyle name="输入 2 4 2 2 3 2" xfId="35052"/>
    <cellStyle name="输入 2 4 2 2 3 2 2" xfId="35053"/>
    <cellStyle name="输入 2 4 2 2 3 3" xfId="35054"/>
    <cellStyle name="输入 2 4 2 2 3 3 2" xfId="35055"/>
    <cellStyle name="输入 2 4 2 2 3 4" xfId="35056"/>
    <cellStyle name="输入 2 4 2 2 4" xfId="35057"/>
    <cellStyle name="输入 2 4 2 2 4 2" xfId="35058"/>
    <cellStyle name="输入 2 4 2 2 5" xfId="35059"/>
    <cellStyle name="输入 2 4 2 3" xfId="35060"/>
    <cellStyle name="输入 2 4 2 3 2" xfId="35061"/>
    <cellStyle name="输入 2 4 2 3 2 2" xfId="35062"/>
    <cellStyle name="输入 2 4 2 3 3" xfId="35063"/>
    <cellStyle name="输入 2 4 2 3 3 2" xfId="35064"/>
    <cellStyle name="输入 2 4 2 3 4" xfId="35065"/>
    <cellStyle name="输入 2 4 2 3 4 2" xfId="35066"/>
    <cellStyle name="输入 2 4 2 3 5" xfId="35067"/>
    <cellStyle name="输入 2 4 2 4" xfId="35068"/>
    <cellStyle name="输入 2 4 2 4 2" xfId="35069"/>
    <cellStyle name="输入 2 4 2 4 2 2" xfId="35070"/>
    <cellStyle name="输入 2 4 2 4 3" xfId="35071"/>
    <cellStyle name="输入 2 4 2 4 3 2" xfId="35072"/>
    <cellStyle name="输入 2 4 2 4 4" xfId="35073"/>
    <cellStyle name="输入 2 4 2 5" xfId="35074"/>
    <cellStyle name="输入 2 4 2 5 2" xfId="35075"/>
    <cellStyle name="输入 2 4 2 6" xfId="35076"/>
    <cellStyle name="输入 2 4 3" xfId="35077"/>
    <cellStyle name="输入 2 4 3 2" xfId="35078"/>
    <cellStyle name="输入 2 4 3 2 2" xfId="35079"/>
    <cellStyle name="输入 2 4 3 2 2 2" xfId="35080"/>
    <cellStyle name="输入 2 4 3 2 2 2 2" xfId="35081"/>
    <cellStyle name="输入 2 4 3 2 2 3" xfId="35082"/>
    <cellStyle name="输入 2 4 3 2 2 3 2" xfId="35083"/>
    <cellStyle name="输入 2 4 3 2 2 4" xfId="35084"/>
    <cellStyle name="输入 2 4 3 2 2 4 2" xfId="35085"/>
    <cellStyle name="输入 2 4 3 2 2 5" xfId="35086"/>
    <cellStyle name="输入 2 4 3 2 3" xfId="35087"/>
    <cellStyle name="输入 2 4 3 2 3 2" xfId="35088"/>
    <cellStyle name="输入 2 4 3 2 3 2 2" xfId="35089"/>
    <cellStyle name="输入 2 4 3 2 3 3" xfId="35090"/>
    <cellStyle name="输入 2 4 3 2 3 3 2" xfId="35091"/>
    <cellStyle name="输入 2 4 3 2 3 4" xfId="35092"/>
    <cellStyle name="输入 2 4 3 2 4" xfId="35093"/>
    <cellStyle name="输入 2 4 3 2 4 2" xfId="35094"/>
    <cellStyle name="输入 2 4 3 2 5" xfId="35095"/>
    <cellStyle name="输入 2 4 3 3" xfId="35096"/>
    <cellStyle name="输入 2 4 3 3 2" xfId="35097"/>
    <cellStyle name="输入 2 4 3 3 2 2" xfId="35098"/>
    <cellStyle name="输入 2 4 3 3 3" xfId="35099"/>
    <cellStyle name="输入 2 4 3 3 3 2" xfId="35100"/>
    <cellStyle name="输入 2 4 3 3 4" xfId="35101"/>
    <cellStyle name="输入 2 4 3 3 4 2" xfId="35102"/>
    <cellStyle name="输入 2 4 3 3 5" xfId="35103"/>
    <cellStyle name="输入 2 4 3 4" xfId="35104"/>
    <cellStyle name="输入 2 4 3 4 2" xfId="35105"/>
    <cellStyle name="输入 2 4 3 4 2 2" xfId="35106"/>
    <cellStyle name="输入 2 4 3 4 3" xfId="35107"/>
    <cellStyle name="输入 2 4 3 4 3 2" xfId="35108"/>
    <cellStyle name="输入 2 4 3 4 4" xfId="35109"/>
    <cellStyle name="输入 2 4 3 5" xfId="4392"/>
    <cellStyle name="输入 2 4 3 5 2" xfId="35110"/>
    <cellStyle name="输入 2 4 3 6" xfId="35111"/>
    <cellStyle name="输入 2 4 4" xfId="35112"/>
    <cellStyle name="输入 2 4 4 2" xfId="35113"/>
    <cellStyle name="输入 2 4 4 2 2" xfId="35114"/>
    <cellStyle name="输入 2 4 4 2 2 2" xfId="35115"/>
    <cellStyle name="输入 2 4 4 2 3" xfId="35116"/>
    <cellStyle name="输入 2 4 4 2 3 2" xfId="35117"/>
    <cellStyle name="输入 2 4 4 2 4" xfId="35118"/>
    <cellStyle name="输入 2 4 4 2 4 2" xfId="35119"/>
    <cellStyle name="输入 2 4 4 2 5" xfId="35120"/>
    <cellStyle name="输入 2 4 4 3" xfId="35121"/>
    <cellStyle name="输入 2 4 4 3 2" xfId="35122"/>
    <cellStyle name="输入 2 4 4 3 2 2" xfId="35123"/>
    <cellStyle name="输入 2 4 4 3 3" xfId="35124"/>
    <cellStyle name="输入 2 4 4 3 3 2" xfId="35125"/>
    <cellStyle name="输入 2 4 4 3 4" xfId="35126"/>
    <cellStyle name="输入 2 4 4 4" xfId="35127"/>
    <cellStyle name="输入 2 4 4 4 2" xfId="35128"/>
    <cellStyle name="输入 2 4 4 5" xfId="1933"/>
    <cellStyle name="输入 2 4 5" xfId="35129"/>
    <cellStyle name="输入 2 4 5 2" xfId="35130"/>
    <cellStyle name="输入 2 4 5 2 2" xfId="35131"/>
    <cellStyle name="输入 2 4 5 2 2 2" xfId="35132"/>
    <cellStyle name="输入 2 4 5 2 3" xfId="35133"/>
    <cellStyle name="输入 2 4 5 2 3 2" xfId="35134"/>
    <cellStyle name="输入 2 4 5 2 4" xfId="35135"/>
    <cellStyle name="输入 2 4 5 2 4 2" xfId="35136"/>
    <cellStyle name="输入 2 4 5 2 5" xfId="35137"/>
    <cellStyle name="输入 2 4 5 3" xfId="35138"/>
    <cellStyle name="输入 2 4 5 3 2" xfId="35139"/>
    <cellStyle name="输入 2 4 5 3 2 2" xfId="35140"/>
    <cellStyle name="输入 2 4 5 3 3" xfId="35141"/>
    <cellStyle name="输入 2 4 5 3 3 2" xfId="35142"/>
    <cellStyle name="输入 2 4 5 3 4" xfId="35143"/>
    <cellStyle name="输入 2 4 5 4" xfId="35144"/>
    <cellStyle name="输入 2 4 5 4 2" xfId="35145"/>
    <cellStyle name="输入 2 4 5 5" xfId="35146"/>
    <cellStyle name="输入 2 4 6" xfId="35147"/>
    <cellStyle name="输入 2 4 6 2" xfId="35148"/>
    <cellStyle name="输入 2 4 6 2 2" xfId="35149"/>
    <cellStyle name="输入 2 4 6 3" xfId="35150"/>
    <cellStyle name="输入 2 4 6 3 2" xfId="35151"/>
    <cellStyle name="输入 2 4 6 4" xfId="35152"/>
    <cellStyle name="输入 2 4 6 4 2" xfId="35153"/>
    <cellStyle name="输入 2 4 6 5" xfId="35154"/>
    <cellStyle name="输入 2 4 7" xfId="35155"/>
    <cellStyle name="输入 2 4 7 2" xfId="35156"/>
    <cellStyle name="输入 2 4 7 2 2" xfId="35157"/>
    <cellStyle name="输入 2 4 7 3" xfId="35158"/>
    <cellStyle name="输入 2 4 7 3 2" xfId="35159"/>
    <cellStyle name="输入 2 4 7 4" xfId="35160"/>
    <cellStyle name="输入 2 4 7 4 2" xfId="35161"/>
    <cellStyle name="输入 2 4 7 5" xfId="35162"/>
    <cellStyle name="输入 2 4 8" xfId="35163"/>
    <cellStyle name="输入 2 4 8 2" xfId="35164"/>
    <cellStyle name="输入 2 4 8 2 2" xfId="35165"/>
    <cellStyle name="输入 2 4 8 3" xfId="35166"/>
    <cellStyle name="输入 2 4 8 3 2" xfId="35167"/>
    <cellStyle name="输入 2 4 8 4" xfId="35168"/>
    <cellStyle name="输入 2 4 8 4 2" xfId="35169"/>
    <cellStyle name="输入 2 4 8 5" xfId="35170"/>
    <cellStyle name="输入 2 4 9" xfId="35171"/>
    <cellStyle name="输入 2 5" xfId="35172"/>
    <cellStyle name="输入 2 5 2" xfId="35173"/>
    <cellStyle name="输入 2 5 2 2" xfId="35174"/>
    <cellStyle name="输入 2 5 2 2 2" xfId="35175"/>
    <cellStyle name="输入 2 5 2 2 2 2" xfId="35176"/>
    <cellStyle name="输入 2 5 2 2 2 2 2" xfId="30398"/>
    <cellStyle name="输入 2 5 2 2 2 3" xfId="35177"/>
    <cellStyle name="输入 2 5 2 2 2 3 2" xfId="19667"/>
    <cellStyle name="输入 2 5 2 2 2 4" xfId="31648"/>
    <cellStyle name="输入 2 5 2 2 2 4 2" xfId="35178"/>
    <cellStyle name="输入 2 5 2 2 2 5" xfId="35179"/>
    <cellStyle name="输入 2 5 2 2 3" xfId="35180"/>
    <cellStyle name="输入 2 5 2 2 3 2" xfId="35181"/>
    <cellStyle name="输入 2 5 2 2 3 2 2" xfId="35182"/>
    <cellStyle name="输入 2 5 2 2 3 3" xfId="35183"/>
    <cellStyle name="输入 2 5 2 2 3 3 2" xfId="35184"/>
    <cellStyle name="输入 2 5 2 2 3 4" xfId="35185"/>
    <cellStyle name="输入 2 5 2 2 4" xfId="35186"/>
    <cellStyle name="输入 2 5 2 2 4 2" xfId="35187"/>
    <cellStyle name="输入 2 5 2 2 5" xfId="35188"/>
    <cellStyle name="输入 2 5 2 3" xfId="35189"/>
    <cellStyle name="输入 2 5 2 3 2" xfId="35190"/>
    <cellStyle name="输入 2 5 2 3 2 2" xfId="35191"/>
    <cellStyle name="输入 2 5 2 3 3" xfId="35192"/>
    <cellStyle name="输入 2 5 2 3 3 2" xfId="35193"/>
    <cellStyle name="输入 2 5 2 3 4" xfId="35194"/>
    <cellStyle name="输入 2 5 2 3 4 2" xfId="35195"/>
    <cellStyle name="输入 2 5 2 3 5" xfId="35196"/>
    <cellStyle name="输入 2 5 2 4" xfId="35197"/>
    <cellStyle name="输入 2 5 2 4 2" xfId="35198"/>
    <cellStyle name="输入 2 5 2 4 2 2" xfId="35199"/>
    <cellStyle name="输入 2 5 2 4 3" xfId="35200"/>
    <cellStyle name="输入 2 5 2 4 3 2" xfId="35201"/>
    <cellStyle name="输入 2 5 2 4 4" xfId="35202"/>
    <cellStyle name="输入 2 5 2 5" xfId="35203"/>
    <cellStyle name="输入 2 5 2 5 2" xfId="35204"/>
    <cellStyle name="输入 2 5 2 6" xfId="35205"/>
    <cellStyle name="输入 2 5 3" xfId="35206"/>
    <cellStyle name="输入 2 5 3 2" xfId="35207"/>
    <cellStyle name="输入 2 5 3 2 2" xfId="35208"/>
    <cellStyle name="输入 2 5 3 2 2 2" xfId="24085"/>
    <cellStyle name="输入 2 5 3 2 2 2 2" xfId="24437"/>
    <cellStyle name="输入 2 5 3 2 2 3" xfId="2324"/>
    <cellStyle name="输入 2 5 3 2 2 3 2" xfId="24439"/>
    <cellStyle name="输入 2 5 3 2 2 4" xfId="24441"/>
    <cellStyle name="输入 2 5 3 2 2 4 2" xfId="35209"/>
    <cellStyle name="输入 2 5 3 2 2 5" xfId="13616"/>
    <cellStyle name="输入 2 5 3 2 3" xfId="35210"/>
    <cellStyle name="输入 2 5 3 2 3 2" xfId="24090"/>
    <cellStyle name="输入 2 5 3 2 3 2 2" xfId="24445"/>
    <cellStyle name="输入 2 5 3 2 3 3" xfId="11386"/>
    <cellStyle name="输入 2 5 3 2 3 3 2" xfId="24447"/>
    <cellStyle name="输入 2 5 3 2 3 4" xfId="24449"/>
    <cellStyle name="输入 2 5 3 2 4" xfId="35211"/>
    <cellStyle name="输入 2 5 3 2 4 2" xfId="2516"/>
    <cellStyle name="输入 2 5 3 2 5" xfId="35212"/>
    <cellStyle name="输入 2 5 3 3" xfId="35213"/>
    <cellStyle name="输入 2 5 3 3 2" xfId="35214"/>
    <cellStyle name="输入 2 5 3 3 2 2" xfId="35215"/>
    <cellStyle name="输入 2 5 3 3 3" xfId="35216"/>
    <cellStyle name="输入 2 5 3 3 3 2" xfId="35217"/>
    <cellStyle name="输入 2 5 3 3 4" xfId="35218"/>
    <cellStyle name="输入 2 5 3 3 4 2" xfId="35219"/>
    <cellStyle name="输入 2 5 3 3 5" xfId="35220"/>
    <cellStyle name="输入 2 5 3 4" xfId="35221"/>
    <cellStyle name="输入 2 5 3 4 2" xfId="35222"/>
    <cellStyle name="输入 2 5 3 4 2 2" xfId="35223"/>
    <cellStyle name="输入 2 5 3 4 3" xfId="35224"/>
    <cellStyle name="输入 2 5 3 4 3 2" xfId="35225"/>
    <cellStyle name="输入 2 5 3 4 4" xfId="35226"/>
    <cellStyle name="输入 2 5 3 5" xfId="35227"/>
    <cellStyle name="输入 2 5 3 5 2" xfId="35228"/>
    <cellStyle name="输入 2 5 3 6" xfId="35229"/>
    <cellStyle name="输入 2 5 4" xfId="35230"/>
    <cellStyle name="输入 2 5 4 2" xfId="35231"/>
    <cellStyle name="输入 2 5 4 2 2" xfId="35232"/>
    <cellStyle name="输入 2 5 4 2 2 2" xfId="35233"/>
    <cellStyle name="输入 2 5 4 2 3" xfId="35234"/>
    <cellStyle name="输入 2 5 4 2 3 2" xfId="35235"/>
    <cellStyle name="输入 2 5 4 2 4" xfId="35236"/>
    <cellStyle name="输入 2 5 4 2 4 2" xfId="35237"/>
    <cellStyle name="输入 2 5 4 2 5" xfId="35238"/>
    <cellStyle name="输入 2 5 4 3" xfId="35239"/>
    <cellStyle name="输入 2 5 4 3 2" xfId="35240"/>
    <cellStyle name="输入 2 5 4 3 2 2" xfId="35241"/>
    <cellStyle name="输入 2 5 4 3 3" xfId="35242"/>
    <cellStyle name="输入 2 5 4 3 3 2" xfId="35243"/>
    <cellStyle name="输入 2 5 4 3 4" xfId="35244"/>
    <cellStyle name="输入 2 5 4 4" xfId="35245"/>
    <cellStyle name="输入 2 5 4 4 2" xfId="35246"/>
    <cellStyle name="输入 2 5 4 5" xfId="35247"/>
    <cellStyle name="输入 2 5 5" xfId="35248"/>
    <cellStyle name="输入 2 5 5 2" xfId="35249"/>
    <cellStyle name="输入 2 5 5 2 2" xfId="35250"/>
    <cellStyle name="输入 2 5 5 2 2 2" xfId="35251"/>
    <cellStyle name="输入 2 5 5 2 3" xfId="35252"/>
    <cellStyle name="输入 2 5 5 2 3 2" xfId="35253"/>
    <cellStyle name="输入 2 5 5 2 4" xfId="35254"/>
    <cellStyle name="输入 2 5 5 2 4 2" xfId="35255"/>
    <cellStyle name="输入 2 5 5 2 5" xfId="35256"/>
    <cellStyle name="输入 2 5 5 3" xfId="35257"/>
    <cellStyle name="输入 2 5 5 3 2" xfId="35258"/>
    <cellStyle name="输入 2 5 5 3 2 2" xfId="35259"/>
    <cellStyle name="输入 2 5 5 3 3" xfId="35260"/>
    <cellStyle name="输入 2 5 5 3 3 2" xfId="35261"/>
    <cellStyle name="输入 2 5 5 3 4" xfId="35262"/>
    <cellStyle name="输入 2 5 5 4" xfId="35263"/>
    <cellStyle name="输入 2 5 5 4 2" xfId="35264"/>
    <cellStyle name="输入 2 5 5 5" xfId="35265"/>
    <cellStyle name="输入 2 5 6" xfId="35266"/>
    <cellStyle name="输入 2 5 6 2" xfId="35267"/>
    <cellStyle name="输入 2 5 6 2 2" xfId="35268"/>
    <cellStyle name="输入 2 5 6 3" xfId="35269"/>
    <cellStyle name="输入 2 5 6 3 2" xfId="35270"/>
    <cellStyle name="输入 2 5 6 4" xfId="35271"/>
    <cellStyle name="输入 2 5 6 4 2" xfId="35272"/>
    <cellStyle name="输入 2 5 6 5" xfId="35273"/>
    <cellStyle name="输入 2 5 7" xfId="35274"/>
    <cellStyle name="输入 2 5 7 2" xfId="35275"/>
    <cellStyle name="输入 2 5 7 2 2" xfId="35276"/>
    <cellStyle name="输入 2 5 7 3" xfId="35277"/>
    <cellStyle name="输入 2 5 7 3 2" xfId="35278"/>
    <cellStyle name="输入 2 5 7 4" xfId="35279"/>
    <cellStyle name="输入 2 5 7 4 2" xfId="35280"/>
    <cellStyle name="输入 2 5 7 5" xfId="35281"/>
    <cellStyle name="输入 2 5 8" xfId="35282"/>
    <cellStyle name="输入 2 5 8 2" xfId="35283"/>
    <cellStyle name="输入 2 5 8 2 2" xfId="35284"/>
    <cellStyle name="输入 2 5 8 3" xfId="35285"/>
    <cellStyle name="输入 2 5 8 3 2" xfId="35286"/>
    <cellStyle name="输入 2 5 8 4" xfId="35287"/>
    <cellStyle name="输入 2 5 8 4 2" xfId="35288"/>
    <cellStyle name="输入 2 5 8 5" xfId="35289"/>
    <cellStyle name="输入 2 5 9" xfId="35290"/>
    <cellStyle name="输入 2 6" xfId="35291"/>
    <cellStyle name="输入 2 6 2" xfId="35292"/>
    <cellStyle name="输入 2 6 2 2" xfId="35293"/>
    <cellStyle name="输入 2 6 2 2 2" xfId="35294"/>
    <cellStyle name="输入 2 6 2 2 2 2" xfId="35296"/>
    <cellStyle name="输入 2 6 2 2 2 2 2" xfId="35298"/>
    <cellStyle name="输入 2 6 2 2 2 3" xfId="35300"/>
    <cellStyle name="输入 2 6 2 2 2 3 2" xfId="35302"/>
    <cellStyle name="输入 2 6 2 2 2 4" xfId="31705"/>
    <cellStyle name="输入 2 6 2 2 2 4 2" xfId="35303"/>
    <cellStyle name="输入 2 6 2 2 2 5" xfId="35304"/>
    <cellStyle name="输入 2 6 2 2 3" xfId="35305"/>
    <cellStyle name="输入 2 6 2 2 3 2" xfId="35307"/>
    <cellStyle name="输入 2 6 2 2 3 2 2" xfId="35309"/>
    <cellStyle name="输入 2 6 2 2 3 3" xfId="35311"/>
    <cellStyle name="输入 2 6 2 2 3 3 2" xfId="35312"/>
    <cellStyle name="输入 2 6 2 2 3 4" xfId="35313"/>
    <cellStyle name="输入 2 6 2 2 4" xfId="35314"/>
    <cellStyle name="输入 2 6 2 2 4 2" xfId="35315"/>
    <cellStyle name="输入 2 6 2 2 5" xfId="35316"/>
    <cellStyle name="输入 2 6 2 3" xfId="35317"/>
    <cellStyle name="输入 2 6 2 3 2" xfId="35318"/>
    <cellStyle name="输入 2 6 2 3 2 2" xfId="35320"/>
    <cellStyle name="输入 2 6 2 3 3" xfId="35321"/>
    <cellStyle name="输入 2 6 2 3 3 2" xfId="35322"/>
    <cellStyle name="输入 2 6 2 3 4" xfId="35323"/>
    <cellStyle name="输入 2 6 2 3 4 2" xfId="35324"/>
    <cellStyle name="输入 2 6 2 3 5" xfId="35325"/>
    <cellStyle name="输入 2 6 2 4" xfId="35326"/>
    <cellStyle name="输入 2 6 2 4 2" xfId="35327"/>
    <cellStyle name="输入 2 6 2 4 2 2" xfId="35329"/>
    <cellStyle name="输入 2 6 2 4 3" xfId="35330"/>
    <cellStyle name="输入 2 6 2 4 3 2" xfId="35331"/>
    <cellStyle name="输入 2 6 2 4 4" xfId="35332"/>
    <cellStyle name="输入 2 6 2 5" xfId="35333"/>
    <cellStyle name="输入 2 6 2 5 2" xfId="29775"/>
    <cellStyle name="输入 2 6 2 6" xfId="35334"/>
    <cellStyle name="输入 2 6 3" xfId="35335"/>
    <cellStyle name="输入 2 6 3 2" xfId="35336"/>
    <cellStyle name="输入 2 6 3 2 2" xfId="35337"/>
    <cellStyle name="输入 2 6 3 2 2 2" xfId="35339"/>
    <cellStyle name="输入 2 6 3 2 2 2 2" xfId="35341"/>
    <cellStyle name="输入 2 6 3 2 2 3" xfId="35343"/>
    <cellStyle name="输入 2 6 3 2 2 3 2" xfId="35345"/>
    <cellStyle name="输入 2 6 3 2 2 4" xfId="35347"/>
    <cellStyle name="输入 2 6 3 2 2 4 2" xfId="35348"/>
    <cellStyle name="输入 2 6 3 2 2 5" xfId="35349"/>
    <cellStyle name="输入 2 6 3 2 3" xfId="35350"/>
    <cellStyle name="输入 2 6 3 2 3 2" xfId="35352"/>
    <cellStyle name="输入 2 6 3 2 3 2 2" xfId="35354"/>
    <cellStyle name="输入 2 6 3 2 3 3" xfId="35356"/>
    <cellStyle name="输入 2 6 3 2 3 3 2" xfId="35357"/>
    <cellStyle name="输入 2 6 3 2 3 4" xfId="35358"/>
    <cellStyle name="输入 2 6 3 2 4" xfId="35359"/>
    <cellStyle name="输入 2 6 3 2 4 2" xfId="35360"/>
    <cellStyle name="输入 2 6 3 2 5" xfId="35361"/>
    <cellStyle name="输入 2 6 3 3" xfId="26299"/>
    <cellStyle name="输入 2 6 3 3 2" xfId="35362"/>
    <cellStyle name="输入 2 6 3 3 2 2" xfId="35364"/>
    <cellStyle name="输入 2 6 3 3 3" xfId="35365"/>
    <cellStyle name="输入 2 6 3 3 3 2" xfId="35366"/>
    <cellStyle name="输入 2 6 3 3 4" xfId="35367"/>
    <cellStyle name="输入 2 6 3 3 4 2" xfId="35368"/>
    <cellStyle name="输入 2 6 3 3 5" xfId="35369"/>
    <cellStyle name="输入 2 6 3 4" xfId="10658"/>
    <cellStyle name="输入 2 6 3 4 2" xfId="35370"/>
    <cellStyle name="输入 2 6 3 4 2 2" xfId="35372"/>
    <cellStyle name="输入 2 6 3 4 3" xfId="35373"/>
    <cellStyle name="输入 2 6 3 4 3 2" xfId="35374"/>
    <cellStyle name="输入 2 6 3 4 4" xfId="35375"/>
    <cellStyle name="输入 2 6 3 5" xfId="26301"/>
    <cellStyle name="输入 2 6 3 5 2" xfId="35376"/>
    <cellStyle name="输入 2 6 3 6" xfId="26303"/>
    <cellStyle name="输入 2 6 4" xfId="35377"/>
    <cellStyle name="输入 2 6 4 2" xfId="35378"/>
    <cellStyle name="输入 2 6 4 2 2" xfId="35379"/>
    <cellStyle name="输入 2 6 4 2 2 2" xfId="35381"/>
    <cellStyle name="输入 2 6 4 2 3" xfId="35382"/>
    <cellStyle name="输入 2 6 4 2 3 2" xfId="35384"/>
    <cellStyle name="输入 2 6 4 2 4" xfId="35385"/>
    <cellStyle name="输入 2 6 4 2 4 2" xfId="35386"/>
    <cellStyle name="输入 2 6 4 2 5" xfId="35387"/>
    <cellStyle name="输入 2 6 4 3" xfId="35388"/>
    <cellStyle name="输入 2 6 4 3 2" xfId="35389"/>
    <cellStyle name="输入 2 6 4 3 2 2" xfId="35391"/>
    <cellStyle name="输入 2 6 4 3 3" xfId="35392"/>
    <cellStyle name="输入 2 6 4 3 3 2" xfId="35393"/>
    <cellStyle name="输入 2 6 4 3 4" xfId="35394"/>
    <cellStyle name="输入 2 6 4 4" xfId="35395"/>
    <cellStyle name="输入 2 6 4 4 2" xfId="35396"/>
    <cellStyle name="输入 2 6 4 5" xfId="35397"/>
    <cellStyle name="输入 2 6 5" xfId="35398"/>
    <cellStyle name="输入 2 6 5 2" xfId="35399"/>
    <cellStyle name="输入 2 6 5 2 2" xfId="35400"/>
    <cellStyle name="输入 2 6 5 2 2 2" xfId="35402"/>
    <cellStyle name="输入 2 6 5 2 3" xfId="35403"/>
    <cellStyle name="输入 2 6 5 2 3 2" xfId="35404"/>
    <cellStyle name="输入 2 6 5 2 4" xfId="35405"/>
    <cellStyle name="输入 2 6 5 2 4 2" xfId="35406"/>
    <cellStyle name="输入 2 6 5 2 5" xfId="35407"/>
    <cellStyle name="输入 2 6 5 3" xfId="35408"/>
    <cellStyle name="输入 2 6 5 3 2" xfId="35409"/>
    <cellStyle name="输入 2 6 5 3 2 2" xfId="35411"/>
    <cellStyle name="输入 2 6 5 3 3" xfId="35412"/>
    <cellStyle name="输入 2 6 5 3 3 2" xfId="35413"/>
    <cellStyle name="输入 2 6 5 3 4" xfId="35414"/>
    <cellStyle name="输入 2 6 5 4" xfId="35415"/>
    <cellStyle name="输入 2 6 5 4 2" xfId="35416"/>
    <cellStyle name="输入 2 6 5 5" xfId="35417"/>
    <cellStyle name="输入 2 6 6" xfId="35418"/>
    <cellStyle name="输入 2 6 6 2" xfId="35419"/>
    <cellStyle name="输入 2 6 6 2 2" xfId="35420"/>
    <cellStyle name="输入 2 6 6 3" xfId="35421"/>
    <cellStyle name="输入 2 6 6 3 2" xfId="2648"/>
    <cellStyle name="输入 2 6 6 4" xfId="35422"/>
    <cellStyle name="输入 2 6 6 4 2" xfId="23173"/>
    <cellStyle name="输入 2 6 6 5" xfId="35423"/>
    <cellStyle name="输入 2 6 7" xfId="35424"/>
    <cellStyle name="输入 2 6 7 2" xfId="35425"/>
    <cellStyle name="输入 2 6 7 2 2" xfId="35426"/>
    <cellStyle name="输入 2 6 7 3" xfId="35427"/>
    <cellStyle name="输入 2 6 7 3 2" xfId="35428"/>
    <cellStyle name="输入 2 6 7 4" xfId="35429"/>
    <cellStyle name="输入 2 6 7 4 2" xfId="35430"/>
    <cellStyle name="输入 2 6 7 5" xfId="35431"/>
    <cellStyle name="输入 2 6 8" xfId="35432"/>
    <cellStyle name="输入 2 6 8 2" xfId="35433"/>
    <cellStyle name="输入 2 6 8 2 2" xfId="35434"/>
    <cellStyle name="输入 2 6 8 3" xfId="26320"/>
    <cellStyle name="输入 2 6 8 3 2" xfId="35435"/>
    <cellStyle name="输入 2 6 8 4" xfId="26322"/>
    <cellStyle name="输入 2 6 8 4 2" xfId="35436"/>
    <cellStyle name="输入 2 6 8 5" xfId="26324"/>
    <cellStyle name="输入 2 6 9" xfId="35437"/>
    <cellStyle name="输入 2 7" xfId="35438"/>
    <cellStyle name="输入 2 7 2" xfId="35439"/>
    <cellStyle name="输入 2 7 2 2" xfId="35440"/>
    <cellStyle name="输入 2 7 2 2 2" xfId="35441"/>
    <cellStyle name="输入 2 7 2 2 2 2" xfId="35442"/>
    <cellStyle name="输入 2 7 2 2 2 2 2" xfId="35443"/>
    <cellStyle name="输入 2 7 2 2 2 3" xfId="35444"/>
    <cellStyle name="输入 2 7 2 2 2 3 2" xfId="35445"/>
    <cellStyle name="输入 2 7 2 2 2 4" xfId="15405"/>
    <cellStyle name="输入 2 7 2 2 2 4 2" xfId="35446"/>
    <cellStyle name="输入 2 7 2 2 2 5" xfId="35447"/>
    <cellStyle name="输入 2 7 2 2 3" xfId="35448"/>
    <cellStyle name="输入 2 7 2 2 3 2" xfId="35449"/>
    <cellStyle name="输入 2 7 2 2 3 2 2" xfId="35450"/>
    <cellStyle name="输入 2 7 2 2 3 3" xfId="35451"/>
    <cellStyle name="输入 2 7 2 2 3 3 2" xfId="35452"/>
    <cellStyle name="输入 2 7 2 2 3 4" xfId="35453"/>
    <cellStyle name="输入 2 7 2 2 4" xfId="35454"/>
    <cellStyle name="输入 2 7 2 2 4 2" xfId="35455"/>
    <cellStyle name="输入 2 7 2 2 5" xfId="35456"/>
    <cellStyle name="输入 2 7 2 3" xfId="35457"/>
    <cellStyle name="输入 2 7 2 3 2" xfId="35458"/>
    <cellStyle name="输入 2 7 2 3 2 2" xfId="35459"/>
    <cellStyle name="输入 2 7 2 3 3" xfId="35460"/>
    <cellStyle name="输入 2 7 2 3 3 2" xfId="35461"/>
    <cellStyle name="输入 2 7 2 3 4" xfId="35462"/>
    <cellStyle name="输入 2 7 2 3 4 2" xfId="35463"/>
    <cellStyle name="输入 2 7 2 3 5" xfId="35464"/>
    <cellStyle name="输入 2 7 2 4" xfId="35465"/>
    <cellStyle name="输入 2 7 2 4 2" xfId="35466"/>
    <cellStyle name="输入 2 7 2 4 2 2" xfId="35467"/>
    <cellStyle name="输入 2 7 2 4 3" xfId="35468"/>
    <cellStyle name="输入 2 7 2 4 3 2" xfId="35469"/>
    <cellStyle name="输入 2 7 2 4 4" xfId="35470"/>
    <cellStyle name="输入 2 7 2 5" xfId="35471"/>
    <cellStyle name="输入 2 7 2 5 2" xfId="35472"/>
    <cellStyle name="输入 2 7 2 6" xfId="35473"/>
    <cellStyle name="输入 2 7 3" xfId="35474"/>
    <cellStyle name="输入 2 7 3 2" xfId="35475"/>
    <cellStyle name="输入 2 7 3 2 2" xfId="35476"/>
    <cellStyle name="输入 2 7 3 2 2 2" xfId="35477"/>
    <cellStyle name="输入 2 7 3 2 2 2 2" xfId="31367"/>
    <cellStyle name="输入 2 7 3 2 2 3" xfId="35478"/>
    <cellStyle name="输入 2 7 3 2 2 3 2" xfId="35479"/>
    <cellStyle name="输入 2 7 3 2 2 4" xfId="35480"/>
    <cellStyle name="输入 2 7 3 2 2 4 2" xfId="35481"/>
    <cellStyle name="输入 2 7 3 2 2 5" xfId="35482"/>
    <cellStyle name="输入 2 7 3 2 3" xfId="35483"/>
    <cellStyle name="输入 2 7 3 2 3 2" xfId="35484"/>
    <cellStyle name="输入 2 7 3 2 3 2 2" xfId="35485"/>
    <cellStyle name="输入 2 7 3 2 3 3" xfId="35486"/>
    <cellStyle name="输入 2 7 3 2 3 3 2" xfId="35487"/>
    <cellStyle name="输入 2 7 3 2 3 4" xfId="35488"/>
    <cellStyle name="输入 2 7 3 2 4" xfId="35489"/>
    <cellStyle name="输入 2 7 3 2 4 2" xfId="35490"/>
    <cellStyle name="输入 2 7 3 2 5" xfId="35491"/>
    <cellStyle name="输入 2 7 3 3" xfId="35492"/>
    <cellStyle name="输入 2 7 3 3 2" xfId="35493"/>
    <cellStyle name="输入 2 7 3 3 2 2" xfId="35494"/>
    <cellStyle name="输入 2 7 3 3 3" xfId="35495"/>
    <cellStyle name="输入 2 7 3 3 3 2" xfId="35496"/>
    <cellStyle name="输入 2 7 3 3 4" xfId="35497"/>
    <cellStyle name="输入 2 7 3 3 4 2" xfId="35498"/>
    <cellStyle name="输入 2 7 3 3 5" xfId="35499"/>
    <cellStyle name="输入 2 7 3 4" xfId="35500"/>
    <cellStyle name="输入 2 7 3 4 2" xfId="35501"/>
    <cellStyle name="输入 2 7 3 4 2 2" xfId="35502"/>
    <cellStyle name="输入 2 7 3 4 3" xfId="35503"/>
    <cellStyle name="输入 2 7 3 4 3 2" xfId="35504"/>
    <cellStyle name="输入 2 7 3 4 4" xfId="35505"/>
    <cellStyle name="输入 2 7 3 5" xfId="35506"/>
    <cellStyle name="输入 2 7 3 5 2" xfId="35507"/>
    <cellStyle name="输入 2 7 3 6" xfId="35508"/>
    <cellStyle name="输入 2 7 4" xfId="35509"/>
    <cellStyle name="输入 2 7 4 2" xfId="35510"/>
    <cellStyle name="输入 2 7 4 2 2" xfId="35511"/>
    <cellStyle name="输入 2 7 4 2 2 2" xfId="35512"/>
    <cellStyle name="输入 2 7 4 2 3" xfId="35513"/>
    <cellStyle name="输入 2 7 4 2 3 2" xfId="35514"/>
    <cellStyle name="输入 2 7 4 2 4" xfId="35515"/>
    <cellStyle name="输入 2 7 4 2 4 2" xfId="35516"/>
    <cellStyle name="输入 2 7 4 2 5" xfId="35517"/>
    <cellStyle name="输入 2 7 4 3" xfId="35518"/>
    <cellStyle name="输入 2 7 4 3 2" xfId="35519"/>
    <cellStyle name="输入 2 7 4 3 2 2" xfId="35520"/>
    <cellStyle name="输入 2 7 4 3 3" xfId="35521"/>
    <cellStyle name="输入 2 7 4 3 3 2" xfId="35522"/>
    <cellStyle name="输入 2 7 4 3 4" xfId="35523"/>
    <cellStyle name="输入 2 7 4 4" xfId="35524"/>
    <cellStyle name="输入 2 7 4 4 2" xfId="35525"/>
    <cellStyle name="输入 2 7 4 5" xfId="35526"/>
    <cellStyle name="输入 2 7 5" xfId="35527"/>
    <cellStyle name="输入 2 7 5 2" xfId="35528"/>
    <cellStyle name="输入 2 7 5 2 2" xfId="35529"/>
    <cellStyle name="输入 2 7 5 2 2 2" xfId="35530"/>
    <cellStyle name="输入 2 7 5 2 3" xfId="35531"/>
    <cellStyle name="输入 2 7 5 2 3 2" xfId="35532"/>
    <cellStyle name="输入 2 7 5 2 4" xfId="35533"/>
    <cellStyle name="输入 2 7 5 2 4 2" xfId="35534"/>
    <cellStyle name="输入 2 7 5 2 5" xfId="35535"/>
    <cellStyle name="输入 2 7 5 3" xfId="35536"/>
    <cellStyle name="输入 2 7 5 3 2" xfId="35537"/>
    <cellStyle name="输入 2 7 5 3 2 2" xfId="35538"/>
    <cellStyle name="输入 2 7 5 3 3" xfId="35539"/>
    <cellStyle name="输入 2 7 5 3 3 2" xfId="35540"/>
    <cellStyle name="输入 2 7 5 3 4" xfId="35541"/>
    <cellStyle name="输入 2 7 5 4" xfId="35542"/>
    <cellStyle name="输入 2 7 5 4 2" xfId="35543"/>
    <cellStyle name="输入 2 7 5 5" xfId="35544"/>
    <cellStyle name="输入 2 7 6" xfId="35545"/>
    <cellStyle name="输入 2 7 6 2" xfId="35546"/>
    <cellStyle name="输入 2 7 6 2 2" xfId="35547"/>
    <cellStyle name="输入 2 7 6 3" xfId="35548"/>
    <cellStyle name="输入 2 7 6 3 2" xfId="35549"/>
    <cellStyle name="输入 2 7 6 4" xfId="35550"/>
    <cellStyle name="输入 2 7 6 4 2" xfId="35551"/>
    <cellStyle name="输入 2 7 6 5" xfId="35552"/>
    <cellStyle name="输入 2 7 7" xfId="35553"/>
    <cellStyle name="输入 2 7 7 2" xfId="35554"/>
    <cellStyle name="输入 2 7 7 2 2" xfId="35555"/>
    <cellStyle name="输入 2 7 7 3" xfId="35556"/>
    <cellStyle name="输入 2 7 7 3 2" xfId="35557"/>
    <cellStyle name="输入 2 7 7 4" xfId="35558"/>
    <cellStyle name="输入 2 7 7 4 2" xfId="35559"/>
    <cellStyle name="输入 2 7 7 5" xfId="35560"/>
    <cellStyle name="输入 2 7 8" xfId="35561"/>
    <cellStyle name="输入 2 7 8 2" xfId="35562"/>
    <cellStyle name="输入 2 7 8 2 2" xfId="35563"/>
    <cellStyle name="输入 2 7 8 3" xfId="35564"/>
    <cellStyle name="输入 2 7 8 3 2" xfId="35565"/>
    <cellStyle name="输入 2 7 8 4" xfId="35566"/>
    <cellStyle name="输入 2 7 8 4 2" xfId="35567"/>
    <cellStyle name="输入 2 7 8 5" xfId="35568"/>
    <cellStyle name="输入 2 7 9" xfId="35569"/>
    <cellStyle name="输入 2 8" xfId="35570"/>
    <cellStyle name="输入 2 8 2" xfId="35571"/>
    <cellStyle name="输入 2 8 2 2" xfId="35572"/>
    <cellStyle name="输入 2 8 2 2 2" xfId="35573"/>
    <cellStyle name="输入 2 8 2 2 2 2" xfId="35574"/>
    <cellStyle name="输入 2 8 2 2 2 2 2" xfId="35575"/>
    <cellStyle name="输入 2 8 2 2 2 3" xfId="35576"/>
    <cellStyle name="输入 2 8 2 2 2 3 2" xfId="35577"/>
    <cellStyle name="输入 2 8 2 2 2 4" xfId="35578"/>
    <cellStyle name="输入 2 8 2 2 2 4 2" xfId="35579"/>
    <cellStyle name="输入 2 8 2 2 2 5" xfId="21626"/>
    <cellStyle name="输入 2 8 2 2 3" xfId="35580"/>
    <cellStyle name="输入 2 8 2 2 3 2" xfId="35581"/>
    <cellStyle name="输入 2 8 2 2 3 2 2" xfId="35582"/>
    <cellStyle name="输入 2 8 2 2 3 3" xfId="35583"/>
    <cellStyle name="输入 2 8 2 2 3 3 2" xfId="35584"/>
    <cellStyle name="输入 2 8 2 2 3 4" xfId="35585"/>
    <cellStyle name="输入 2 8 2 2 4" xfId="35586"/>
    <cellStyle name="输入 2 8 2 2 4 2" xfId="35587"/>
    <cellStyle name="输入 2 8 2 2 5" xfId="35588"/>
    <cellStyle name="输入 2 8 2 3" xfId="35589"/>
    <cellStyle name="输入 2 8 2 3 2" xfId="35590"/>
    <cellStyle name="输入 2 8 2 3 2 2" xfId="35591"/>
    <cellStyle name="输入 2 8 2 3 3" xfId="35592"/>
    <cellStyle name="输入 2 8 2 3 3 2" xfId="35593"/>
    <cellStyle name="输入 2 8 2 3 4" xfId="35594"/>
    <cellStyle name="输入 2 8 2 3 4 2" xfId="35595"/>
    <cellStyle name="输入 2 8 2 3 5" xfId="35596"/>
    <cellStyle name="输入 2 8 2 4" xfId="35597"/>
    <cellStyle name="输入 2 8 2 4 2" xfId="35598"/>
    <cellStyle name="输入 2 8 2 4 2 2" xfId="35599"/>
    <cellStyle name="输入 2 8 2 4 3" xfId="35600"/>
    <cellStyle name="输入 2 8 2 4 3 2" xfId="35601"/>
    <cellStyle name="输入 2 8 2 4 4" xfId="35602"/>
    <cellStyle name="输入 2 8 2 5" xfId="35603"/>
    <cellStyle name="输入 2 8 2 5 2" xfId="35604"/>
    <cellStyle name="输入 2 8 2 6" xfId="35605"/>
    <cellStyle name="输入 2 8 3" xfId="35606"/>
    <cellStyle name="输入 2 8 3 2" xfId="35607"/>
    <cellStyle name="输入 2 8 3 2 2" xfId="35608"/>
    <cellStyle name="输入 2 8 3 2 2 2" xfId="35609"/>
    <cellStyle name="输入 2 8 3 2 3" xfId="35610"/>
    <cellStyle name="输入 2 8 3 2 3 2" xfId="35611"/>
    <cellStyle name="输入 2 8 3 2 4" xfId="35612"/>
    <cellStyle name="输入 2 8 3 2 4 2" xfId="35613"/>
    <cellStyle name="输入 2 8 3 2 5" xfId="35614"/>
    <cellStyle name="输入 2 8 3 3" xfId="35615"/>
    <cellStyle name="输入 2 8 3 3 2" xfId="35616"/>
    <cellStyle name="输入 2 8 3 3 2 2" xfId="35617"/>
    <cellStyle name="输入 2 8 3 3 3" xfId="35618"/>
    <cellStyle name="输入 2 8 3 3 3 2" xfId="35619"/>
    <cellStyle name="输入 2 8 3 3 4" xfId="35620"/>
    <cellStyle name="输入 2 8 3 4" xfId="35621"/>
    <cellStyle name="输入 2 8 3 4 2" xfId="35622"/>
    <cellStyle name="输入 2 8 3 5" xfId="35623"/>
    <cellStyle name="输入 2 8 4" xfId="35624"/>
    <cellStyle name="输入 2 8 4 2" xfId="35625"/>
    <cellStyle name="输入 2 8 4 2 2" xfId="35626"/>
    <cellStyle name="输入 2 8 4 2 2 2" xfId="35627"/>
    <cellStyle name="输入 2 8 4 2 3" xfId="35628"/>
    <cellStyle name="输入 2 8 4 2 3 2" xfId="35629"/>
    <cellStyle name="输入 2 8 4 2 4" xfId="35630"/>
    <cellStyle name="输入 2 8 4 2 4 2" xfId="35631"/>
    <cellStyle name="输入 2 8 4 2 5" xfId="35632"/>
    <cellStyle name="输入 2 8 4 3" xfId="35633"/>
    <cellStyle name="输入 2 8 4 3 2" xfId="35634"/>
    <cellStyle name="输入 2 8 4 3 2 2" xfId="35635"/>
    <cellStyle name="输入 2 8 4 3 3" xfId="35636"/>
    <cellStyle name="输入 2 8 4 3 3 2" xfId="35637"/>
    <cellStyle name="输入 2 8 4 3 4" xfId="35638"/>
    <cellStyle name="输入 2 8 4 4" xfId="35639"/>
    <cellStyle name="输入 2 8 4 4 2" xfId="35640"/>
    <cellStyle name="输入 2 8 4 5" xfId="35641"/>
    <cellStyle name="输入 2 8 5" xfId="35642"/>
    <cellStyle name="输入 2 8 5 2" xfId="35643"/>
    <cellStyle name="输入 2 8 5 2 2" xfId="35644"/>
    <cellStyle name="输入 2 8 5 3" xfId="35645"/>
    <cellStyle name="输入 2 8 5 3 2" xfId="35646"/>
    <cellStyle name="输入 2 8 5 4" xfId="35647"/>
    <cellStyle name="输入 2 8 5 4 2" xfId="35648"/>
    <cellStyle name="输入 2 8 5 5" xfId="35649"/>
    <cellStyle name="输入 2 8 6" xfId="35650"/>
    <cellStyle name="输入 2 8 6 2" xfId="35651"/>
    <cellStyle name="输入 2 8 6 2 2" xfId="35652"/>
    <cellStyle name="输入 2 8 6 3" xfId="35653"/>
    <cellStyle name="输入 2 8 6 3 2" xfId="35654"/>
    <cellStyle name="输入 2 8 6 4" xfId="35655"/>
    <cellStyle name="输入 2 8 7" xfId="35656"/>
    <cellStyle name="输入 2 8 7 2" xfId="35657"/>
    <cellStyle name="输入 2 8 8" xfId="35658"/>
    <cellStyle name="输入 2 8 9" xfId="35659"/>
    <cellStyle name="输入 2 9" xfId="21467"/>
    <cellStyle name="输入 2 9 2" xfId="35660"/>
    <cellStyle name="输入 2 9 2 2" xfId="35661"/>
    <cellStyle name="输入 2 9 2 2 2" xfId="35662"/>
    <cellStyle name="输入 2 9 2 2 2 2" xfId="35663"/>
    <cellStyle name="输入 2 9 2 2 3" xfId="35664"/>
    <cellStyle name="输入 2 9 2 2 3 2" xfId="35665"/>
    <cellStyle name="输入 2 9 2 2 4" xfId="35666"/>
    <cellStyle name="输入 2 9 2 2 4 2" xfId="35667"/>
    <cellStyle name="输入 2 9 2 2 5" xfId="35668"/>
    <cellStyle name="输入 2 9 2 3" xfId="35669"/>
    <cellStyle name="输入 2 9 2 3 2" xfId="35670"/>
    <cellStyle name="输入 2 9 2 3 2 2" xfId="35671"/>
    <cellStyle name="输入 2 9 2 3 3" xfId="35672"/>
    <cellStyle name="输入 2 9 2 3 3 2" xfId="35673"/>
    <cellStyle name="输入 2 9 2 3 4" xfId="35674"/>
    <cellStyle name="输入 2 9 2 4" xfId="35675"/>
    <cellStyle name="输入 2 9 2 4 2" xfId="35676"/>
    <cellStyle name="输入 2 9 2 5" xfId="35677"/>
    <cellStyle name="输入 2 9 3" xfId="35678"/>
    <cellStyle name="输入 2 9 3 2" xfId="35679"/>
    <cellStyle name="输入 2 9 3 2 2" xfId="35680"/>
    <cellStyle name="输入 2 9 3 3" xfId="35681"/>
    <cellStyle name="输入 2 9 3 3 2" xfId="35682"/>
    <cellStyle name="输入 2 9 3 4" xfId="35683"/>
    <cellStyle name="输入 2 9 3 4 2" xfId="35684"/>
    <cellStyle name="输入 2 9 3 5" xfId="35685"/>
    <cellStyle name="输入 2 9 4" xfId="35686"/>
    <cellStyle name="输入 2 9 4 2" xfId="35687"/>
    <cellStyle name="输入 2 9 4 2 2" xfId="35688"/>
    <cellStyle name="输入 2 9 4 3" xfId="35689"/>
    <cellStyle name="输入 2 9 4 3 2" xfId="35690"/>
    <cellStyle name="输入 2 9 4 4" xfId="35691"/>
    <cellStyle name="输入 2 9 5" xfId="35692"/>
    <cellStyle name="输入 2 9 5 2" xfId="35693"/>
    <cellStyle name="输入 2 9 6" xfId="35694"/>
    <cellStyle name="输入 2 9 7" xfId="35695"/>
    <cellStyle name="输入 3" xfId="35696"/>
    <cellStyle name="输入 3 10" xfId="35697"/>
    <cellStyle name="输入 3 10 2" xfId="35698"/>
    <cellStyle name="输入 3 10 3" xfId="35699"/>
    <cellStyle name="输入 3 11" xfId="35700"/>
    <cellStyle name="输入 3 11 2" xfId="35701"/>
    <cellStyle name="输入 3 12" xfId="35702"/>
    <cellStyle name="输入 3 13" xfId="35703"/>
    <cellStyle name="输入 3 14" xfId="35704"/>
    <cellStyle name="输入 3 15" xfId="35705"/>
    <cellStyle name="输入 3 2" xfId="35706"/>
    <cellStyle name="输入 3 2 2" xfId="35707"/>
    <cellStyle name="输入 3 2 2 2" xfId="35708"/>
    <cellStyle name="输入 3 2 2 2 2" xfId="35709"/>
    <cellStyle name="输入 3 2 2 2 2 2" xfId="35710"/>
    <cellStyle name="输入 3 2 2 2 2 2 2" xfId="35711"/>
    <cellStyle name="输入 3 2 2 2 2 3" xfId="35712"/>
    <cellStyle name="输入 3 2 2 2 2 3 2" xfId="35713"/>
    <cellStyle name="输入 3 2 2 2 2 4" xfId="35714"/>
    <cellStyle name="输入 3 2 2 2 2 4 2" xfId="35715"/>
    <cellStyle name="输入 3 2 2 2 2 5" xfId="35716"/>
    <cellStyle name="输入 3 2 2 2 3" xfId="35717"/>
    <cellStyle name="输入 3 2 2 2 3 2" xfId="35718"/>
    <cellStyle name="输入 3 2 2 2 3 2 2" xfId="35719"/>
    <cellStyle name="输入 3 2 2 2 3 3" xfId="35720"/>
    <cellStyle name="输入 3 2 2 2 3 3 2" xfId="35721"/>
    <cellStyle name="输入 3 2 2 2 3 4" xfId="35722"/>
    <cellStyle name="输入 3 2 2 2 4" xfId="35723"/>
    <cellStyle name="输入 3 2 2 2 4 2" xfId="35724"/>
    <cellStyle name="输入 3 2 2 2 5" xfId="15589"/>
    <cellStyle name="输入 3 2 2 3" xfId="35725"/>
    <cellStyle name="输入 3 2 2 3 2" xfId="1693"/>
    <cellStyle name="输入 3 2 2 3 2 2" xfId="35726"/>
    <cellStyle name="输入 3 2 2 3 3" xfId="35727"/>
    <cellStyle name="输入 3 2 2 3 3 2" xfId="35728"/>
    <cellStyle name="输入 3 2 2 3 4" xfId="35729"/>
    <cellStyle name="输入 3 2 2 3 4 2" xfId="35731"/>
    <cellStyle name="输入 3 2 2 3 5" xfId="35732"/>
    <cellStyle name="输入 3 2 2 4" xfId="35733"/>
    <cellStyle name="输入 3 2 2 4 2" xfId="35734"/>
    <cellStyle name="输入 3 2 2 4 2 2" xfId="35735"/>
    <cellStyle name="输入 3 2 2 4 3" xfId="22709"/>
    <cellStyle name="输入 3 2 2 4 3 2" xfId="22711"/>
    <cellStyle name="输入 3 2 2 4 4" xfId="35736"/>
    <cellStyle name="输入 3 2 2 5" xfId="35737"/>
    <cellStyle name="输入 3 2 2 5 2" xfId="35738"/>
    <cellStyle name="输入 3 2 2 6" xfId="4331"/>
    <cellStyle name="输入 3 2 3" xfId="35739"/>
    <cellStyle name="输入 3 2 3 2" xfId="35740"/>
    <cellStyle name="输入 3 2 3 2 2" xfId="35741"/>
    <cellStyle name="输入 3 2 3 2 2 2" xfId="35742"/>
    <cellStyle name="输入 3 2 3 2 3" xfId="35743"/>
    <cellStyle name="输入 3 2 3 2 3 2" xfId="35744"/>
    <cellStyle name="输入 3 2 3 2 4" xfId="35745"/>
    <cellStyle name="输入 3 2 3 2 4 2" xfId="35746"/>
    <cellStyle name="输入 3 2 3 2 5" xfId="35747"/>
    <cellStyle name="输入 3 2 3 3" xfId="35748"/>
    <cellStyle name="输入 3 2 3 3 2" xfId="35749"/>
    <cellStyle name="输入 3 2 3 3 2 2" xfId="35750"/>
    <cellStyle name="输入 3 2 3 3 3" xfId="35751"/>
    <cellStyle name="输入 3 2 3 3 3 2" xfId="35752"/>
    <cellStyle name="输入 3 2 3 3 4" xfId="35753"/>
    <cellStyle name="输入 3 2 3 4" xfId="35754"/>
    <cellStyle name="输入 3 2 3 4 2" xfId="35755"/>
    <cellStyle name="输入 3 2 3 5" xfId="35756"/>
    <cellStyle name="输入 3 2 4" xfId="35757"/>
    <cellStyle name="输入 3 2 4 2" xfId="35758"/>
    <cellStyle name="输入 3 2 4 2 2" xfId="35759"/>
    <cellStyle name="输入 3 2 4 2 2 2" xfId="35760"/>
    <cellStyle name="输入 3 2 4 2 3" xfId="35761"/>
    <cellStyle name="输入 3 2 4 2 3 2" xfId="35762"/>
    <cellStyle name="输入 3 2 4 2 4" xfId="35763"/>
    <cellStyle name="输入 3 2 4 2 4 2" xfId="35764"/>
    <cellStyle name="输入 3 2 4 2 5" xfId="35765"/>
    <cellStyle name="输入 3 2 4 3" xfId="35766"/>
    <cellStyle name="输入 3 2 4 3 2" xfId="35767"/>
    <cellStyle name="输入 3 2 4 3 2 2" xfId="35769"/>
    <cellStyle name="输入 3 2 4 3 3" xfId="35770"/>
    <cellStyle name="输入 3 2 4 3 3 2" xfId="35771"/>
    <cellStyle name="输入 3 2 4 3 4" xfId="35772"/>
    <cellStyle name="输入 3 2 4 4" xfId="35773"/>
    <cellStyle name="输入 3 2 4 4 2" xfId="35774"/>
    <cellStyle name="输入 3 2 4 5" xfId="35775"/>
    <cellStyle name="输入 3 2 5" xfId="30189"/>
    <cellStyle name="输入 3 2 5 2" xfId="35776"/>
    <cellStyle name="输入 3 2 5 2 2" xfId="35777"/>
    <cellStyle name="输入 3 2 5 3" xfId="35778"/>
    <cellStyle name="输入 3 2 5 3 2" xfId="35779"/>
    <cellStyle name="输入 3 2 5 4" xfId="35780"/>
    <cellStyle name="输入 3 2 5 4 2" xfId="35781"/>
    <cellStyle name="输入 3 2 5 5" xfId="35782"/>
    <cellStyle name="输入 3 2 6" xfId="35783"/>
    <cellStyle name="输入 3 2 6 2" xfId="35784"/>
    <cellStyle name="输入 3 2 6 2 2" xfId="35785"/>
    <cellStyle name="输入 3 2 6 3" xfId="35786"/>
    <cellStyle name="输入 3 2 6 3 2" xfId="35787"/>
    <cellStyle name="输入 3 2 6 4" xfId="35788"/>
    <cellStyle name="输入 3 2 7" xfId="35789"/>
    <cellStyle name="输入 3 2 7 2" xfId="35790"/>
    <cellStyle name="输入 3 2 8" xfId="14288"/>
    <cellStyle name="输入 3 2 9" xfId="20984"/>
    <cellStyle name="输入 3 3" xfId="35791"/>
    <cellStyle name="输入 3 3 2" xfId="35792"/>
    <cellStyle name="输入 3 3 2 2" xfId="35793"/>
    <cellStyle name="输入 3 3 2 2 2" xfId="35794"/>
    <cellStyle name="输入 3 3 2 2 2 2" xfId="35795"/>
    <cellStyle name="输入 3 3 2 2 3" xfId="35796"/>
    <cellStyle name="输入 3 3 2 2 3 2" xfId="35797"/>
    <cellStyle name="输入 3 3 2 2 4" xfId="35798"/>
    <cellStyle name="输入 3 3 2 2 4 2" xfId="35799"/>
    <cellStyle name="输入 3 3 2 2 5" xfId="10116"/>
    <cellStyle name="输入 3 3 2 3" xfId="35800"/>
    <cellStyle name="输入 3 3 2 3 2" xfId="35801"/>
    <cellStyle name="输入 3 3 2 3 2 2" xfId="35802"/>
    <cellStyle name="输入 3 3 2 3 3" xfId="35803"/>
    <cellStyle name="输入 3 3 2 3 3 2" xfId="35804"/>
    <cellStyle name="输入 3 3 2 3 4" xfId="35805"/>
    <cellStyle name="输入 3 3 2 4" xfId="35806"/>
    <cellStyle name="输入 3 3 2 4 2" xfId="35807"/>
    <cellStyle name="输入 3 3 2 5" xfId="35808"/>
    <cellStyle name="输入 3 3 3" xfId="35809"/>
    <cellStyle name="输入 3 3 3 2" xfId="35810"/>
    <cellStyle name="输入 3 3 3 2 2" xfId="35811"/>
    <cellStyle name="输入 3 3 3 3" xfId="35812"/>
    <cellStyle name="输入 3 3 3 3 2" xfId="35813"/>
    <cellStyle name="输入 3 3 3 4" xfId="35814"/>
    <cellStyle name="输入 3 3 3 4 2" xfId="35815"/>
    <cellStyle name="输入 3 3 3 5" xfId="35816"/>
    <cellStyle name="输入 3 3 4" xfId="35817"/>
    <cellStyle name="输入 3 3 4 2" xfId="35818"/>
    <cellStyle name="输入 3 3 4 2 2" xfId="35819"/>
    <cellStyle name="输入 3 3 4 3" xfId="35820"/>
    <cellStyle name="输入 3 3 4 3 2" xfId="35821"/>
    <cellStyle name="输入 3 3 4 4" xfId="35822"/>
    <cellStyle name="输入 3 3 5" xfId="30196"/>
    <cellStyle name="输入 3 3 5 2" xfId="35823"/>
    <cellStyle name="输入 3 3 6" xfId="35824"/>
    <cellStyle name="输入 3 3 7" xfId="35825"/>
    <cellStyle name="输入 3 4" xfId="35826"/>
    <cellStyle name="输入 3 4 2" xfId="35827"/>
    <cellStyle name="输入 3 4 2 2" xfId="35828"/>
    <cellStyle name="输入 3 4 2 2 2" xfId="20355"/>
    <cellStyle name="输入 3 4 2 2 2 2" xfId="20359"/>
    <cellStyle name="输入 3 4 2 2 3" xfId="10156"/>
    <cellStyle name="输入 3 4 2 2 3 2" xfId="20363"/>
    <cellStyle name="输入 3 4 2 2 4" xfId="15318"/>
    <cellStyle name="输入 3 4 2 2 4 2" xfId="20366"/>
    <cellStyle name="输入 3 4 2 2 5" xfId="20369"/>
    <cellStyle name="输入 3 4 2 3" xfId="35829"/>
    <cellStyle name="输入 3 4 2 3 2" xfId="4390"/>
    <cellStyle name="输入 3 4 2 3 2 2" xfId="10623"/>
    <cellStyle name="输入 3 4 2 3 3" xfId="10160"/>
    <cellStyle name="输入 3 4 2 3 3 2" xfId="10626"/>
    <cellStyle name="输入 3 4 2 3 4" xfId="10629"/>
    <cellStyle name="输入 3 4 2 4" xfId="35830"/>
    <cellStyle name="输入 3 4 2 4 2" xfId="1931"/>
    <cellStyle name="输入 3 4 2 5" xfId="35831"/>
    <cellStyle name="输入 3 4 3" xfId="35832"/>
    <cellStyle name="输入 3 4 3 2" xfId="35833"/>
    <cellStyle name="输入 3 4 3 2 2" xfId="35834"/>
    <cellStyle name="输入 3 4 3 3" xfId="35835"/>
    <cellStyle name="输入 3 4 3 3 2" xfId="35836"/>
    <cellStyle name="输入 3 4 3 4" xfId="35837"/>
    <cellStyle name="输入 3 4 3 4 2" xfId="35838"/>
    <cellStyle name="输入 3 4 3 5" xfId="35840"/>
    <cellStyle name="输入 3 4 4" xfId="35841"/>
    <cellStyle name="输入 3 4 4 2" xfId="35842"/>
    <cellStyle name="输入 3 4 4 2 2" xfId="35843"/>
    <cellStyle name="输入 3 4 4 3" xfId="35844"/>
    <cellStyle name="输入 3 4 4 3 2" xfId="35845"/>
    <cellStyle name="输入 3 4 4 4" xfId="35846"/>
    <cellStyle name="输入 3 4 5" xfId="30200"/>
    <cellStyle name="输入 3 4 5 2" xfId="35847"/>
    <cellStyle name="输入 3 4 6" xfId="35848"/>
    <cellStyle name="输入 3 4 7" xfId="35849"/>
    <cellStyle name="输入 3 5" xfId="35850"/>
    <cellStyle name="输入 3 5 2" xfId="35851"/>
    <cellStyle name="输入 3 5 2 2" xfId="35852"/>
    <cellStyle name="输入 3 5 2 2 2" xfId="35853"/>
    <cellStyle name="输入 3 5 2 3" xfId="35854"/>
    <cellStyle name="输入 3 5 2 3 2" xfId="35855"/>
    <cellStyle name="输入 3 5 2 4" xfId="35856"/>
    <cellStyle name="输入 3 5 2 4 2" xfId="35857"/>
    <cellStyle name="输入 3 5 2 5" xfId="35858"/>
    <cellStyle name="输入 3 5 3" xfId="35859"/>
    <cellStyle name="输入 3 5 3 2" xfId="35860"/>
    <cellStyle name="输入 3 5 3 2 2" xfId="35861"/>
    <cellStyle name="输入 3 5 3 3" xfId="35862"/>
    <cellStyle name="输入 3 5 3 3 2" xfId="35863"/>
    <cellStyle name="输入 3 5 3 4" xfId="35864"/>
    <cellStyle name="输入 3 5 4" xfId="35865"/>
    <cellStyle name="输入 3 5 4 2" xfId="35866"/>
    <cellStyle name="输入 3 5 5" xfId="30203"/>
    <cellStyle name="输入 3 5 6" xfId="35867"/>
    <cellStyle name="输入 3 6" xfId="35868"/>
    <cellStyle name="输入 3 6 2" xfId="35869"/>
    <cellStyle name="输入 3 6 2 2" xfId="35870"/>
    <cellStyle name="输入 3 6 2 2 2" xfId="35871"/>
    <cellStyle name="输入 3 6 2 3" xfId="596"/>
    <cellStyle name="输入 3 6 2 3 2" xfId="35872"/>
    <cellStyle name="输入 3 6 2 4" xfId="599"/>
    <cellStyle name="输入 3 6 2 4 2" xfId="35873"/>
    <cellStyle name="输入 3 6 2 5" xfId="35874"/>
    <cellStyle name="输入 3 6 3" xfId="35875"/>
    <cellStyle name="输入 3 6 3 2" xfId="35876"/>
    <cellStyle name="输入 3 6 3 2 2" xfId="35877"/>
    <cellStyle name="输入 3 6 3 3" xfId="606"/>
    <cellStyle name="输入 3 6 3 3 2" xfId="35878"/>
    <cellStyle name="输入 3 6 3 4" xfId="610"/>
    <cellStyle name="输入 3 6 4" xfId="35879"/>
    <cellStyle name="输入 3 6 4 2" xfId="35880"/>
    <cellStyle name="输入 3 6 5" xfId="35881"/>
    <cellStyle name="输入 3 6 6" xfId="35882"/>
    <cellStyle name="输入 3 7" xfId="33565"/>
    <cellStyle name="输入 3 7 2" xfId="35883"/>
    <cellStyle name="输入 3 7 2 2" xfId="35884"/>
    <cellStyle name="输入 3 7 3" xfId="35885"/>
    <cellStyle name="输入 3 7 3 2" xfId="35886"/>
    <cellStyle name="输入 3 7 4" xfId="35887"/>
    <cellStyle name="输入 3 7 4 2" xfId="35888"/>
    <cellStyle name="输入 3 7 5" xfId="35889"/>
    <cellStyle name="输入 3 7 6" xfId="35890"/>
    <cellStyle name="输入 3 8" xfId="35891"/>
    <cellStyle name="输入 3 8 2" xfId="35892"/>
    <cellStyle name="输入 3 8 2 2" xfId="35893"/>
    <cellStyle name="输入 3 8 3" xfId="35894"/>
    <cellStyle name="输入 3 8 3 2" xfId="35895"/>
    <cellStyle name="输入 3 8 4" xfId="35896"/>
    <cellStyle name="输入 3 8 4 2" xfId="35897"/>
    <cellStyle name="输入 3 8 5" xfId="35898"/>
    <cellStyle name="输入 3 8 6" xfId="35899"/>
    <cellStyle name="输入 3 9" xfId="21474"/>
    <cellStyle name="输入 3 9 2" xfId="35900"/>
    <cellStyle name="输入 3 9 2 2" xfId="35901"/>
    <cellStyle name="输入 3 9 3" xfId="35902"/>
    <cellStyle name="输入 3 9 3 2" xfId="35903"/>
    <cellStyle name="输入 3 9 4" xfId="35904"/>
    <cellStyle name="输入 3 9 4 2" xfId="35905"/>
    <cellStyle name="输入 3 9 5" xfId="35906"/>
    <cellStyle name="输入 3 9 6" xfId="35907"/>
    <cellStyle name="输入 4" xfId="35908"/>
    <cellStyle name="输入 4 2" xfId="35909"/>
    <cellStyle name="输入 4 2 2" xfId="35910"/>
    <cellStyle name="输入 4 2 2 2" xfId="35911"/>
    <cellStyle name="输入 4 2 2 2 2" xfId="35912"/>
    <cellStyle name="输入 4 2 2 2 2 2" xfId="35913"/>
    <cellStyle name="输入 4 2 2 2 3" xfId="35914"/>
    <cellStyle name="输入 4 2 2 2 3 2" xfId="35915"/>
    <cellStyle name="输入 4 2 2 2 4" xfId="35916"/>
    <cellStyle name="输入 4 2 2 2 4 2" xfId="35917"/>
    <cellStyle name="输入 4 2 2 2 5" xfId="35918"/>
    <cellStyle name="输入 4 2 2 3" xfId="35919"/>
    <cellStyle name="输入 4 2 2 3 2" xfId="35920"/>
    <cellStyle name="输入 4 2 2 3 2 2" xfId="35921"/>
    <cellStyle name="输入 4 2 2 3 3" xfId="7634"/>
    <cellStyle name="输入 4 2 2 3 3 2" xfId="20873"/>
    <cellStyle name="输入 4 2 2 3 4" xfId="20876"/>
    <cellStyle name="输入 4 2 2 4" xfId="35922"/>
    <cellStyle name="输入 4 2 2 4 2" xfId="35923"/>
    <cellStyle name="输入 4 2 2 5" xfId="35924"/>
    <cellStyle name="输入 4 2 3" xfId="35925"/>
    <cellStyle name="输入 4 2 3 2" xfId="35926"/>
    <cellStyle name="输入 4 2 3 2 2" xfId="35927"/>
    <cellStyle name="输入 4 2 3 3" xfId="22142"/>
    <cellStyle name="输入 4 2 3 3 2" xfId="7710"/>
    <cellStyle name="输入 4 2 3 4" xfId="10825"/>
    <cellStyle name="输入 4 2 3 4 2" xfId="7724"/>
    <cellStyle name="输入 4 2 3 5" xfId="31922"/>
    <cellStyle name="输入 4 2 4" xfId="35928"/>
    <cellStyle name="输入 4 2 4 2" xfId="35929"/>
    <cellStyle name="输入 4 2 4 2 2" xfId="35930"/>
    <cellStyle name="输入 4 2 4 3" xfId="13957"/>
    <cellStyle name="输入 4 2 4 3 2" xfId="31934"/>
    <cellStyle name="输入 4 2 4 4" xfId="10829"/>
    <cellStyle name="输入 4 2 5" xfId="35931"/>
    <cellStyle name="输入 4 2 5 2" xfId="35932"/>
    <cellStyle name="输入 4 2 6" xfId="35933"/>
    <cellStyle name="输入 4 2 7" xfId="35934"/>
    <cellStyle name="输入 4 3" xfId="35935"/>
    <cellStyle name="输入 4 3 2" xfId="35936"/>
    <cellStyle name="输入 4 3 2 2" xfId="35937"/>
    <cellStyle name="输入 4 3 2 2 2" xfId="35938"/>
    <cellStyle name="输入 4 3 2 2 2 2" xfId="35939"/>
    <cellStyle name="输入 4 3 2 2 3" xfId="10232"/>
    <cellStyle name="输入 4 3 2 2 3 2" xfId="20070"/>
    <cellStyle name="输入 4 3 2 2 4" xfId="20073"/>
    <cellStyle name="输入 4 3 2 2 4 2" xfId="35940"/>
    <cellStyle name="输入 4 3 2 2 5" xfId="20078"/>
    <cellStyle name="输入 4 3 2 3" xfId="35941"/>
    <cellStyle name="输入 4 3 2 3 2" xfId="35942"/>
    <cellStyle name="输入 4 3 2 3 2 2" xfId="35943"/>
    <cellStyle name="输入 4 3 2 3 3" xfId="10238"/>
    <cellStyle name="输入 4 3 2 3 3 2" xfId="35944"/>
    <cellStyle name="输入 4 3 2 3 4" xfId="28360"/>
    <cellStyle name="输入 4 3 2 4" xfId="35945"/>
    <cellStyle name="输入 4 3 2 4 2" xfId="35946"/>
    <cellStyle name="输入 4 3 2 5" xfId="35947"/>
    <cellStyle name="输入 4 3 3" xfId="35948"/>
    <cellStyle name="输入 4 3 3 2" xfId="35949"/>
    <cellStyle name="输入 4 3 3 2 2" xfId="35950"/>
    <cellStyle name="输入 4 3 3 3" xfId="32027"/>
    <cellStyle name="输入 4 3 3 3 2" xfId="32029"/>
    <cellStyle name="输入 4 3 3 4" xfId="10842"/>
    <cellStyle name="输入 4 3 3 4 2" xfId="32040"/>
    <cellStyle name="输入 4 3 3 5" xfId="32046"/>
    <cellStyle name="输入 4 3 4" xfId="35951"/>
    <cellStyle name="输入 4 3 4 2" xfId="35952"/>
    <cellStyle name="输入 4 3 4 2 2" xfId="35953"/>
    <cellStyle name="输入 4 3 4 3" xfId="32053"/>
    <cellStyle name="输入 4 3 4 3 2" xfId="32055"/>
    <cellStyle name="输入 4 3 4 4" xfId="10846"/>
    <cellStyle name="输入 4 3 5" xfId="35954"/>
    <cellStyle name="输入 4 3 5 2" xfId="35955"/>
    <cellStyle name="输入 4 3 6" xfId="35956"/>
    <cellStyle name="输入 4 3 7" xfId="35957"/>
    <cellStyle name="输入 4 4" xfId="35958"/>
    <cellStyle name="输入 4 4 2" xfId="35959"/>
    <cellStyle name="输入 4 4 2 2" xfId="35960"/>
    <cellStyle name="输入 4 4 2 2 2" xfId="35961"/>
    <cellStyle name="输入 4 4 2 3" xfId="35962"/>
    <cellStyle name="输入 4 4 2 3 2" xfId="11121"/>
    <cellStyle name="输入 4 4 2 4" xfId="35963"/>
    <cellStyle name="输入 4 4 2 4 2" xfId="11136"/>
    <cellStyle name="输入 4 4 2 5" xfId="35964"/>
    <cellStyle name="输入 4 4 3" xfId="35965"/>
    <cellStyle name="输入 4 4 3 2" xfId="35966"/>
    <cellStyle name="输入 4 4 3 2 2" xfId="35967"/>
    <cellStyle name="输入 4 4 3 3" xfId="31085"/>
    <cellStyle name="输入 4 4 3 3 2" xfId="31088"/>
    <cellStyle name="输入 4 4 3 4" xfId="31091"/>
    <cellStyle name="输入 4 4 4" xfId="35968"/>
    <cellStyle name="输入 4 4 4 2" xfId="35969"/>
    <cellStyle name="输入 4 4 5" xfId="35970"/>
    <cellStyle name="输入 4 5" xfId="35971"/>
    <cellStyle name="输入 4 5 2" xfId="35972"/>
    <cellStyle name="输入 4 5 2 2" xfId="35973"/>
    <cellStyle name="输入 4 5 2 2 2" xfId="35974"/>
    <cellStyle name="输入 4 5 2 3" xfId="35975"/>
    <cellStyle name="输入 4 5 2 3 2" xfId="35976"/>
    <cellStyle name="输入 4 5 2 4" xfId="35977"/>
    <cellStyle name="输入 4 5 2 4 2" xfId="35978"/>
    <cellStyle name="输入 4 5 2 5" xfId="35979"/>
    <cellStyle name="输入 4 5 3" xfId="35980"/>
    <cellStyle name="输入 4 5 3 2" xfId="35981"/>
    <cellStyle name="输入 4 5 3 2 2" xfId="35982"/>
    <cellStyle name="输入 4 5 3 3" xfId="35983"/>
    <cellStyle name="输入 4 5 3 3 2" xfId="35984"/>
    <cellStyle name="输入 4 5 3 4" xfId="17179"/>
    <cellStyle name="输入 4 5 4" xfId="35985"/>
    <cellStyle name="输入 4 5 4 2" xfId="35986"/>
    <cellStyle name="输入 4 5 5" xfId="35987"/>
    <cellStyle name="输入 4 6" xfId="35988"/>
    <cellStyle name="输入 4 6 2" xfId="35989"/>
    <cellStyle name="输入 4 6 2 2" xfId="35990"/>
    <cellStyle name="输入 4 6 3" xfId="35991"/>
    <cellStyle name="输入 4 6 3 2" xfId="35992"/>
    <cellStyle name="输入 4 6 4" xfId="35993"/>
    <cellStyle name="输入 4 6 4 2" xfId="35994"/>
    <cellStyle name="输入 4 6 5" xfId="35995"/>
    <cellStyle name="输入 4 7" xfId="33568"/>
    <cellStyle name="输入 4 7 2" xfId="35996"/>
    <cellStyle name="输入 4 7 2 2" xfId="35997"/>
    <cellStyle name="输入 4 7 3" xfId="35998"/>
    <cellStyle name="输入 4 7 3 2" xfId="35999"/>
    <cellStyle name="输入 4 7 4" xfId="36000"/>
    <cellStyle name="输入 4 7 4 2" xfId="36001"/>
    <cellStyle name="输入 4 7 5" xfId="36002"/>
    <cellStyle name="输入 4 8" xfId="36003"/>
    <cellStyle name="输入 4 8 2" xfId="36004"/>
    <cellStyle name="输入 4 8 2 2" xfId="36005"/>
    <cellStyle name="输入 4 8 3" xfId="36006"/>
    <cellStyle name="输入 4 8 3 2" xfId="36007"/>
    <cellStyle name="输入 4 8 4" xfId="36008"/>
    <cellStyle name="输入 4 8 4 2" xfId="36009"/>
    <cellStyle name="输入 4 8 5" xfId="36010"/>
    <cellStyle name="输入 4 9" xfId="21478"/>
    <cellStyle name="输入 5" xfId="36011"/>
    <cellStyle name="输入 5 2" xfId="36012"/>
    <cellStyle name="输入 5 2 2" xfId="36013"/>
    <cellStyle name="输入 5 2 2 2" xfId="36014"/>
    <cellStyle name="输入 5 2 2 2 2" xfId="36015"/>
    <cellStyle name="输入 5 2 2 2 2 2" xfId="36016"/>
    <cellStyle name="输入 5 2 2 2 3" xfId="36017"/>
    <cellStyle name="输入 5 2 2 2 3 2" xfId="36018"/>
    <cellStyle name="输入 5 2 2 2 4" xfId="108"/>
    <cellStyle name="输入 5 2 2 2 4 2" xfId="36019"/>
    <cellStyle name="输入 5 2 2 2 5" xfId="36020"/>
    <cellStyle name="输入 5 2 2 3" xfId="36021"/>
    <cellStyle name="输入 5 2 2 3 2" xfId="36022"/>
    <cellStyle name="输入 5 2 2 3 2 2" xfId="36023"/>
    <cellStyle name="输入 5 2 2 3 3" xfId="36024"/>
    <cellStyle name="输入 5 2 2 3 3 2" xfId="36025"/>
    <cellStyle name="输入 5 2 2 3 4" xfId="7745"/>
    <cellStyle name="输入 5 2 2 4" xfId="36026"/>
    <cellStyle name="输入 5 2 2 4 2" xfId="36027"/>
    <cellStyle name="输入 5 2 2 5" xfId="36028"/>
    <cellStyle name="输入 5 2 3" xfId="36029"/>
    <cellStyle name="输入 5 2 3 2" xfId="2213"/>
    <cellStyle name="输入 5 2 3 2 2" xfId="36030"/>
    <cellStyle name="输入 5 2 3 3" xfId="36031"/>
    <cellStyle name="输入 5 2 3 3 2" xfId="36032"/>
    <cellStyle name="输入 5 2 3 4" xfId="36033"/>
    <cellStyle name="输入 5 2 3 4 2" xfId="36034"/>
    <cellStyle name="输入 5 2 3 5" xfId="36035"/>
    <cellStyle name="输入 5 2 4" xfId="36036"/>
    <cellStyle name="输入 5 2 4 2" xfId="36037"/>
    <cellStyle name="输入 5 2 4 2 2" xfId="36038"/>
    <cellStyle name="输入 5 2 4 3" xfId="36039"/>
    <cellStyle name="输入 5 2 4 3 2" xfId="36040"/>
    <cellStyle name="输入 5 2 4 4" xfId="36041"/>
    <cellStyle name="输入 5 2 5" xfId="36042"/>
    <cellStyle name="输入 5 2 5 2" xfId="36043"/>
    <cellStyle name="输入 5 2 6" xfId="36044"/>
    <cellStyle name="输入 5 2 7" xfId="36045"/>
    <cellStyle name="输入 5 3" xfId="36046"/>
    <cellStyle name="输入 5 3 2" xfId="36047"/>
    <cellStyle name="输入 5 3 2 2" xfId="36048"/>
    <cellStyle name="输入 5 3 2 2 2" xfId="36049"/>
    <cellStyle name="输入 5 3 2 2 2 2" xfId="36050"/>
    <cellStyle name="输入 5 3 2 2 3" xfId="36051"/>
    <cellStyle name="输入 5 3 2 2 3 2" xfId="36052"/>
    <cellStyle name="输入 5 3 2 2 4" xfId="36053"/>
    <cellStyle name="输入 5 3 2 2 4 2" xfId="36054"/>
    <cellStyle name="输入 5 3 2 2 5" xfId="36055"/>
    <cellStyle name="输入 5 3 2 3" xfId="36056"/>
    <cellStyle name="输入 5 3 2 3 2" xfId="36057"/>
    <cellStyle name="输入 5 3 2 3 2 2" xfId="36058"/>
    <cellStyle name="输入 5 3 2 3 3" xfId="36059"/>
    <cellStyle name="输入 5 3 2 3 3 2" xfId="36060"/>
    <cellStyle name="输入 5 3 2 3 4" xfId="36061"/>
    <cellStyle name="输入 5 3 2 4" xfId="36062"/>
    <cellStyle name="输入 5 3 2 4 2" xfId="36063"/>
    <cellStyle name="输入 5 3 2 5" xfId="36064"/>
    <cellStyle name="输入 5 3 3" xfId="36065"/>
    <cellStyle name="输入 5 3 3 2" xfId="29473"/>
    <cellStyle name="输入 5 3 3 2 2" xfId="29476"/>
    <cellStyle name="输入 5 3 3 3" xfId="29479"/>
    <cellStyle name="输入 5 3 3 3 2" xfId="29482"/>
    <cellStyle name="输入 5 3 3 4" xfId="2078"/>
    <cellStyle name="输入 5 3 3 4 2" xfId="36066"/>
    <cellStyle name="输入 5 3 3 5" xfId="36067"/>
    <cellStyle name="输入 5 3 4" xfId="36068"/>
    <cellStyle name="输入 5 3 4 2" xfId="36069"/>
    <cellStyle name="输入 5 3 4 2 2" xfId="36070"/>
    <cellStyle name="输入 5 3 4 3" xfId="36071"/>
    <cellStyle name="输入 5 3 4 3 2" xfId="36072"/>
    <cellStyle name="输入 5 3 4 4" xfId="36073"/>
    <cellStyle name="输入 5 3 5" xfId="36074"/>
    <cellStyle name="输入 5 3 5 2" xfId="36075"/>
    <cellStyle name="输入 5 3 6" xfId="36076"/>
    <cellStyle name="输入 5 3 7" xfId="36077"/>
    <cellStyle name="输入 5 4" xfId="36078"/>
    <cellStyle name="输入 5 4 2" xfId="36079"/>
    <cellStyle name="输入 5 4 2 2" xfId="36080"/>
    <cellStyle name="输入 5 4 2 2 2" xfId="36081"/>
    <cellStyle name="输入 5 4 2 3" xfId="36082"/>
    <cellStyle name="输入 5 4 2 3 2" xfId="36083"/>
    <cellStyle name="输入 5 4 2 4" xfId="36084"/>
    <cellStyle name="输入 5 4 2 4 2" xfId="36085"/>
    <cellStyle name="输入 5 4 2 5" xfId="36086"/>
    <cellStyle name="输入 5 4 3" xfId="36087"/>
    <cellStyle name="输入 5 4 3 2" xfId="36088"/>
    <cellStyle name="输入 5 4 3 2 2" xfId="36089"/>
    <cellStyle name="输入 5 4 3 3" xfId="36090"/>
    <cellStyle name="输入 5 4 3 3 2" xfId="36091"/>
    <cellStyle name="输入 5 4 3 4" xfId="36092"/>
    <cellStyle name="输入 5 4 4" xfId="36093"/>
    <cellStyle name="输入 5 4 4 2" xfId="36094"/>
    <cellStyle name="输入 5 4 5" xfId="36095"/>
    <cellStyle name="输入 5 5" xfId="36096"/>
    <cellStyle name="输入 5 5 2" xfId="36097"/>
    <cellStyle name="输入 5 5 2 2" xfId="36098"/>
    <cellStyle name="输入 5 5 2 2 2" xfId="36099"/>
    <cellStyle name="输入 5 5 2 3" xfId="36100"/>
    <cellStyle name="输入 5 5 2 3 2" xfId="36101"/>
    <cellStyle name="输入 5 5 2 4" xfId="36102"/>
    <cellStyle name="输入 5 5 2 4 2" xfId="36103"/>
    <cellStyle name="输入 5 5 2 5" xfId="36104"/>
    <cellStyle name="输入 5 5 3" xfId="36105"/>
    <cellStyle name="输入 5 5 3 2" xfId="36106"/>
    <cellStyle name="输入 5 5 3 2 2" xfId="23082"/>
    <cellStyle name="输入 5 5 3 3" xfId="36107"/>
    <cellStyle name="输入 5 5 3 3 2" xfId="36108"/>
    <cellStyle name="输入 5 5 3 4" xfId="36109"/>
    <cellStyle name="输入 5 5 4" xfId="36110"/>
    <cellStyle name="输入 5 5 4 2" xfId="36111"/>
    <cellStyle name="输入 5 5 5" xfId="36112"/>
    <cellStyle name="输入 5 6" xfId="36113"/>
    <cellStyle name="输入 5 6 2" xfId="36114"/>
    <cellStyle name="输入 5 6 2 2" xfId="36115"/>
    <cellStyle name="输入 5 6 3" xfId="36116"/>
    <cellStyle name="输入 5 6 3 2" xfId="36117"/>
    <cellStyle name="输入 5 6 4" xfId="36118"/>
    <cellStyle name="输入 5 6 4 2" xfId="36119"/>
    <cellStyle name="输入 5 6 5" xfId="36120"/>
    <cellStyle name="输入 5 7" xfId="36121"/>
    <cellStyle name="输入 5 7 2" xfId="36122"/>
    <cellStyle name="输入 5 7 2 2" xfId="36123"/>
    <cellStyle name="输入 5 7 3" xfId="36124"/>
    <cellStyle name="输入 5 7 3 2" xfId="36125"/>
    <cellStyle name="输入 5 7 4" xfId="36126"/>
    <cellStyle name="输入 5 7 4 2" xfId="36128"/>
    <cellStyle name="输入 5 7 5" xfId="36129"/>
    <cellStyle name="输入 5 8" xfId="36130"/>
    <cellStyle name="输入 5 8 2" xfId="36131"/>
    <cellStyle name="输入 5 8 2 2" xfId="36132"/>
    <cellStyle name="输入 5 8 3" xfId="36133"/>
    <cellStyle name="输入 5 8 3 2" xfId="36134"/>
    <cellStyle name="输入 5 8 4" xfId="36135"/>
    <cellStyle name="输入 5 8 4 2" xfId="36136"/>
    <cellStyle name="输入 5 8 5" xfId="36137"/>
    <cellStyle name="输入 5 9" xfId="21480"/>
    <cellStyle name="输入 6" xfId="36138"/>
    <cellStyle name="输入 6 2" xfId="36139"/>
    <cellStyle name="输入 6 2 2" xfId="36140"/>
    <cellStyle name="输入 6 2 2 2" xfId="36141"/>
    <cellStyle name="输入 6 2 2 2 2" xfId="36142"/>
    <cellStyle name="输入 6 2 2 2 2 2" xfId="36143"/>
    <cellStyle name="输入 6 2 2 2 3" xfId="36144"/>
    <cellStyle name="输入 6 2 2 2 3 2" xfId="36145"/>
    <cellStyle name="输入 6 2 2 2 4" xfId="36146"/>
    <cellStyle name="输入 6 2 2 2 4 2" xfId="36147"/>
    <cellStyle name="输入 6 2 2 2 5" xfId="36148"/>
    <cellStyle name="输入 6 2 2 3" xfId="27347"/>
    <cellStyle name="输入 6 2 2 3 2" xfId="36149"/>
    <cellStyle name="输入 6 2 2 3 2 2" xfId="36150"/>
    <cellStyle name="输入 6 2 2 3 3" xfId="36151"/>
    <cellStyle name="输入 6 2 2 3 3 2" xfId="36152"/>
    <cellStyle name="输入 6 2 2 3 4" xfId="36153"/>
    <cellStyle name="输入 6 2 2 4" xfId="6779"/>
    <cellStyle name="输入 6 2 2 4 2" xfId="36154"/>
    <cellStyle name="输入 6 2 2 5" xfId="12088"/>
    <cellStyle name="输入 6 2 3" xfId="36155"/>
    <cellStyle name="输入 6 2 3 2" xfId="36156"/>
    <cellStyle name="输入 6 2 3 2 2" xfId="36157"/>
    <cellStyle name="输入 6 2 3 3" xfId="27352"/>
    <cellStyle name="输入 6 2 3 3 2" xfId="36158"/>
    <cellStyle name="输入 6 2 3 4" xfId="36159"/>
    <cellStyle name="输入 6 2 3 4 2" xfId="12102"/>
    <cellStyle name="输入 6 2 3 5" xfId="36160"/>
    <cellStyle name="输入 6 2 4" xfId="36161"/>
    <cellStyle name="输入 6 2 4 2" xfId="36162"/>
    <cellStyle name="输入 6 2 4 2 2" xfId="36163"/>
    <cellStyle name="输入 6 2 4 3" xfId="24714"/>
    <cellStyle name="输入 6 2 4 3 2" xfId="36164"/>
    <cellStyle name="输入 6 2 4 4" xfId="36165"/>
    <cellStyle name="输入 6 2 5" xfId="36166"/>
    <cellStyle name="输入 6 2 5 2" xfId="36167"/>
    <cellStyle name="输入 6 2 6" xfId="36168"/>
    <cellStyle name="输入 6 2 7" xfId="36169"/>
    <cellStyle name="输入 6 3" xfId="36170"/>
    <cellStyle name="输入 6 3 2" xfId="36171"/>
    <cellStyle name="输入 6 3 2 2" xfId="36172"/>
    <cellStyle name="输入 6 3 2 2 2" xfId="36173"/>
    <cellStyle name="输入 6 3 2 2 2 2" xfId="36174"/>
    <cellStyle name="输入 6 3 2 2 3" xfId="36175"/>
    <cellStyle name="输入 6 3 2 2 3 2" xfId="36176"/>
    <cellStyle name="输入 6 3 2 2 4" xfId="36177"/>
    <cellStyle name="输入 6 3 2 2 4 2" xfId="36178"/>
    <cellStyle name="输入 6 3 2 2 5" xfId="36179"/>
    <cellStyle name="输入 6 3 2 3" xfId="13640"/>
    <cellStyle name="输入 6 3 2 3 2" xfId="36180"/>
    <cellStyle name="输入 6 3 2 3 2 2" xfId="36181"/>
    <cellStyle name="输入 6 3 2 3 3" xfId="36182"/>
    <cellStyle name="输入 6 3 2 3 3 2" xfId="36183"/>
    <cellStyle name="输入 6 3 2 3 4" xfId="36184"/>
    <cellStyle name="输入 6 3 2 4" xfId="103"/>
    <cellStyle name="输入 6 3 2 4 2" xfId="36185"/>
    <cellStyle name="输入 6 3 2 5" xfId="36186"/>
    <cellStyle name="输入 6 3 3" xfId="36187"/>
    <cellStyle name="输入 6 3 3 2" xfId="36188"/>
    <cellStyle name="输入 6 3 3 2 2" xfId="36189"/>
    <cellStyle name="输入 6 3 3 3" xfId="13666"/>
    <cellStyle name="输入 6 3 3 3 2" xfId="36190"/>
    <cellStyle name="输入 6 3 3 4" xfId="7740"/>
    <cellStyle name="输入 6 3 3 4 2" xfId="36191"/>
    <cellStyle name="输入 6 3 3 5" xfId="36192"/>
    <cellStyle name="输入 6 3 4" xfId="36193"/>
    <cellStyle name="输入 6 3 4 2" xfId="36194"/>
    <cellStyle name="输入 6 3 4 2 2" xfId="36195"/>
    <cellStyle name="输入 6 3 4 3" xfId="15947"/>
    <cellStyle name="输入 6 3 4 3 2" xfId="36196"/>
    <cellStyle name="输入 6 3 4 4" xfId="7749"/>
    <cellStyle name="输入 6 3 5" xfId="36197"/>
    <cellStyle name="输入 6 3 5 2" xfId="36198"/>
    <cellStyle name="输入 6 3 6" xfId="36199"/>
    <cellStyle name="输入 6 3 7" xfId="36200"/>
    <cellStyle name="输入 6 4" xfId="36201"/>
    <cellStyle name="输入 6 4 2" xfId="36202"/>
    <cellStyle name="输入 6 4 2 2" xfId="36203"/>
    <cellStyle name="输入 6 4 2 2 2" xfId="36204"/>
    <cellStyle name="输入 6 4 2 3" xfId="36205"/>
    <cellStyle name="输入 6 4 2 3 2" xfId="36206"/>
    <cellStyle name="输入 6 4 2 4" xfId="36207"/>
    <cellStyle name="输入 6 4 2 4 2" xfId="36208"/>
    <cellStyle name="输入 6 4 2 5" xfId="36209"/>
    <cellStyle name="输入 6 4 3" xfId="36210"/>
    <cellStyle name="输入 6 4 3 2" xfId="36211"/>
    <cellStyle name="输入 6 4 3 2 2" xfId="36212"/>
    <cellStyle name="输入 6 4 3 3" xfId="36213"/>
    <cellStyle name="输入 6 4 3 3 2" xfId="36214"/>
    <cellStyle name="输入 6 4 3 4" xfId="36215"/>
    <cellStyle name="输入 6 4 4" xfId="36216"/>
    <cellStyle name="输入 6 4 4 2" xfId="36217"/>
    <cellStyle name="输入 6 4 5" xfId="36218"/>
    <cellStyle name="输入 6 5" xfId="36219"/>
    <cellStyle name="输入 6 5 2" xfId="36220"/>
    <cellStyle name="输入 6 5 2 2" xfId="36221"/>
    <cellStyle name="输入 6 5 2 2 2" xfId="36222"/>
    <cellStyle name="输入 6 5 2 3" xfId="36223"/>
    <cellStyle name="输入 6 5 2 3 2" xfId="36224"/>
    <cellStyle name="输入 6 5 2 4" xfId="36225"/>
    <cellStyle name="输入 6 5 2 4 2" xfId="36226"/>
    <cellStyle name="输入 6 5 2 5" xfId="36227"/>
    <cellStyle name="输入 6 5 3" xfId="36228"/>
    <cellStyle name="输入 6 5 3 2" xfId="36229"/>
    <cellStyle name="输入 6 5 3 2 2" xfId="1385"/>
    <cellStyle name="输入 6 5 3 3" xfId="36230"/>
    <cellStyle name="输入 6 5 3 3 2" xfId="1400"/>
    <cellStyle name="输入 6 5 3 4" xfId="36231"/>
    <cellStyle name="输入 6 5 4" xfId="36232"/>
    <cellStyle name="输入 6 5 4 2" xfId="36233"/>
    <cellStyle name="输入 6 5 5" xfId="36234"/>
    <cellStyle name="输入 6 6" xfId="36235"/>
    <cellStyle name="输入 6 6 2" xfId="36236"/>
    <cellStyle name="输入 6 6 2 2" xfId="36237"/>
    <cellStyle name="输入 6 6 3" xfId="36238"/>
    <cellStyle name="输入 6 6 3 2" xfId="36239"/>
    <cellStyle name="输入 6 6 4" xfId="36240"/>
    <cellStyle name="输入 6 6 4 2" xfId="36241"/>
    <cellStyle name="输入 6 6 5" xfId="36242"/>
    <cellStyle name="输入 6 7" xfId="36243"/>
    <cellStyle name="输入 6 7 2" xfId="36244"/>
    <cellStyle name="输入 6 7 2 2" xfId="25292"/>
    <cellStyle name="输入 6 7 3" xfId="36245"/>
    <cellStyle name="输入 6 7 3 2" xfId="25311"/>
    <cellStyle name="输入 6 7 4" xfId="36246"/>
    <cellStyle name="输入 6 7 4 2" xfId="36247"/>
    <cellStyle name="输入 6 7 5" xfId="36248"/>
    <cellStyle name="输入 6 8" xfId="36249"/>
    <cellStyle name="输入 6 8 2" xfId="36250"/>
    <cellStyle name="输入 6 8 2 2" xfId="36251"/>
    <cellStyle name="输入 6 8 3" xfId="36252"/>
    <cellStyle name="输入 6 8 3 2" xfId="36253"/>
    <cellStyle name="输入 6 8 4" xfId="36254"/>
    <cellStyle name="输入 6 8 4 2" xfId="36255"/>
    <cellStyle name="输入 6 8 5" xfId="36256"/>
    <cellStyle name="输入 6 9" xfId="36257"/>
    <cellStyle name="输入 7" xfId="36258"/>
    <cellStyle name="输入 7 2" xfId="36260"/>
    <cellStyle name="输入 7 2 2" xfId="36262"/>
    <cellStyle name="输入 7 2 2 2" xfId="36264"/>
    <cellStyle name="输入 7 2 2 2 2" xfId="36266"/>
    <cellStyle name="输入 7 2 2 2 2 2" xfId="36269"/>
    <cellStyle name="输入 7 2 2 2 3" xfId="36271"/>
    <cellStyle name="输入 7 2 2 2 3 2" xfId="36273"/>
    <cellStyle name="输入 7 2 2 2 4" xfId="36275"/>
    <cellStyle name="输入 7 2 2 2 4 2" xfId="36277"/>
    <cellStyle name="输入 7 2 2 2 5" xfId="36279"/>
    <cellStyle name="输入 7 2 2 3" xfId="36281"/>
    <cellStyle name="输入 7 2 2 3 2" xfId="36283"/>
    <cellStyle name="输入 7 2 2 3 2 2" xfId="36285"/>
    <cellStyle name="输入 7 2 2 3 3" xfId="36287"/>
    <cellStyle name="输入 7 2 2 3 3 2" xfId="28628"/>
    <cellStyle name="输入 7 2 2 3 4" xfId="36289"/>
    <cellStyle name="输入 7 2 2 4" xfId="36291"/>
    <cellStyle name="输入 7 2 2 4 2" xfId="36293"/>
    <cellStyle name="输入 7 2 2 5" xfId="36295"/>
    <cellStyle name="输入 7 2 3" xfId="36297"/>
    <cellStyle name="输入 7 2 3 2" xfId="36299"/>
    <cellStyle name="输入 7 2 3 2 2" xfId="36301"/>
    <cellStyle name="输入 7 2 3 3" xfId="36303"/>
    <cellStyle name="输入 7 2 3 3 2" xfId="36305"/>
    <cellStyle name="输入 7 2 3 4" xfId="36307"/>
    <cellStyle name="输入 7 2 3 4 2" xfId="36309"/>
    <cellStyle name="输入 7 2 3 5" xfId="36311"/>
    <cellStyle name="输入 7 2 4" xfId="36313"/>
    <cellStyle name="输入 7 2 4 2" xfId="36315"/>
    <cellStyle name="输入 7 2 4 2 2" xfId="36317"/>
    <cellStyle name="输入 7 2 4 3" xfId="36319"/>
    <cellStyle name="输入 7 2 4 3 2" xfId="36321"/>
    <cellStyle name="输入 7 2 4 4" xfId="36323"/>
    <cellStyle name="输入 7 2 5" xfId="36325"/>
    <cellStyle name="输入 7 2 5 2" xfId="36327"/>
    <cellStyle name="输入 7 2 6" xfId="36329"/>
    <cellStyle name="输入 7 2 7" xfId="36331"/>
    <cellStyle name="输入 7 3" xfId="36333"/>
    <cellStyle name="输入 7 3 2" xfId="36335"/>
    <cellStyle name="输入 7 3 2 2" xfId="36337"/>
    <cellStyle name="输入 7 3 2 2 2" xfId="36339"/>
    <cellStyle name="输入 7 3 2 2 2 2" xfId="36341"/>
    <cellStyle name="输入 7 3 2 2 3" xfId="36343"/>
    <cellStyle name="输入 7 3 2 2 3 2" xfId="36345"/>
    <cellStyle name="输入 7 3 2 2 4" xfId="36347"/>
    <cellStyle name="输入 7 3 2 2 4 2" xfId="36349"/>
    <cellStyle name="输入 7 3 2 2 5" xfId="36351"/>
    <cellStyle name="输入 7 3 2 3" xfId="10297"/>
    <cellStyle name="输入 7 3 2 3 2" xfId="36353"/>
    <cellStyle name="输入 7 3 2 3 2 2" xfId="36355"/>
    <cellStyle name="输入 7 3 2 3 3" xfId="36357"/>
    <cellStyle name="输入 7 3 2 3 3 2" xfId="36359"/>
    <cellStyle name="输入 7 3 2 3 4" xfId="36361"/>
    <cellStyle name="输入 7 3 2 4" xfId="36363"/>
    <cellStyle name="输入 7 3 2 4 2" xfId="36365"/>
    <cellStyle name="输入 7 3 2 5" xfId="36367"/>
    <cellStyle name="输入 7 3 3" xfId="36369"/>
    <cellStyle name="输入 7 3 3 2" xfId="36371"/>
    <cellStyle name="输入 7 3 3 2 2" xfId="36373"/>
    <cellStyle name="输入 7 3 3 3" xfId="10301"/>
    <cellStyle name="输入 7 3 3 3 2" xfId="36375"/>
    <cellStyle name="输入 7 3 3 4" xfId="36377"/>
    <cellStyle name="输入 7 3 3 4 2" xfId="36379"/>
    <cellStyle name="输入 7 3 3 5" xfId="36381"/>
    <cellStyle name="输入 7 3 4" xfId="36383"/>
    <cellStyle name="输入 7 3 4 2" xfId="1789"/>
    <cellStyle name="输入 7 3 4 2 2" xfId="36385"/>
    <cellStyle name="输入 7 3 4 3" xfId="16401"/>
    <cellStyle name="输入 7 3 4 3 2" xfId="36387"/>
    <cellStyle name="输入 7 3 4 4" xfId="12160"/>
    <cellStyle name="输入 7 3 5" xfId="36389"/>
    <cellStyle name="输入 7 3 5 2" xfId="36391"/>
    <cellStyle name="输入 7 3 6" xfId="36393"/>
    <cellStyle name="输入 7 3 7" xfId="36395"/>
    <cellStyle name="输入 7 4" xfId="36397"/>
    <cellStyle name="输入 7 4 2" xfId="36399"/>
    <cellStyle name="输入 7 4 2 2" xfId="36401"/>
    <cellStyle name="输入 7 4 2 2 2" xfId="36403"/>
    <cellStyle name="输入 7 4 2 3" xfId="10315"/>
    <cellStyle name="输入 7 4 2 3 2" xfId="36405"/>
    <cellStyle name="输入 7 4 2 4" xfId="36407"/>
    <cellStyle name="输入 7 4 2 4 2" xfId="36409"/>
    <cellStyle name="输入 7 4 2 5" xfId="36411"/>
    <cellStyle name="输入 7 4 3" xfId="36413"/>
    <cellStyle name="输入 7 4 3 2" xfId="36415"/>
    <cellStyle name="输入 7 4 3 2 2" xfId="36417"/>
    <cellStyle name="输入 7 4 3 3" xfId="36419"/>
    <cellStyle name="输入 7 4 3 3 2" xfId="36421"/>
    <cellStyle name="输入 7 4 3 4" xfId="36423"/>
    <cellStyle name="输入 7 4 4" xfId="36425"/>
    <cellStyle name="输入 7 4 4 2" xfId="36427"/>
    <cellStyle name="输入 7 4 5" xfId="36429"/>
    <cellStyle name="输入 7 5" xfId="36431"/>
    <cellStyle name="输入 7 5 2" xfId="36433"/>
    <cellStyle name="输入 7 5 2 2" xfId="36435"/>
    <cellStyle name="输入 7 5 2 2 2" xfId="36437"/>
    <cellStyle name="输入 7 5 2 3" xfId="36439"/>
    <cellStyle name="输入 7 5 2 3 2" xfId="36441"/>
    <cellStyle name="输入 7 5 2 4" xfId="36443"/>
    <cellStyle name="输入 7 5 2 4 2" xfId="36445"/>
    <cellStyle name="输入 7 5 2 5" xfId="36447"/>
    <cellStyle name="输入 7 5 3" xfId="36449"/>
    <cellStyle name="输入 7 5 3 2" xfId="36451"/>
    <cellStyle name="输入 7 5 3 2 2" xfId="36453"/>
    <cellStyle name="输入 7 5 3 3" xfId="36455"/>
    <cellStyle name="输入 7 5 3 3 2" xfId="36457"/>
    <cellStyle name="输入 7 5 3 4" xfId="36459"/>
    <cellStyle name="输入 7 5 4" xfId="36461"/>
    <cellStyle name="输入 7 5 4 2" xfId="36463"/>
    <cellStyle name="输入 7 5 5" xfId="36465"/>
    <cellStyle name="输入 7 6" xfId="36467"/>
    <cellStyle name="输入 7 6 2" xfId="36469"/>
    <cellStyle name="输入 7 6 2 2" xfId="36471"/>
    <cellStyle name="输入 7 6 3" xfId="36473"/>
    <cellStyle name="输入 7 6 3 2" xfId="36475"/>
    <cellStyle name="输入 7 6 4" xfId="36477"/>
    <cellStyle name="输入 7 6 4 2" xfId="36479"/>
    <cellStyle name="输入 7 6 5" xfId="36481"/>
    <cellStyle name="输入 7 7" xfId="36483"/>
    <cellStyle name="输入 7 7 2" xfId="36485"/>
    <cellStyle name="输入 7 7 2 2" xfId="36487"/>
    <cellStyle name="输入 7 7 3" xfId="36489"/>
    <cellStyle name="输入 7 7 3 2" xfId="36491"/>
    <cellStyle name="输入 7 7 4" xfId="36493"/>
    <cellStyle name="输入 7 7 4 2" xfId="36495"/>
    <cellStyle name="输入 7 7 5" xfId="36497"/>
    <cellStyle name="输入 7 8" xfId="36498"/>
    <cellStyle name="输入 7 8 2" xfId="10424"/>
    <cellStyle name="输入 7 8 2 2" xfId="36499"/>
    <cellStyle name="输入 7 8 3" xfId="10427"/>
    <cellStyle name="输入 7 8 3 2" xfId="36500"/>
    <cellStyle name="输入 7 8 4" xfId="10430"/>
    <cellStyle name="输入 7 8 4 2" xfId="36501"/>
    <cellStyle name="输入 7 8 5" xfId="10433"/>
    <cellStyle name="输入 7 9" xfId="36502"/>
    <cellStyle name="输入 8" xfId="36503"/>
    <cellStyle name="输入 8 2" xfId="2231"/>
    <cellStyle name="输入 8 2 2" xfId="4822"/>
    <cellStyle name="输入 8 2 2 2" xfId="36504"/>
    <cellStyle name="输入 8 2 2 2 2" xfId="36505"/>
    <cellStyle name="输入 8 2 2 2 2 2" xfId="36506"/>
    <cellStyle name="输入 8 2 2 2 3" xfId="36507"/>
    <cellStyle name="输入 8 2 2 2 3 2" xfId="36508"/>
    <cellStyle name="输入 8 2 2 2 4" xfId="36509"/>
    <cellStyle name="输入 8 2 2 2 4 2" xfId="36510"/>
    <cellStyle name="输入 8 2 2 2 5" xfId="36511"/>
    <cellStyle name="输入 8 2 2 3" xfId="36512"/>
    <cellStyle name="输入 8 2 2 3 2" xfId="36513"/>
    <cellStyle name="输入 8 2 2 3 2 2" xfId="36514"/>
    <cellStyle name="输入 8 2 2 3 3" xfId="36515"/>
    <cellStyle name="输入 8 2 2 3 3 2" xfId="36516"/>
    <cellStyle name="输入 8 2 2 3 4" xfId="36517"/>
    <cellStyle name="输入 8 2 2 4" xfId="36518"/>
    <cellStyle name="输入 8 2 2 4 2" xfId="36519"/>
    <cellStyle name="输入 8 2 2 5" xfId="36520"/>
    <cellStyle name="输入 8 2 3" xfId="36521"/>
    <cellStyle name="输入 8 2 3 2" xfId="36522"/>
    <cellStyle name="输入 8 2 3 2 2" xfId="36523"/>
    <cellStyle name="输入 8 2 3 3" xfId="36524"/>
    <cellStyle name="输入 8 2 3 3 2" xfId="36525"/>
    <cellStyle name="输入 8 2 3 4" xfId="36526"/>
    <cellStyle name="输入 8 2 3 4 2" xfId="12193"/>
    <cellStyle name="输入 8 2 3 5" xfId="36527"/>
    <cellStyle name="输入 8 2 4" xfId="36528"/>
    <cellStyle name="输入 8 2 4 2" xfId="36529"/>
    <cellStyle name="输入 8 2 4 2 2" xfId="25486"/>
    <cellStyle name="输入 8 2 4 3" xfId="36530"/>
    <cellStyle name="输入 8 2 4 3 2" xfId="25493"/>
    <cellStyle name="输入 8 2 4 4" xfId="36531"/>
    <cellStyle name="输入 8 2 5" xfId="36532"/>
    <cellStyle name="输入 8 2 5 2" xfId="36533"/>
    <cellStyle name="输入 8 2 6" xfId="36534"/>
    <cellStyle name="输入 8 3" xfId="4825"/>
    <cellStyle name="输入 8 3 2" xfId="36535"/>
    <cellStyle name="输入 8 3 2 2" xfId="36536"/>
    <cellStyle name="输入 8 3 2 2 2" xfId="36537"/>
    <cellStyle name="输入 8 3 2 2 2 2" xfId="36538"/>
    <cellStyle name="输入 8 3 2 2 3" xfId="36539"/>
    <cellStyle name="输入 8 3 2 2 3 2" xfId="36540"/>
    <cellStyle name="输入 8 3 2 2 4" xfId="36541"/>
    <cellStyle name="输入 8 3 2 2 4 2" xfId="36542"/>
    <cellStyle name="输入 8 3 2 2 5" xfId="36543"/>
    <cellStyle name="输入 8 3 2 3" xfId="36544"/>
    <cellStyle name="输入 8 3 2 3 2" xfId="36545"/>
    <cellStyle name="输入 8 3 2 3 2 2" xfId="36546"/>
    <cellStyle name="输入 8 3 2 3 3" xfId="36547"/>
    <cellStyle name="输入 8 3 2 3 3 2" xfId="14243"/>
    <cellStyle name="输入 8 3 2 3 4" xfId="36548"/>
    <cellStyle name="输入 8 3 2 4" xfId="173"/>
    <cellStyle name="输入 8 3 2 4 2" xfId="220"/>
    <cellStyle name="输入 8 3 2 5" xfId="497"/>
    <cellStyle name="输入 8 3 3" xfId="36549"/>
    <cellStyle name="输入 8 3 3 2" xfId="36550"/>
    <cellStyle name="输入 8 3 3 2 2" xfId="36551"/>
    <cellStyle name="输入 8 3 3 3" xfId="36552"/>
    <cellStyle name="输入 8 3 3 3 2" xfId="36553"/>
    <cellStyle name="输入 8 3 3 4" xfId="36554"/>
    <cellStyle name="输入 8 3 3 4 2" xfId="36555"/>
    <cellStyle name="输入 8 3 3 5" xfId="36556"/>
    <cellStyle name="输入 8 3 4" xfId="36557"/>
    <cellStyle name="输入 8 3 4 2" xfId="36558"/>
    <cellStyle name="输入 8 3 4 2 2" xfId="36559"/>
    <cellStyle name="输入 8 3 4 3" xfId="36560"/>
    <cellStyle name="输入 8 3 4 3 2" xfId="36561"/>
    <cellStyle name="输入 8 3 4 4" xfId="36562"/>
    <cellStyle name="输入 8 3 5" xfId="36563"/>
    <cellStyle name="输入 8 3 5 2" xfId="36564"/>
    <cellStyle name="输入 8 3 6" xfId="36565"/>
    <cellStyle name="输入 8 4" xfId="36566"/>
    <cellStyle name="输入 8 4 2" xfId="36567"/>
    <cellStyle name="输入 8 4 2 2" xfId="36568"/>
    <cellStyle name="输入 8 4 2 2 2" xfId="36569"/>
    <cellStyle name="输入 8 4 2 3" xfId="36570"/>
    <cellStyle name="输入 8 4 2 3 2" xfId="36571"/>
    <cellStyle name="输入 8 4 2 4" xfId="36572"/>
    <cellStyle name="输入 8 4 2 4 2" xfId="36573"/>
    <cellStyle name="输入 8 4 2 5" xfId="36574"/>
    <cellStyle name="输入 8 4 3" xfId="36575"/>
    <cellStyle name="输入 8 4 3 2" xfId="36576"/>
    <cellStyle name="输入 8 4 3 2 2" xfId="36577"/>
    <cellStyle name="输入 8 4 3 3" xfId="36578"/>
    <cellStyle name="输入 8 4 3 3 2" xfId="36579"/>
    <cellStyle name="输入 8 4 3 4" xfId="36580"/>
    <cellStyle name="输入 8 4 4" xfId="36581"/>
    <cellStyle name="输入 8 4 4 2" xfId="36582"/>
    <cellStyle name="输入 8 4 5" xfId="36583"/>
    <cellStyle name="输入 8 5" xfId="36584"/>
    <cellStyle name="输入 8 5 2" xfId="36585"/>
    <cellStyle name="输入 8 5 2 2" xfId="36586"/>
    <cellStyle name="输入 8 5 2 2 2" xfId="36587"/>
    <cellStyle name="输入 8 5 2 3" xfId="36588"/>
    <cellStyle name="输入 8 5 2 3 2" xfId="36589"/>
    <cellStyle name="输入 8 5 2 4" xfId="36590"/>
    <cellStyle name="输入 8 5 2 4 2" xfId="36591"/>
    <cellStyle name="输入 8 5 2 5" xfId="36592"/>
    <cellStyle name="输入 8 5 3" xfId="36593"/>
    <cellStyle name="输入 8 5 3 2" xfId="36594"/>
    <cellStyle name="输入 8 5 3 2 2" xfId="36595"/>
    <cellStyle name="输入 8 5 3 3" xfId="36596"/>
    <cellStyle name="输入 8 5 3 3 2" xfId="36597"/>
    <cellStyle name="输入 8 5 3 4" xfId="36598"/>
    <cellStyle name="输入 8 5 4" xfId="36599"/>
    <cellStyle name="输入 8 5 4 2" xfId="36600"/>
    <cellStyle name="输入 8 5 5" xfId="36601"/>
    <cellStyle name="输入 8 6" xfId="36602"/>
    <cellStyle name="输入 8 6 2" xfId="36603"/>
    <cellStyle name="输入 8 6 2 2" xfId="36604"/>
    <cellStyle name="输入 8 6 3" xfId="36605"/>
    <cellStyle name="输入 8 6 3 2" xfId="36606"/>
    <cellStyle name="输入 8 6 4" xfId="36607"/>
    <cellStyle name="输入 8 6 4 2" xfId="36608"/>
    <cellStyle name="输入 8 6 5" xfId="36609"/>
    <cellStyle name="输入 8 7" xfId="36610"/>
    <cellStyle name="输入 8 7 2" xfId="36611"/>
    <cellStyle name="输入 8 7 2 2" xfId="36612"/>
    <cellStyle name="输入 8 7 3" xfId="36613"/>
    <cellStyle name="输入 8 7 3 2" xfId="36614"/>
    <cellStyle name="输入 8 7 4" xfId="36615"/>
    <cellStyle name="输入 8 7 4 2" xfId="36616"/>
    <cellStyle name="输入 8 7 5" xfId="36617"/>
    <cellStyle name="输入 8 8" xfId="36618"/>
    <cellStyle name="输入 8 8 2" xfId="36619"/>
    <cellStyle name="输入 8 8 2 2" xfId="36620"/>
    <cellStyle name="输入 8 8 3" xfId="36621"/>
    <cellStyle name="输入 8 8 3 2" xfId="36622"/>
    <cellStyle name="输入 8 8 4" xfId="36623"/>
    <cellStyle name="输入 8 8 4 2" xfId="36624"/>
    <cellStyle name="输入 8 8 5" xfId="36625"/>
    <cellStyle name="输入 8 9" xfId="36626"/>
    <cellStyle name="样式 1" xfId="36627"/>
    <cellStyle name="样式 1 10" xfId="13206"/>
    <cellStyle name="样式 1 10 2" xfId="13208"/>
    <cellStyle name="样式 1 10 3" xfId="36628"/>
    <cellStyle name="样式 1 10 4" xfId="36629"/>
    <cellStyle name="样式 1 11" xfId="13211"/>
    <cellStyle name="样式 1 11 2" xfId="32082"/>
    <cellStyle name="样式 1 11 3" xfId="36630"/>
    <cellStyle name="样式 1 11 4" xfId="36631"/>
    <cellStyle name="样式 1 12" xfId="36632"/>
    <cellStyle name="样式 1 12 2" xfId="36633"/>
    <cellStyle name="样式 1 12 2 2" xfId="36634"/>
    <cellStyle name="样式 1 12 3" xfId="36635"/>
    <cellStyle name="样式 1 12 4" xfId="36636"/>
    <cellStyle name="样式 1 13" xfId="12967"/>
    <cellStyle name="样式 1 13 2" xfId="36637"/>
    <cellStyle name="样式 1 13 3" xfId="36638"/>
    <cellStyle name="样式 1 14" xfId="36639"/>
    <cellStyle name="样式 1 14 2" xfId="36640"/>
    <cellStyle name="样式 1 14 3" xfId="36641"/>
    <cellStyle name="样式 1 15" xfId="36643"/>
    <cellStyle name="样式 1 15 2" xfId="36645"/>
    <cellStyle name="样式 1 15 3" xfId="36647"/>
    <cellStyle name="样式 1 16" xfId="28723"/>
    <cellStyle name="样式 1 16 2" xfId="36649"/>
    <cellStyle name="样式 1 16 3" xfId="36651"/>
    <cellStyle name="样式 1 17" xfId="28727"/>
    <cellStyle name="样式 1 17 2" xfId="36653"/>
    <cellStyle name="样式 1 17 3" xfId="36655"/>
    <cellStyle name="样式 1 18" xfId="36657"/>
    <cellStyle name="样式 1 18 2" xfId="36659"/>
    <cellStyle name="样式 1 18 3" xfId="36661"/>
    <cellStyle name="样式 1 19" xfId="36663"/>
    <cellStyle name="样式 1 19 2" xfId="36665"/>
    <cellStyle name="样式 1 19 3" xfId="36667"/>
    <cellStyle name="样式 1 2" xfId="36668"/>
    <cellStyle name="样式 1 2 2" xfId="36669"/>
    <cellStyle name="样式 1 2 2 2" xfId="36670"/>
    <cellStyle name="样式 1 2 2 3" xfId="36671"/>
    <cellStyle name="样式 1 2 3" xfId="36672"/>
    <cellStyle name="样式 1 2 4" xfId="36673"/>
    <cellStyle name="样式 1 2 5" xfId="36674"/>
    <cellStyle name="样式 1 20" xfId="36642"/>
    <cellStyle name="样式 1 20 2" xfId="36644"/>
    <cellStyle name="样式 1 20 3" xfId="36646"/>
    <cellStyle name="样式 1 21" xfId="28722"/>
    <cellStyle name="样式 1 21 2" xfId="36648"/>
    <cellStyle name="样式 1 21 3" xfId="36650"/>
    <cellStyle name="样式 1 22" xfId="28726"/>
    <cellStyle name="样式 1 22 2" xfId="36652"/>
    <cellStyle name="样式 1 22 3" xfId="36654"/>
    <cellStyle name="样式 1 23" xfId="36656"/>
    <cellStyle name="样式 1 23 2" xfId="36658"/>
    <cellStyle name="样式 1 23 3" xfId="36660"/>
    <cellStyle name="样式 1 24" xfId="36662"/>
    <cellStyle name="样式 1 24 2" xfId="36664"/>
    <cellStyle name="样式 1 24 3" xfId="36666"/>
    <cellStyle name="样式 1 25" xfId="36676"/>
    <cellStyle name="样式 1 25 2" xfId="36678"/>
    <cellStyle name="样式 1 25 3" xfId="36680"/>
    <cellStyle name="样式 1 26" xfId="36682"/>
    <cellStyle name="样式 1 26 2" xfId="36684"/>
    <cellStyle name="样式 1 26 3" xfId="36686"/>
    <cellStyle name="样式 1 27" xfId="36688"/>
    <cellStyle name="样式 1 27 2" xfId="36690"/>
    <cellStyle name="样式 1 27 3" xfId="36692"/>
    <cellStyle name="样式 1 28" xfId="4019"/>
    <cellStyle name="样式 1 28 2" xfId="36694"/>
    <cellStyle name="样式 1 28 3" xfId="36696"/>
    <cellStyle name="样式 1 29" xfId="36698"/>
    <cellStyle name="样式 1 29 2" xfId="36700"/>
    <cellStyle name="样式 1 29 3" xfId="36702"/>
    <cellStyle name="样式 1 3" xfId="36703"/>
    <cellStyle name="样式 1 3 2" xfId="14674"/>
    <cellStyle name="样式 1 3 3" xfId="36704"/>
    <cellStyle name="样式 1 3 4" xfId="36705"/>
    <cellStyle name="样式 1 30" xfId="36675"/>
    <cellStyle name="样式 1 30 2" xfId="36677"/>
    <cellStyle name="样式 1 30 3" xfId="36679"/>
    <cellStyle name="样式 1 31" xfId="36681"/>
    <cellStyle name="样式 1 31 2" xfId="36683"/>
    <cellStyle name="样式 1 31 3" xfId="36685"/>
    <cellStyle name="样式 1 32" xfId="36687"/>
    <cellStyle name="样式 1 32 2" xfId="36689"/>
    <cellStyle name="样式 1 32 3" xfId="36691"/>
    <cellStyle name="样式 1 33" xfId="4018"/>
    <cellStyle name="样式 1 33 2" xfId="36693"/>
    <cellStyle name="样式 1 33 3" xfId="36695"/>
    <cellStyle name="样式 1 34" xfId="36697"/>
    <cellStyle name="样式 1 34 2" xfId="36699"/>
    <cellStyle name="样式 1 34 3" xfId="36701"/>
    <cellStyle name="样式 1 35" xfId="36707"/>
    <cellStyle name="样式 1 35 2" xfId="36709"/>
    <cellStyle name="样式 1 35 3" xfId="36711"/>
    <cellStyle name="样式 1 36" xfId="36713"/>
    <cellStyle name="样式 1 36 2" xfId="36715"/>
    <cellStyle name="样式 1 36 3" xfId="36717"/>
    <cellStyle name="样式 1 37" xfId="36719"/>
    <cellStyle name="样式 1 37 2" xfId="22758"/>
    <cellStyle name="样式 1 37 3" xfId="36721"/>
    <cellStyle name="样式 1 38" xfId="36723"/>
    <cellStyle name="样式 1 38 2" xfId="36725"/>
    <cellStyle name="样式 1 38 3" xfId="36727"/>
    <cellStyle name="样式 1 39" xfId="36729"/>
    <cellStyle name="样式 1 39 2" xfId="36731"/>
    <cellStyle name="样式 1 39 3" xfId="36733"/>
    <cellStyle name="样式 1 4" xfId="36734"/>
    <cellStyle name="样式 1 4 2" xfId="36735"/>
    <cellStyle name="样式 1 4 3" xfId="36736"/>
    <cellStyle name="样式 1 4 4" xfId="36737"/>
    <cellStyle name="样式 1 40" xfId="36706"/>
    <cellStyle name="样式 1 40 2" xfId="36708"/>
    <cellStyle name="样式 1 40 3" xfId="36710"/>
    <cellStyle name="样式 1 41" xfId="36712"/>
    <cellStyle name="样式 1 41 2" xfId="36714"/>
    <cellStyle name="样式 1 41 3" xfId="36716"/>
    <cellStyle name="样式 1 42" xfId="36718"/>
    <cellStyle name="样式 1 42 2" xfId="22757"/>
    <cellStyle name="样式 1 42 3" xfId="36720"/>
    <cellStyle name="样式 1 43" xfId="36722"/>
    <cellStyle name="样式 1 43 2" xfId="36724"/>
    <cellStyle name="样式 1 43 3" xfId="36726"/>
    <cellStyle name="样式 1 44" xfId="36728"/>
    <cellStyle name="样式 1 44 2" xfId="36730"/>
    <cellStyle name="样式 1 44 3" xfId="36732"/>
    <cellStyle name="样式 1 45" xfId="36739"/>
    <cellStyle name="样式 1 45 2" xfId="36741"/>
    <cellStyle name="样式 1 45 3" xfId="36743"/>
    <cellStyle name="样式 1 46" xfId="36745"/>
    <cellStyle name="样式 1 46 2" xfId="36747"/>
    <cellStyle name="样式 1 46 3" xfId="36749"/>
    <cellStyle name="样式 1 47" xfId="36751"/>
    <cellStyle name="样式 1 47 2" xfId="36753"/>
    <cellStyle name="样式 1 47 3" xfId="36755"/>
    <cellStyle name="样式 1 48" xfId="25079"/>
    <cellStyle name="样式 1 48 2" xfId="36757"/>
    <cellStyle name="样式 1 48 3" xfId="36759"/>
    <cellStyle name="样式 1 49" xfId="6001"/>
    <cellStyle name="样式 1 49 2" xfId="36761"/>
    <cellStyle name="样式 1 49 3" xfId="36763"/>
    <cellStyle name="样式 1 5" xfId="36764"/>
    <cellStyle name="样式 1 5 2" xfId="36765"/>
    <cellStyle name="样式 1 5 3" xfId="36766"/>
    <cellStyle name="样式 1 5 4" xfId="36767"/>
    <cellStyle name="样式 1 50" xfId="36738"/>
    <cellStyle name="样式 1 50 2" xfId="36740"/>
    <cellStyle name="样式 1 50 3" xfId="36742"/>
    <cellStyle name="样式 1 51" xfId="36744"/>
    <cellStyle name="样式 1 51 2" xfId="36746"/>
    <cellStyle name="样式 1 51 3" xfId="36748"/>
    <cellStyle name="样式 1 52" xfId="36750"/>
    <cellStyle name="样式 1 52 2" xfId="36752"/>
    <cellStyle name="样式 1 52 3" xfId="36754"/>
    <cellStyle name="样式 1 53" xfId="25078"/>
    <cellStyle name="样式 1 53 2" xfId="36756"/>
    <cellStyle name="样式 1 53 3" xfId="36758"/>
    <cellStyle name="样式 1 54" xfId="6000"/>
    <cellStyle name="样式 1 54 2" xfId="36760"/>
    <cellStyle name="样式 1 54 3" xfId="36762"/>
    <cellStyle name="样式 1 55" xfId="36768"/>
    <cellStyle name="样式 1 55 2" xfId="36769"/>
    <cellStyle name="样式 1 56" xfId="36770"/>
    <cellStyle name="样式 1 57" xfId="36771"/>
    <cellStyle name="样式 1 6" xfId="36772"/>
    <cellStyle name="样式 1 6 2" xfId="36773"/>
    <cellStyle name="样式 1 6 3" xfId="36774"/>
    <cellStyle name="样式 1 6 4" xfId="36775"/>
    <cellStyle name="样式 1 7" xfId="36776"/>
    <cellStyle name="样式 1 7 2" xfId="36777"/>
    <cellStyle name="样式 1 7 3" xfId="36778"/>
    <cellStyle name="样式 1 7 4" xfId="36779"/>
    <cellStyle name="样式 1 8" xfId="36780"/>
    <cellStyle name="样式 1 8 2" xfId="36781"/>
    <cellStyle name="样式 1 8 3" xfId="36782"/>
    <cellStyle name="样式 1 8 4" xfId="36783"/>
    <cellStyle name="样式 1 9" xfId="36784"/>
    <cellStyle name="样式 1 9 2" xfId="36785"/>
    <cellStyle name="样式 1 9 3" xfId="36786"/>
    <cellStyle name="样式 1 9 4" xfId="36787"/>
    <cellStyle name="样式 1_套内" xfId="36788"/>
    <cellStyle name="样式 2" xfId="36789"/>
    <cellStyle name="样式 2 10" xfId="36790"/>
    <cellStyle name="样式 2 10 2" xfId="36791"/>
    <cellStyle name="样式 2 10 3" xfId="36792"/>
    <cellStyle name="样式 2 11" xfId="36793"/>
    <cellStyle name="样式 2 11 2" xfId="36794"/>
    <cellStyle name="样式 2 11 3" xfId="36795"/>
    <cellStyle name="样式 2 12" xfId="36796"/>
    <cellStyle name="样式 2 12 2" xfId="36797"/>
    <cellStyle name="样式 2 12 3" xfId="36798"/>
    <cellStyle name="样式 2 13" xfId="36799"/>
    <cellStyle name="样式 2 13 2" xfId="36800"/>
    <cellStyle name="样式 2 13 3" xfId="36801"/>
    <cellStyle name="样式 2 14" xfId="36802"/>
    <cellStyle name="样式 2 14 2" xfId="36803"/>
    <cellStyle name="样式 2 14 3" xfId="36804"/>
    <cellStyle name="样式 2 15" xfId="36806"/>
    <cellStyle name="样式 2 15 2" xfId="36808"/>
    <cellStyle name="样式 2 15 3" xfId="36810"/>
    <cellStyle name="样式 2 16" xfId="21963"/>
    <cellStyle name="样式 2 16 2" xfId="21969"/>
    <cellStyle name="样式 2 16 3" xfId="22305"/>
    <cellStyle name="样式 2 17" xfId="21974"/>
    <cellStyle name="样式 2 17 2" xfId="21980"/>
    <cellStyle name="样式 2 17 3" xfId="22318"/>
    <cellStyle name="样式 2 18" xfId="36812"/>
    <cellStyle name="样式 2 18 2" xfId="22331"/>
    <cellStyle name="样式 2 18 3" xfId="36814"/>
    <cellStyle name="样式 2 19" xfId="36816"/>
    <cellStyle name="样式 2 19 2" xfId="36818"/>
    <cellStyle name="样式 2 19 3" xfId="36820"/>
    <cellStyle name="样式 2 2" xfId="36821"/>
    <cellStyle name="样式 2 2 2" xfId="36822"/>
    <cellStyle name="样式 2 2 3" xfId="36823"/>
    <cellStyle name="样式 2 20" xfId="36805"/>
    <cellStyle name="样式 2 20 2" xfId="36807"/>
    <cellStyle name="样式 2 20 3" xfId="36809"/>
    <cellStyle name="样式 2 21" xfId="21962"/>
    <cellStyle name="样式 2 21 2" xfId="21968"/>
    <cellStyle name="样式 2 21 3" xfId="22304"/>
    <cellStyle name="样式 2 22" xfId="21973"/>
    <cellStyle name="样式 2 22 2" xfId="21979"/>
    <cellStyle name="样式 2 22 3" xfId="22317"/>
    <cellStyle name="样式 2 23" xfId="36811"/>
    <cellStyle name="样式 2 23 2" xfId="22330"/>
    <cellStyle name="样式 2 23 3" xfId="36813"/>
    <cellStyle name="样式 2 24" xfId="36815"/>
    <cellStyle name="样式 2 24 2" xfId="36817"/>
    <cellStyle name="样式 2 24 3" xfId="36819"/>
    <cellStyle name="样式 2 25" xfId="36825"/>
    <cellStyle name="样式 2 25 2" xfId="36827"/>
    <cellStyle name="样式 2 25 3" xfId="36829"/>
    <cellStyle name="样式 2 26" xfId="36831"/>
    <cellStyle name="样式 2 26 2" xfId="36833"/>
    <cellStyle name="样式 2 26 3" xfId="36835"/>
    <cellStyle name="样式 2 27" xfId="36837"/>
    <cellStyle name="样式 2 27 2" xfId="36839"/>
    <cellStyle name="样式 2 27 3" xfId="36841"/>
    <cellStyle name="样式 2 28" xfId="7010"/>
    <cellStyle name="样式 2 28 2" xfId="36843"/>
    <cellStyle name="样式 2 28 3" xfId="36845"/>
    <cellStyle name="样式 2 29" xfId="36847"/>
    <cellStyle name="样式 2 29 2" xfId="36848"/>
    <cellStyle name="样式 2 29 3" xfId="36849"/>
    <cellStyle name="样式 2 3" xfId="36850"/>
    <cellStyle name="样式 2 3 2" xfId="24106"/>
    <cellStyle name="样式 2 3 3" xfId="24109"/>
    <cellStyle name="样式 2 30" xfId="36824"/>
    <cellStyle name="样式 2 30 2" xfId="36826"/>
    <cellStyle name="样式 2 30 3" xfId="36828"/>
    <cellStyle name="样式 2 31" xfId="36830"/>
    <cellStyle name="样式 2 31 2" xfId="36832"/>
    <cellStyle name="样式 2 31 3" xfId="36834"/>
    <cellStyle name="样式 2 32" xfId="36836"/>
    <cellStyle name="样式 2 32 2" xfId="36838"/>
    <cellStyle name="样式 2 32 3" xfId="36840"/>
    <cellStyle name="样式 2 33" xfId="7009"/>
    <cellStyle name="样式 2 33 2" xfId="36842"/>
    <cellStyle name="样式 2 33 3" xfId="36844"/>
    <cellStyle name="样式 2 34" xfId="36846"/>
    <cellStyle name="样式 2 35" xfId="36851"/>
    <cellStyle name="样式 2 36" xfId="36852"/>
    <cellStyle name="样式 2 4" xfId="36854"/>
    <cellStyle name="样式 2 4 2" xfId="24118"/>
    <cellStyle name="样式 2 4 3" xfId="24120"/>
    <cellStyle name="样式 2 5" xfId="36855"/>
    <cellStyle name="样式 2 5 2" xfId="24125"/>
    <cellStyle name="样式 2 5 3" xfId="36856"/>
    <cellStyle name="样式 2 6" xfId="36857"/>
    <cellStyle name="样式 2 6 2" xfId="24132"/>
    <cellStyle name="样式 2 6 3" xfId="36858"/>
    <cellStyle name="样式 2 7" xfId="36859"/>
    <cellStyle name="样式 2 7 2" xfId="23375"/>
    <cellStyle name="样式 2 7 3" xfId="36860"/>
    <cellStyle name="样式 2 8" xfId="36861"/>
    <cellStyle name="样式 2 8 2" xfId="24143"/>
    <cellStyle name="样式 2 8 3" xfId="36862"/>
    <cellStyle name="样式 2 9" xfId="36863"/>
    <cellStyle name="样式 2 9 2" xfId="24151"/>
    <cellStyle name="样式 2 9 3" xfId="36864"/>
    <cellStyle name="一般_Gl" xfId="36865"/>
    <cellStyle name="着色 1" xfId="35839"/>
    <cellStyle name="着色 2" xfId="36866"/>
    <cellStyle name="着色 3" xfId="30741"/>
    <cellStyle name="着色 4" xfId="36867"/>
    <cellStyle name="着色 5" xfId="36868"/>
    <cellStyle name="着色 6" xfId="36869"/>
    <cellStyle name="注释 2" xfId="21882"/>
    <cellStyle name="注释 2 10" xfId="36870"/>
    <cellStyle name="注释 2 10 2" xfId="36871"/>
    <cellStyle name="注释 2 10 2 2" xfId="36872"/>
    <cellStyle name="注释 2 10 2 2 2" xfId="36873"/>
    <cellStyle name="注释 2 10 2 2 2 2" xfId="36874"/>
    <cellStyle name="注释 2 10 2 2 3" xfId="36875"/>
    <cellStyle name="注释 2 10 2 2 3 2" xfId="36876"/>
    <cellStyle name="注释 2 10 2 2 4" xfId="36877"/>
    <cellStyle name="注释 2 10 2 2 4 2" xfId="36878"/>
    <cellStyle name="注释 2 10 2 2 5" xfId="36879"/>
    <cellStyle name="注释 2 10 2 3" xfId="36880"/>
    <cellStyle name="注释 2 10 2 3 2" xfId="36881"/>
    <cellStyle name="注释 2 10 2 3 2 2" xfId="36882"/>
    <cellStyle name="注释 2 10 2 3 3" xfId="36883"/>
    <cellStyle name="注释 2 10 2 3 3 2" xfId="36884"/>
    <cellStyle name="注释 2 10 2 3 4" xfId="36885"/>
    <cellStyle name="注释 2 10 2 4" xfId="36886"/>
    <cellStyle name="注释 2 10 2 4 2" xfId="36887"/>
    <cellStyle name="注释 2 10 2 5" xfId="36888"/>
    <cellStyle name="注释 2 10 3" xfId="36889"/>
    <cellStyle name="注释 2 10 3 2" xfId="36890"/>
    <cellStyle name="注释 2 10 3 2 2" xfId="36891"/>
    <cellStyle name="注释 2 10 3 3" xfId="36892"/>
    <cellStyle name="注释 2 10 3 3 2" xfId="36893"/>
    <cellStyle name="注释 2 10 3 4" xfId="36894"/>
    <cellStyle name="注释 2 10 3 4 2" xfId="36895"/>
    <cellStyle name="注释 2 10 3 5" xfId="36896"/>
    <cellStyle name="注释 2 10 4" xfId="36897"/>
    <cellStyle name="注释 2 10 4 2" xfId="36898"/>
    <cellStyle name="注释 2 10 4 2 2" xfId="36899"/>
    <cellStyle name="注释 2 10 4 3" xfId="36900"/>
    <cellStyle name="注释 2 10 4 3 2" xfId="36901"/>
    <cellStyle name="注释 2 10 4 4" xfId="36902"/>
    <cellStyle name="注释 2 10 5" xfId="36903"/>
    <cellStyle name="注释 2 10 5 2" xfId="36904"/>
    <cellStyle name="注释 2 10 6" xfId="36905"/>
    <cellStyle name="注释 2 10 7" xfId="36906"/>
    <cellStyle name="注释 2 11" xfId="36907"/>
    <cellStyle name="注释 2 11 2" xfId="36908"/>
    <cellStyle name="注释 2 11 2 2" xfId="36909"/>
    <cellStyle name="注释 2 11 2 2 2" xfId="36910"/>
    <cellStyle name="注释 2 11 2 2 2 2" xfId="36911"/>
    <cellStyle name="注释 2 11 2 2 3" xfId="36912"/>
    <cellStyle name="注释 2 11 2 2 3 2" xfId="36913"/>
    <cellStyle name="注释 2 11 2 2 4" xfId="36914"/>
    <cellStyle name="注释 2 11 2 2 4 2" xfId="36915"/>
    <cellStyle name="注释 2 11 2 2 5" xfId="36916"/>
    <cellStyle name="注释 2 11 2 3" xfId="36917"/>
    <cellStyle name="注释 2 11 2 3 2" xfId="36918"/>
    <cellStyle name="注释 2 11 2 3 2 2" xfId="36919"/>
    <cellStyle name="注释 2 11 2 3 3" xfId="36920"/>
    <cellStyle name="注释 2 11 2 3 3 2" xfId="36921"/>
    <cellStyle name="注释 2 11 2 3 4" xfId="36922"/>
    <cellStyle name="注释 2 11 2 4" xfId="36923"/>
    <cellStyle name="注释 2 11 2 4 2" xfId="36924"/>
    <cellStyle name="注释 2 11 2 5" xfId="36925"/>
    <cellStyle name="注释 2 11 3" xfId="36926"/>
    <cellStyle name="注释 2 11 3 2" xfId="36927"/>
    <cellStyle name="注释 2 11 3 2 2" xfId="36928"/>
    <cellStyle name="注释 2 11 3 3" xfId="36929"/>
    <cellStyle name="注释 2 11 3 3 2" xfId="36930"/>
    <cellStyle name="注释 2 11 3 4" xfId="36931"/>
    <cellStyle name="注释 2 11 3 4 2" xfId="36932"/>
    <cellStyle name="注释 2 11 3 5" xfId="36933"/>
    <cellStyle name="注释 2 11 4" xfId="36934"/>
    <cellStyle name="注释 2 11 4 2" xfId="28949"/>
    <cellStyle name="注释 2 11 4 2 2" xfId="28951"/>
    <cellStyle name="注释 2 11 4 3" xfId="36935"/>
    <cellStyle name="注释 2 11 4 3 2" xfId="36936"/>
    <cellStyle name="注释 2 11 4 4" xfId="36937"/>
    <cellStyle name="注释 2 11 5" xfId="36938"/>
    <cellStyle name="注释 2 11 5 2" xfId="36939"/>
    <cellStyle name="注释 2 11 6" xfId="36940"/>
    <cellStyle name="注释 2 11 7" xfId="36941"/>
    <cellStyle name="注释 2 12" xfId="36942"/>
    <cellStyle name="注释 2 12 2" xfId="36943"/>
    <cellStyle name="注释 2 12 2 2" xfId="36944"/>
    <cellStyle name="注释 2 12 2 2 2" xfId="36945"/>
    <cellStyle name="注释 2 12 2 2 2 2" xfId="36946"/>
    <cellStyle name="注释 2 12 2 2 3" xfId="36947"/>
    <cellStyle name="注释 2 12 2 2 3 2" xfId="36948"/>
    <cellStyle name="注释 2 12 2 2 4" xfId="36949"/>
    <cellStyle name="注释 2 12 2 2 4 2" xfId="36950"/>
    <cellStyle name="注释 2 12 2 2 5" xfId="36951"/>
    <cellStyle name="注释 2 12 2 3" xfId="36952"/>
    <cellStyle name="注释 2 12 2 3 2" xfId="36953"/>
    <cellStyle name="注释 2 12 2 3 2 2" xfId="36954"/>
    <cellStyle name="注释 2 12 2 3 3" xfId="36955"/>
    <cellStyle name="注释 2 12 2 3 3 2" xfId="36956"/>
    <cellStyle name="注释 2 12 2 3 4" xfId="36957"/>
    <cellStyle name="注释 2 12 2 4" xfId="36958"/>
    <cellStyle name="注释 2 12 2 4 2" xfId="36959"/>
    <cellStyle name="注释 2 12 2 5" xfId="36960"/>
    <cellStyle name="注释 2 12 3" xfId="36961"/>
    <cellStyle name="注释 2 12 3 2" xfId="36962"/>
    <cellStyle name="注释 2 12 3 2 2" xfId="36963"/>
    <cellStyle name="注释 2 12 3 3" xfId="36964"/>
    <cellStyle name="注释 2 12 3 3 2" xfId="10981"/>
    <cellStyle name="注释 2 12 3 4" xfId="13215"/>
    <cellStyle name="注释 2 12 3 4 2" xfId="10992"/>
    <cellStyle name="注释 2 12 3 5" xfId="36965"/>
    <cellStyle name="注释 2 12 4" xfId="36966"/>
    <cellStyle name="注释 2 12 4 2" xfId="36967"/>
    <cellStyle name="注释 2 12 4 2 2" xfId="36968"/>
    <cellStyle name="注释 2 12 4 3" xfId="36969"/>
    <cellStyle name="注释 2 12 4 3 2" xfId="36970"/>
    <cellStyle name="注释 2 12 4 4" xfId="36971"/>
    <cellStyle name="注释 2 12 5" xfId="36972"/>
    <cellStyle name="注释 2 12 5 2" xfId="36973"/>
    <cellStyle name="注释 2 12 6" xfId="36974"/>
    <cellStyle name="注释 2 12 7" xfId="36975"/>
    <cellStyle name="注释 2 13" xfId="36976"/>
    <cellStyle name="注释 2 13 2" xfId="36977"/>
    <cellStyle name="注释 2 13 2 2" xfId="36979"/>
    <cellStyle name="注释 2 13 2 2 2" xfId="36980"/>
    <cellStyle name="注释 2 13 2 3" xfId="36982"/>
    <cellStyle name="注释 2 13 2 3 2" xfId="13239"/>
    <cellStyle name="注释 2 13 2 4" xfId="36983"/>
    <cellStyle name="注释 2 13 2 4 2" xfId="36984"/>
    <cellStyle name="注释 2 13 2 5" xfId="13258"/>
    <cellStyle name="注释 2 13 3" xfId="36985"/>
    <cellStyle name="注释 2 13 3 2" xfId="36987"/>
    <cellStyle name="注释 2 13 3 2 2" xfId="36988"/>
    <cellStyle name="注释 2 13 3 3" xfId="36989"/>
    <cellStyle name="注释 2 13 3 3 2" xfId="11048"/>
    <cellStyle name="注释 2 13 3 4" xfId="36990"/>
    <cellStyle name="注释 2 13 4" xfId="36991"/>
    <cellStyle name="注释 2 13 4 2" xfId="36993"/>
    <cellStyle name="注释 2 13 5" xfId="36994"/>
    <cellStyle name="注释 2 13 6" xfId="36995"/>
    <cellStyle name="注释 2 14" xfId="36996"/>
    <cellStyle name="注释 2 14 2" xfId="36997"/>
    <cellStyle name="注释 2 14 2 2" xfId="36998"/>
    <cellStyle name="注释 2 14 2 2 2" xfId="36999"/>
    <cellStyle name="注释 2 14 2 3" xfId="37000"/>
    <cellStyle name="注释 2 14 2 3 2" xfId="37001"/>
    <cellStyle name="注释 2 14 2 4" xfId="37002"/>
    <cellStyle name="注释 2 14 2 4 2" xfId="37003"/>
    <cellStyle name="注释 2 14 2 5" xfId="13316"/>
    <cellStyle name="注释 2 14 3" xfId="37004"/>
    <cellStyle name="注释 2 14 3 2" xfId="37005"/>
    <cellStyle name="注释 2 14 3 2 2" xfId="37006"/>
    <cellStyle name="注释 2 14 3 3" xfId="37007"/>
    <cellStyle name="注释 2 14 3 3 2" xfId="37008"/>
    <cellStyle name="注释 2 14 3 4" xfId="37009"/>
    <cellStyle name="注释 2 14 4" xfId="37010"/>
    <cellStyle name="注释 2 14 4 2" xfId="37011"/>
    <cellStyle name="注释 2 14 5" xfId="37012"/>
    <cellStyle name="注释 2 14 6" xfId="37013"/>
    <cellStyle name="注释 2 15" xfId="37015"/>
    <cellStyle name="注释 2 15 2" xfId="37016"/>
    <cellStyle name="注释 2 15 2 2" xfId="37017"/>
    <cellStyle name="注释 2 15 3" xfId="37018"/>
    <cellStyle name="注释 2 15 3 2" xfId="829"/>
    <cellStyle name="注释 2 15 4" xfId="37019"/>
    <cellStyle name="注释 2 15 4 2" xfId="3359"/>
    <cellStyle name="注释 2 15 5" xfId="37020"/>
    <cellStyle name="注释 2 15 6" xfId="37021"/>
    <cellStyle name="注释 2 16" xfId="37022"/>
    <cellStyle name="注释 2 16 2" xfId="37023"/>
    <cellStyle name="注释 2 16 2 2" xfId="37024"/>
    <cellStyle name="注释 2 16 3" xfId="37025"/>
    <cellStyle name="注释 2 16 3 2" xfId="37026"/>
    <cellStyle name="注释 2 16 4" xfId="37027"/>
    <cellStyle name="注释 2 16 4 2" xfId="37028"/>
    <cellStyle name="注释 2 16 5" xfId="37029"/>
    <cellStyle name="注释 2 16 6" xfId="37030"/>
    <cellStyle name="注释 2 17" xfId="37031"/>
    <cellStyle name="注释 2 17 2" xfId="37032"/>
    <cellStyle name="注释 2 17 2 2" xfId="37033"/>
    <cellStyle name="注释 2 17 3" xfId="37034"/>
    <cellStyle name="注释 2 17 3 2" xfId="37035"/>
    <cellStyle name="注释 2 17 4" xfId="37036"/>
    <cellStyle name="注释 2 17 4 2" xfId="37037"/>
    <cellStyle name="注释 2 17 5" xfId="37038"/>
    <cellStyle name="注释 2 17 6" xfId="37039"/>
    <cellStyle name="注释 2 18" xfId="37040"/>
    <cellStyle name="注释 2 18 2" xfId="37041"/>
    <cellStyle name="注释 2 18 3" xfId="37042"/>
    <cellStyle name="注释 2 19" xfId="37043"/>
    <cellStyle name="注释 2 2" xfId="37044"/>
    <cellStyle name="注释 2 2 10" xfId="37045"/>
    <cellStyle name="注释 2 2 10 2" xfId="37046"/>
    <cellStyle name="注释 2 2 10 2 2" xfId="37047"/>
    <cellStyle name="注释 2 2 10 3" xfId="37048"/>
    <cellStyle name="注释 2 2 10 3 2" xfId="37049"/>
    <cellStyle name="注释 2 2 10 4" xfId="37050"/>
    <cellStyle name="注释 2 2 10 4 2" xfId="37051"/>
    <cellStyle name="注释 2 2 10 5" xfId="37052"/>
    <cellStyle name="注释 2 2 11" xfId="37053"/>
    <cellStyle name="注释 2 2 11 2" xfId="37054"/>
    <cellStyle name="注释 2 2 11 2 2" xfId="4142"/>
    <cellStyle name="注释 2 2 11 3" xfId="24174"/>
    <cellStyle name="注释 2 2 11 3 2" xfId="24189"/>
    <cellStyle name="注释 2 2 11 4" xfId="15027"/>
    <cellStyle name="注释 2 2 11 4 2" xfId="24238"/>
    <cellStyle name="注释 2 2 11 5" xfId="14839"/>
    <cellStyle name="注释 2 2 12" xfId="37055"/>
    <cellStyle name="注释 2 2 2" xfId="37056"/>
    <cellStyle name="注释 2 2 2 10" xfId="37057"/>
    <cellStyle name="注释 2 2 2 10 2" xfId="37058"/>
    <cellStyle name="注释 2 2 2 10 2 2" xfId="37059"/>
    <cellStyle name="注释 2 2 2 10 3" xfId="37060"/>
    <cellStyle name="注释 2 2 2 10 3 2" xfId="37061"/>
    <cellStyle name="注释 2 2 2 10 4" xfId="37062"/>
    <cellStyle name="注释 2 2 2 10 4 2" xfId="37063"/>
    <cellStyle name="注释 2 2 2 10 5" xfId="37064"/>
    <cellStyle name="注释 2 2 2 11" xfId="37065"/>
    <cellStyle name="注释 2 2 2 2" xfId="37066"/>
    <cellStyle name="注释 2 2 2 2 2" xfId="37067"/>
    <cellStyle name="注释 2 2 2 2 2 2" xfId="37068"/>
    <cellStyle name="注释 2 2 2 2 2 2 2" xfId="37069"/>
    <cellStyle name="注释 2 2 2 2 2 2 2 2" xfId="37070"/>
    <cellStyle name="注释 2 2 2 2 2 2 3" xfId="37071"/>
    <cellStyle name="注释 2 2 2 2 2 2 3 2" xfId="37072"/>
    <cellStyle name="注释 2 2 2 2 2 2 4" xfId="37073"/>
    <cellStyle name="注释 2 2 2 2 2 2 4 2" xfId="37074"/>
    <cellStyle name="注释 2 2 2 2 2 2 5" xfId="37075"/>
    <cellStyle name="注释 2 2 2 2 2 3" xfId="37076"/>
    <cellStyle name="注释 2 2 2 2 2 3 2" xfId="37077"/>
    <cellStyle name="注释 2 2 2 2 2 3 2 2" xfId="37078"/>
    <cellStyle name="注释 2 2 2 2 2 3 3" xfId="37079"/>
    <cellStyle name="注释 2 2 2 2 2 3 3 2" xfId="37080"/>
    <cellStyle name="注释 2 2 2 2 2 3 4" xfId="37081"/>
    <cellStyle name="注释 2 2 2 2 2 4" xfId="37082"/>
    <cellStyle name="注释 2 2 2 2 2 4 2" xfId="37083"/>
    <cellStyle name="注释 2 2 2 2 2 5" xfId="37084"/>
    <cellStyle name="注释 2 2 2 2 3" xfId="37085"/>
    <cellStyle name="注释 2 2 2 2 3 2" xfId="37086"/>
    <cellStyle name="注释 2 2 2 2 3 2 2" xfId="37087"/>
    <cellStyle name="注释 2 2 2 2 3 3" xfId="37088"/>
    <cellStyle name="注释 2 2 2 2 3 3 2" xfId="37089"/>
    <cellStyle name="注释 2 2 2 2 3 4" xfId="37090"/>
    <cellStyle name="注释 2 2 2 2 3 4 2" xfId="37091"/>
    <cellStyle name="注释 2 2 2 2 3 5" xfId="37092"/>
    <cellStyle name="注释 2 2 2 2 4" xfId="37093"/>
    <cellStyle name="注释 2 2 2 2 4 2" xfId="37094"/>
    <cellStyle name="注释 2 2 2 2 4 2 2" xfId="37095"/>
    <cellStyle name="注释 2 2 2 2 4 3" xfId="37096"/>
    <cellStyle name="注释 2 2 2 2 4 3 2" xfId="37097"/>
    <cellStyle name="注释 2 2 2 2 4 4" xfId="37098"/>
    <cellStyle name="注释 2 2 2 2 4 4 2" xfId="37099"/>
    <cellStyle name="注释 2 2 2 2 4 5" xfId="37100"/>
    <cellStyle name="注释 2 2 2 2 5" xfId="37101"/>
    <cellStyle name="注释 2 2 2 2 5 2" xfId="37102"/>
    <cellStyle name="注释 2 2 2 2 5 2 2" xfId="37103"/>
    <cellStyle name="注释 2 2 2 2 5 3" xfId="37104"/>
    <cellStyle name="注释 2 2 2 2 5 3 2" xfId="37105"/>
    <cellStyle name="注释 2 2 2 2 5 4" xfId="37106"/>
    <cellStyle name="注释 2 2 2 2 6" xfId="37107"/>
    <cellStyle name="注释 2 2 2 2 6 2" xfId="37108"/>
    <cellStyle name="注释 2 2 2 2 7" xfId="37109"/>
    <cellStyle name="注释 2 2 2 3" xfId="37110"/>
    <cellStyle name="注释 2 2 2 3 2" xfId="37111"/>
    <cellStyle name="注释 2 2 2 3 2 2" xfId="37112"/>
    <cellStyle name="注释 2 2 2 3 2 2 2" xfId="37113"/>
    <cellStyle name="注释 2 2 2 3 2 2 2 2" xfId="37114"/>
    <cellStyle name="注释 2 2 2 3 2 2 3" xfId="37115"/>
    <cellStyle name="注释 2 2 2 3 2 2 3 2" xfId="37116"/>
    <cellStyle name="注释 2 2 2 3 2 2 4" xfId="37117"/>
    <cellStyle name="注释 2 2 2 3 2 2 4 2" xfId="37118"/>
    <cellStyle name="注释 2 2 2 3 2 2 5" xfId="37119"/>
    <cellStyle name="注释 2 2 2 3 2 3" xfId="37120"/>
    <cellStyle name="注释 2 2 2 3 2 3 2" xfId="37121"/>
    <cellStyle name="注释 2 2 2 3 2 3 2 2" xfId="37122"/>
    <cellStyle name="注释 2 2 2 3 2 3 3" xfId="37123"/>
    <cellStyle name="注释 2 2 2 3 2 3 3 2" xfId="37124"/>
    <cellStyle name="注释 2 2 2 3 2 3 4" xfId="37125"/>
    <cellStyle name="注释 2 2 2 3 2 4" xfId="37126"/>
    <cellStyle name="注释 2 2 2 3 2 4 2" xfId="37127"/>
    <cellStyle name="注释 2 2 2 3 2 5" xfId="37128"/>
    <cellStyle name="注释 2 2 2 3 3" xfId="37129"/>
    <cellStyle name="注释 2 2 2 3 3 2" xfId="37130"/>
    <cellStyle name="注释 2 2 2 3 3 2 2" xfId="37131"/>
    <cellStyle name="注释 2 2 2 3 3 3" xfId="37132"/>
    <cellStyle name="注释 2 2 2 3 3 3 2" xfId="29445"/>
    <cellStyle name="注释 2 2 2 3 3 4" xfId="37133"/>
    <cellStyle name="注释 2 2 2 3 3 4 2" xfId="37134"/>
    <cellStyle name="注释 2 2 2 3 3 5" xfId="37135"/>
    <cellStyle name="注释 2 2 2 3 4" xfId="37136"/>
    <cellStyle name="注释 2 2 2 3 4 2" xfId="37137"/>
    <cellStyle name="注释 2 2 2 3 4 2 2" xfId="37138"/>
    <cellStyle name="注释 2 2 2 3 4 3" xfId="37139"/>
    <cellStyle name="注释 2 2 2 3 4 3 2" xfId="37140"/>
    <cellStyle name="注释 2 2 2 3 4 4" xfId="37141"/>
    <cellStyle name="注释 2 2 2 3 5" xfId="37142"/>
    <cellStyle name="注释 2 2 2 3 5 2" xfId="37143"/>
    <cellStyle name="注释 2 2 2 3 6" xfId="37144"/>
    <cellStyle name="注释 2 2 2 4" xfId="37145"/>
    <cellStyle name="注释 2 2 2 4 2" xfId="37146"/>
    <cellStyle name="注释 2 2 2 4 2 2" xfId="37147"/>
    <cellStyle name="注释 2 2 2 4 2 2 2" xfId="37148"/>
    <cellStyle name="注释 2 2 2 4 2 2 2 2" xfId="37149"/>
    <cellStyle name="注释 2 2 2 4 2 2 3" xfId="34809"/>
    <cellStyle name="注释 2 2 2 4 2 2 3 2" xfId="37150"/>
    <cellStyle name="注释 2 2 2 4 2 2 4" xfId="37151"/>
    <cellStyle name="注释 2 2 2 4 2 2 4 2" xfId="37152"/>
    <cellStyle name="注释 2 2 2 4 2 2 5" xfId="37153"/>
    <cellStyle name="注释 2 2 2 4 2 3" xfId="37154"/>
    <cellStyle name="注释 2 2 2 4 2 3 2" xfId="37155"/>
    <cellStyle name="注释 2 2 2 4 2 3 2 2" xfId="37156"/>
    <cellStyle name="注释 2 2 2 4 2 3 3" xfId="37157"/>
    <cellStyle name="注释 2 2 2 4 2 3 3 2" xfId="37158"/>
    <cellStyle name="注释 2 2 2 4 2 3 4" xfId="37159"/>
    <cellStyle name="注释 2 2 2 4 2 4" xfId="37160"/>
    <cellStyle name="注释 2 2 2 4 2 4 2" xfId="37161"/>
    <cellStyle name="注释 2 2 2 4 2 5" xfId="37162"/>
    <cellStyle name="注释 2 2 2 4 3" xfId="37163"/>
    <cellStyle name="注释 2 2 2 4 3 2" xfId="37164"/>
    <cellStyle name="注释 2 2 2 4 3 2 2" xfId="37165"/>
    <cellStyle name="注释 2 2 2 4 3 3" xfId="37166"/>
    <cellStyle name="注释 2 2 2 4 3 3 2" xfId="37167"/>
    <cellStyle name="注释 2 2 2 4 3 4" xfId="37168"/>
    <cellStyle name="注释 2 2 2 4 3 4 2" xfId="37169"/>
    <cellStyle name="注释 2 2 2 4 3 5" xfId="37170"/>
    <cellStyle name="注释 2 2 2 4 4" xfId="37171"/>
    <cellStyle name="注释 2 2 2 4 4 2" xfId="37172"/>
    <cellStyle name="注释 2 2 2 4 4 2 2" xfId="37173"/>
    <cellStyle name="注释 2 2 2 4 4 3" xfId="37174"/>
    <cellStyle name="注释 2 2 2 4 4 3 2" xfId="37175"/>
    <cellStyle name="注释 2 2 2 4 4 4" xfId="37176"/>
    <cellStyle name="注释 2 2 2 4 5" xfId="21583"/>
    <cellStyle name="注释 2 2 2 4 5 2" xfId="29886"/>
    <cellStyle name="注释 2 2 2 4 6" xfId="37177"/>
    <cellStyle name="注释 2 2 2 5" xfId="37178"/>
    <cellStyle name="注释 2 2 2 5 2" xfId="37179"/>
    <cellStyle name="注释 2 2 2 5 2 2" xfId="37180"/>
    <cellStyle name="注释 2 2 2 5 2 2 2" xfId="37181"/>
    <cellStyle name="注释 2 2 2 5 2 3" xfId="37182"/>
    <cellStyle name="注释 2 2 2 5 2 3 2" xfId="37183"/>
    <cellStyle name="注释 2 2 2 5 2 4" xfId="37184"/>
    <cellStyle name="注释 2 2 2 5 2 4 2" xfId="37185"/>
    <cellStyle name="注释 2 2 2 5 2 5" xfId="37186"/>
    <cellStyle name="注释 2 2 2 5 3" xfId="37187"/>
    <cellStyle name="注释 2 2 2 5 3 2" xfId="37188"/>
    <cellStyle name="注释 2 2 2 5 3 2 2" xfId="37189"/>
    <cellStyle name="注释 2 2 2 5 3 3" xfId="37190"/>
    <cellStyle name="注释 2 2 2 5 3 3 2" xfId="37191"/>
    <cellStyle name="注释 2 2 2 5 3 4" xfId="37192"/>
    <cellStyle name="注释 2 2 2 5 4" xfId="37193"/>
    <cellStyle name="注释 2 2 2 5 4 2" xfId="37194"/>
    <cellStyle name="注释 2 2 2 5 5" xfId="37195"/>
    <cellStyle name="注释 2 2 2 6" xfId="37196"/>
    <cellStyle name="注释 2 2 2 6 2" xfId="37197"/>
    <cellStyle name="注释 2 2 2 6 2 2" xfId="37198"/>
    <cellStyle name="注释 2 2 2 6 2 2 2" xfId="37199"/>
    <cellStyle name="注释 2 2 2 6 2 3" xfId="37200"/>
    <cellStyle name="注释 2 2 2 6 2 3 2" xfId="37201"/>
    <cellStyle name="注释 2 2 2 6 2 4" xfId="37202"/>
    <cellStyle name="注释 2 2 2 6 2 4 2" xfId="37203"/>
    <cellStyle name="注释 2 2 2 6 2 5" xfId="37204"/>
    <cellStyle name="注释 2 2 2 6 3" xfId="37205"/>
    <cellStyle name="注释 2 2 2 6 3 2" xfId="37206"/>
    <cellStyle name="注释 2 2 2 6 3 2 2" xfId="37207"/>
    <cellStyle name="注释 2 2 2 6 3 3" xfId="37208"/>
    <cellStyle name="注释 2 2 2 6 3 3 2" xfId="37209"/>
    <cellStyle name="注释 2 2 2 6 3 4" xfId="37210"/>
    <cellStyle name="注释 2 2 2 6 4" xfId="37211"/>
    <cellStyle name="注释 2 2 2 6 4 2" xfId="37212"/>
    <cellStyle name="注释 2 2 2 6 5" xfId="37213"/>
    <cellStyle name="注释 2 2 2 7" xfId="37214"/>
    <cellStyle name="注释 2 2 2 7 2" xfId="37215"/>
    <cellStyle name="注释 2 2 2 7 2 2" xfId="37216"/>
    <cellStyle name="注释 2 2 2 7 3" xfId="37217"/>
    <cellStyle name="注释 2 2 2 7 3 2" xfId="29164"/>
    <cellStyle name="注释 2 2 2 7 4" xfId="37218"/>
    <cellStyle name="注释 2 2 2 7 4 2" xfId="37219"/>
    <cellStyle name="注释 2 2 2 7 5" xfId="37220"/>
    <cellStyle name="注释 2 2 2 8" xfId="15327"/>
    <cellStyle name="注释 2 2 2 8 2" xfId="37221"/>
    <cellStyle name="注释 2 2 2 8 2 2" xfId="37222"/>
    <cellStyle name="注释 2 2 2 8 3" xfId="37223"/>
    <cellStyle name="注释 2 2 2 8 3 2" xfId="37224"/>
    <cellStyle name="注释 2 2 2 8 4" xfId="37225"/>
    <cellStyle name="注释 2 2 2 8 4 2" xfId="37226"/>
    <cellStyle name="注释 2 2 2 8 5" xfId="37227"/>
    <cellStyle name="注释 2 2 2 9" xfId="37228"/>
    <cellStyle name="注释 2 2 2 9 2" xfId="37229"/>
    <cellStyle name="注释 2 2 2 9 2 2" xfId="37230"/>
    <cellStyle name="注释 2 2 2 9 3" xfId="37231"/>
    <cellStyle name="注释 2 2 2 9 3 2" xfId="37232"/>
    <cellStyle name="注释 2 2 2 9 4" xfId="37233"/>
    <cellStyle name="注释 2 2 2 9 4 2" xfId="37234"/>
    <cellStyle name="注释 2 2 2 9 5" xfId="37235"/>
    <cellStyle name="注释 2 2 3" xfId="37236"/>
    <cellStyle name="注释 2 2 3 2" xfId="37237"/>
    <cellStyle name="注释 2 2 3 2 2" xfId="37238"/>
    <cellStyle name="注释 2 2 3 2 2 2" xfId="37239"/>
    <cellStyle name="注释 2 2 3 2 2 2 2" xfId="11799"/>
    <cellStyle name="注释 2 2 3 2 2 3" xfId="37240"/>
    <cellStyle name="注释 2 2 3 2 2 3 2" xfId="11812"/>
    <cellStyle name="注释 2 2 3 2 2 4" xfId="37241"/>
    <cellStyle name="注释 2 2 3 2 2 4 2" xfId="37242"/>
    <cellStyle name="注释 2 2 3 2 2 5" xfId="37243"/>
    <cellStyle name="注释 2 2 3 2 3" xfId="37244"/>
    <cellStyle name="注释 2 2 3 2 3 2" xfId="37245"/>
    <cellStyle name="注释 2 2 3 2 3 2 2" xfId="11824"/>
    <cellStyle name="注释 2 2 3 2 3 3" xfId="37246"/>
    <cellStyle name="注释 2 2 3 2 3 3 2" xfId="11832"/>
    <cellStyle name="注释 2 2 3 2 3 4" xfId="37247"/>
    <cellStyle name="注释 2 2 3 2 4" xfId="37248"/>
    <cellStyle name="注释 2 2 3 2 4 2" xfId="37249"/>
    <cellStyle name="注释 2 2 3 2 5" xfId="37250"/>
    <cellStyle name="注释 2 2 3 3" xfId="37251"/>
    <cellStyle name="注释 2 2 3 3 2" xfId="37252"/>
    <cellStyle name="注释 2 2 3 3 2 2" xfId="37253"/>
    <cellStyle name="注释 2 2 3 3 3" xfId="37254"/>
    <cellStyle name="注释 2 2 3 3 3 2" xfId="37255"/>
    <cellStyle name="注释 2 2 3 3 4" xfId="37256"/>
    <cellStyle name="注释 2 2 3 3 4 2" xfId="37257"/>
    <cellStyle name="注释 2 2 3 3 5" xfId="37258"/>
    <cellStyle name="注释 2 2 3 4" xfId="37259"/>
    <cellStyle name="注释 2 2 3 4 2" xfId="37260"/>
    <cellStyle name="注释 2 2 3 4 2 2" xfId="37261"/>
    <cellStyle name="注释 2 2 3 4 3" xfId="37262"/>
    <cellStyle name="注释 2 2 3 4 3 2" xfId="37263"/>
    <cellStyle name="注释 2 2 3 4 4" xfId="37264"/>
    <cellStyle name="注释 2 2 3 5" xfId="37265"/>
    <cellStyle name="注释 2 2 3 5 2" xfId="30676"/>
    <cellStyle name="注释 2 2 3 6" xfId="37266"/>
    <cellStyle name="注释 2 2 4" xfId="37267"/>
    <cellStyle name="注释 2 2 4 2" xfId="37268"/>
    <cellStyle name="注释 2 2 4 2 2" xfId="37269"/>
    <cellStyle name="注释 2 2 4 2 2 2" xfId="37270"/>
    <cellStyle name="注释 2 2 4 2 2 2 2" xfId="37271"/>
    <cellStyle name="注释 2 2 4 2 2 3" xfId="37272"/>
    <cellStyle name="注释 2 2 4 2 2 3 2" xfId="37273"/>
    <cellStyle name="注释 2 2 4 2 2 4" xfId="37274"/>
    <cellStyle name="注释 2 2 4 2 2 4 2" xfId="37275"/>
    <cellStyle name="注释 2 2 4 2 2 5" xfId="37276"/>
    <cellStyle name="注释 2 2 4 2 3" xfId="37277"/>
    <cellStyle name="注释 2 2 4 2 3 2" xfId="37278"/>
    <cellStyle name="注释 2 2 4 2 3 2 2" xfId="37279"/>
    <cellStyle name="注释 2 2 4 2 3 3" xfId="37280"/>
    <cellStyle name="注释 2 2 4 2 3 3 2" xfId="37281"/>
    <cellStyle name="注释 2 2 4 2 3 4" xfId="37282"/>
    <cellStyle name="注释 2 2 4 2 4" xfId="37283"/>
    <cellStyle name="注释 2 2 4 2 4 2" xfId="37284"/>
    <cellStyle name="注释 2 2 4 2 5" xfId="37285"/>
    <cellStyle name="注释 2 2 4 3" xfId="37286"/>
    <cellStyle name="注释 2 2 4 3 2" xfId="37287"/>
    <cellStyle name="注释 2 2 4 3 2 2" xfId="37288"/>
    <cellStyle name="注释 2 2 4 3 3" xfId="37289"/>
    <cellStyle name="注释 2 2 4 3 3 2" xfId="37290"/>
    <cellStyle name="注释 2 2 4 3 4" xfId="37291"/>
    <cellStyle name="注释 2 2 4 3 4 2" xfId="37292"/>
    <cellStyle name="注释 2 2 4 3 5" xfId="37293"/>
    <cellStyle name="注释 2 2 4 4" xfId="37294"/>
    <cellStyle name="注释 2 2 4 4 2" xfId="37295"/>
    <cellStyle name="注释 2 2 4 4 2 2" xfId="37296"/>
    <cellStyle name="注释 2 2 4 4 3" xfId="37297"/>
    <cellStyle name="注释 2 2 4 4 3 2" xfId="37298"/>
    <cellStyle name="注释 2 2 4 4 4" xfId="37299"/>
    <cellStyle name="注释 2 2 4 5" xfId="29615"/>
    <cellStyle name="注释 2 2 4 5 2" xfId="37300"/>
    <cellStyle name="注释 2 2 4 6" xfId="37301"/>
    <cellStyle name="注释 2 2 5" xfId="37302"/>
    <cellStyle name="注释 2 2 5 2" xfId="26558"/>
    <cellStyle name="注释 2 2 5 2 2" xfId="37303"/>
    <cellStyle name="注释 2 2 5 2 2 2" xfId="37304"/>
    <cellStyle name="注释 2 2 5 2 2 2 2" xfId="37305"/>
    <cellStyle name="注释 2 2 5 2 2 3" xfId="37306"/>
    <cellStyle name="注释 2 2 5 2 2 3 2" xfId="37307"/>
    <cellStyle name="注释 2 2 5 2 2 4" xfId="37308"/>
    <cellStyle name="注释 2 2 5 2 2 4 2" xfId="37309"/>
    <cellStyle name="注释 2 2 5 2 2 5" xfId="37310"/>
    <cellStyle name="注释 2 2 5 2 3" xfId="37311"/>
    <cellStyle name="注释 2 2 5 2 3 2" xfId="37312"/>
    <cellStyle name="注释 2 2 5 2 3 2 2" xfId="37313"/>
    <cellStyle name="注释 2 2 5 2 3 3" xfId="37314"/>
    <cellStyle name="注释 2 2 5 2 3 3 2" xfId="37315"/>
    <cellStyle name="注释 2 2 5 2 3 4" xfId="37316"/>
    <cellStyle name="注释 2 2 5 2 4" xfId="37317"/>
    <cellStyle name="注释 2 2 5 2 4 2" xfId="37318"/>
    <cellStyle name="注释 2 2 5 2 5" xfId="37319"/>
    <cellStyle name="注释 2 2 5 3" xfId="26560"/>
    <cellStyle name="注释 2 2 5 3 2" xfId="37320"/>
    <cellStyle name="注释 2 2 5 3 2 2" xfId="37321"/>
    <cellStyle name="注释 2 2 5 3 3" xfId="37322"/>
    <cellStyle name="注释 2 2 5 3 3 2" xfId="37323"/>
    <cellStyle name="注释 2 2 5 3 4" xfId="37324"/>
    <cellStyle name="注释 2 2 5 3 4 2" xfId="37325"/>
    <cellStyle name="注释 2 2 5 3 5" xfId="37326"/>
    <cellStyle name="注释 2 2 5 4" xfId="9113"/>
    <cellStyle name="注释 2 2 5 4 2" xfId="37327"/>
    <cellStyle name="注释 2 2 5 4 2 2" xfId="37328"/>
    <cellStyle name="注释 2 2 5 4 3" xfId="37329"/>
    <cellStyle name="注释 2 2 5 4 3 2" xfId="37330"/>
    <cellStyle name="注释 2 2 5 4 4" xfId="37331"/>
    <cellStyle name="注释 2 2 5 5" xfId="37332"/>
    <cellStyle name="注释 2 2 5 5 2" xfId="37333"/>
    <cellStyle name="注释 2 2 5 6" xfId="37334"/>
    <cellStyle name="注释 2 2 6" xfId="37335"/>
    <cellStyle name="注释 2 2 6 2" xfId="37336"/>
    <cellStyle name="注释 2 2 6 2 2" xfId="37337"/>
    <cellStyle name="注释 2 2 6 2 2 2" xfId="37339"/>
    <cellStyle name="注释 2 2 6 2 3" xfId="37340"/>
    <cellStyle name="注释 2 2 6 2 3 2" xfId="37342"/>
    <cellStyle name="注释 2 2 6 2 4" xfId="37343"/>
    <cellStyle name="注释 2 2 6 2 4 2" xfId="37345"/>
    <cellStyle name="注释 2 2 6 2 5" xfId="37346"/>
    <cellStyle name="注释 2 2 6 3" xfId="29563"/>
    <cellStyle name="注释 2 2 6 3 2" xfId="1577"/>
    <cellStyle name="注释 2 2 6 3 2 2" xfId="1581"/>
    <cellStyle name="注释 2 2 6 3 3" xfId="1600"/>
    <cellStyle name="注释 2 2 6 3 3 2" xfId="1608"/>
    <cellStyle name="注释 2 2 6 3 4" xfId="1626"/>
    <cellStyle name="注释 2 2 6 4" xfId="37347"/>
    <cellStyle name="注释 2 2 6 4 2" xfId="37348"/>
    <cellStyle name="注释 2 2 6 5" xfId="37349"/>
    <cellStyle name="注释 2 2 7" xfId="37350"/>
    <cellStyle name="注释 2 2 7 2" xfId="37351"/>
    <cellStyle name="注释 2 2 7 2 2" xfId="37352"/>
    <cellStyle name="注释 2 2 7 2 2 2" xfId="37353"/>
    <cellStyle name="注释 2 2 7 2 3" xfId="37354"/>
    <cellStyle name="注释 2 2 7 2 3 2" xfId="37355"/>
    <cellStyle name="注释 2 2 7 2 4" xfId="37356"/>
    <cellStyle name="注释 2 2 7 2 4 2" xfId="37357"/>
    <cellStyle name="注释 2 2 7 2 5" xfId="37358"/>
    <cellStyle name="注释 2 2 7 3" xfId="37359"/>
    <cellStyle name="注释 2 2 7 3 2" xfId="37360"/>
    <cellStyle name="注释 2 2 7 3 2 2" xfId="37361"/>
    <cellStyle name="注释 2 2 7 3 3" xfId="37362"/>
    <cellStyle name="注释 2 2 7 3 3 2" xfId="37363"/>
    <cellStyle name="注释 2 2 7 3 4" xfId="37364"/>
    <cellStyle name="注释 2 2 7 4" xfId="37365"/>
    <cellStyle name="注释 2 2 7 4 2" xfId="37366"/>
    <cellStyle name="注释 2 2 7 5" xfId="37367"/>
    <cellStyle name="注释 2 2 8" xfId="37368"/>
    <cellStyle name="注释 2 2 8 2" xfId="37369"/>
    <cellStyle name="注释 2 2 8 2 2" xfId="37370"/>
    <cellStyle name="注释 2 2 8 3" xfId="37371"/>
    <cellStyle name="注释 2 2 8 3 2" xfId="37372"/>
    <cellStyle name="注释 2 2 8 4" xfId="37373"/>
    <cellStyle name="注释 2 2 8 4 2" xfId="37374"/>
    <cellStyle name="注释 2 2 8 5" xfId="37375"/>
    <cellStyle name="注释 2 2 9" xfId="37376"/>
    <cellStyle name="注释 2 2 9 2" xfId="37377"/>
    <cellStyle name="注释 2 2 9 2 2" xfId="37378"/>
    <cellStyle name="注释 2 2 9 3" xfId="37379"/>
    <cellStyle name="注释 2 2 9 3 2" xfId="37380"/>
    <cellStyle name="注释 2 2 9 4" xfId="37381"/>
    <cellStyle name="注释 2 2 9 4 2" xfId="37382"/>
    <cellStyle name="注释 2 2 9 5" xfId="37383"/>
    <cellStyle name="注释 2 20" xfId="37014"/>
    <cellStyle name="注释 2 3" xfId="37384"/>
    <cellStyle name="注释 2 3 10" xfId="37385"/>
    <cellStyle name="注释 2 3 10 2" xfId="6262"/>
    <cellStyle name="注释 2 3 10 2 2" xfId="6268"/>
    <cellStyle name="注释 2 3 10 3" xfId="6276"/>
    <cellStyle name="注释 2 3 10 3 2" xfId="11820"/>
    <cellStyle name="注释 2 3 10 4" xfId="33130"/>
    <cellStyle name="注释 2 3 10 4 2" xfId="37386"/>
    <cellStyle name="注释 2 3 10 5" xfId="33132"/>
    <cellStyle name="注释 2 3 11" xfId="37387"/>
    <cellStyle name="注释 2 3 11 2" xfId="37388"/>
    <cellStyle name="注释 2 3 11 2 2" xfId="37389"/>
    <cellStyle name="注释 2 3 11 3" xfId="37390"/>
    <cellStyle name="注释 2 3 11 3 2" xfId="37391"/>
    <cellStyle name="注释 2 3 11 4" xfId="37392"/>
    <cellStyle name="注释 2 3 11 4 2" xfId="37393"/>
    <cellStyle name="注释 2 3 11 5" xfId="29262"/>
    <cellStyle name="注释 2 3 12" xfId="37394"/>
    <cellStyle name="注释 2 3 2" xfId="37395"/>
    <cellStyle name="注释 2 3 2 10" xfId="37396"/>
    <cellStyle name="注释 2 3 2 10 2" xfId="37397"/>
    <cellStyle name="注释 2 3 2 10 2 2" xfId="37398"/>
    <cellStyle name="注释 2 3 2 10 3" xfId="37399"/>
    <cellStyle name="注释 2 3 2 10 3 2" xfId="37400"/>
    <cellStyle name="注释 2 3 2 10 4" xfId="37401"/>
    <cellStyle name="注释 2 3 2 10 4 2" xfId="37402"/>
    <cellStyle name="注释 2 3 2 10 5" xfId="33554"/>
    <cellStyle name="注释 2 3 2 2" xfId="37403"/>
    <cellStyle name="注释 2 3 2 2 2" xfId="37404"/>
    <cellStyle name="注释 2 3 2 2 2 2" xfId="37405"/>
    <cellStyle name="注释 2 3 2 2 2 2 2" xfId="37406"/>
    <cellStyle name="注释 2 3 2 2 2 2 2 2" xfId="37407"/>
    <cellStyle name="注释 2 3 2 2 2 2 3" xfId="37408"/>
    <cellStyle name="注释 2 3 2 2 2 2 3 2" xfId="29067"/>
    <cellStyle name="注释 2 3 2 2 2 2 4" xfId="37409"/>
    <cellStyle name="注释 2 3 2 2 2 2 4 2" xfId="37410"/>
    <cellStyle name="注释 2 3 2 2 2 2 5" xfId="37411"/>
    <cellStyle name="注释 2 3 2 2 2 3" xfId="37412"/>
    <cellStyle name="注释 2 3 2 2 2 3 2" xfId="37413"/>
    <cellStyle name="注释 2 3 2 2 2 3 2 2" xfId="37414"/>
    <cellStyle name="注释 2 3 2 2 2 3 3" xfId="37415"/>
    <cellStyle name="注释 2 3 2 2 2 3 3 2" xfId="37416"/>
    <cellStyle name="注释 2 3 2 2 2 3 4" xfId="37417"/>
    <cellStyle name="注释 2 3 2 2 2 4" xfId="37418"/>
    <cellStyle name="注释 2 3 2 2 2 4 2" xfId="37419"/>
    <cellStyle name="注释 2 3 2 2 2 5" xfId="37420"/>
    <cellStyle name="注释 2 3 2 2 3" xfId="37421"/>
    <cellStyle name="注释 2 3 2 2 3 2" xfId="37422"/>
    <cellStyle name="注释 2 3 2 2 3 2 2" xfId="37423"/>
    <cellStyle name="注释 2 3 2 2 3 3" xfId="37424"/>
    <cellStyle name="注释 2 3 2 2 3 3 2" xfId="37425"/>
    <cellStyle name="注释 2 3 2 2 3 4" xfId="37426"/>
    <cellStyle name="注释 2 3 2 2 3 4 2" xfId="37427"/>
    <cellStyle name="注释 2 3 2 2 3 5" xfId="37428"/>
    <cellStyle name="注释 2 3 2 2 4" xfId="37429"/>
    <cellStyle name="注释 2 3 2 2 4 2" xfId="37430"/>
    <cellStyle name="注释 2 3 2 2 4 2 2" xfId="37431"/>
    <cellStyle name="注释 2 3 2 2 4 3" xfId="37432"/>
    <cellStyle name="注释 2 3 2 2 4 3 2" xfId="37433"/>
    <cellStyle name="注释 2 3 2 2 4 4" xfId="37434"/>
    <cellStyle name="注释 2 3 2 2 4 4 2" xfId="37435"/>
    <cellStyle name="注释 2 3 2 2 4 5" xfId="37436"/>
    <cellStyle name="注释 2 3 2 2 5" xfId="37437"/>
    <cellStyle name="注释 2 3 2 2 5 2" xfId="37438"/>
    <cellStyle name="注释 2 3 2 2 5 2 2" xfId="37439"/>
    <cellStyle name="注释 2 3 2 2 5 3" xfId="37440"/>
    <cellStyle name="注释 2 3 2 2 5 3 2" xfId="37441"/>
    <cellStyle name="注释 2 3 2 2 5 4" xfId="37442"/>
    <cellStyle name="注释 2 3 2 2 6" xfId="37443"/>
    <cellStyle name="注释 2 3 2 2 6 2" xfId="37444"/>
    <cellStyle name="注释 2 3 2 2 7" xfId="37445"/>
    <cellStyle name="注释 2 3 2 3" xfId="37446"/>
    <cellStyle name="注释 2 3 2 3 2" xfId="37447"/>
    <cellStyle name="注释 2 3 2 3 2 2" xfId="37448"/>
    <cellStyle name="注释 2 3 2 3 2 2 2" xfId="37449"/>
    <cellStyle name="注释 2 3 2 3 2 2 2 2" xfId="27807"/>
    <cellStyle name="注释 2 3 2 3 2 2 3" xfId="37450"/>
    <cellStyle name="注释 2 3 2 3 2 2 3 2" xfId="37451"/>
    <cellStyle name="注释 2 3 2 3 2 2 4" xfId="37452"/>
    <cellStyle name="注释 2 3 2 3 2 2 4 2" xfId="37453"/>
    <cellStyle name="注释 2 3 2 3 2 2 5" xfId="37454"/>
    <cellStyle name="注释 2 3 2 3 2 3" xfId="37455"/>
    <cellStyle name="注释 2 3 2 3 2 3 2" xfId="37456"/>
    <cellStyle name="注释 2 3 2 3 2 3 2 2" xfId="37457"/>
    <cellStyle name="注释 2 3 2 3 2 3 3" xfId="37458"/>
    <cellStyle name="注释 2 3 2 3 2 3 3 2" xfId="37459"/>
    <cellStyle name="注释 2 3 2 3 2 3 4" xfId="37460"/>
    <cellStyle name="注释 2 3 2 3 2 4" xfId="37461"/>
    <cellStyle name="注释 2 3 2 3 2 4 2" xfId="37462"/>
    <cellStyle name="注释 2 3 2 3 2 5" xfId="37463"/>
    <cellStyle name="注释 2 3 2 3 3" xfId="37464"/>
    <cellStyle name="注释 2 3 2 3 3 2" xfId="37465"/>
    <cellStyle name="注释 2 3 2 3 3 2 2" xfId="37466"/>
    <cellStyle name="注释 2 3 2 3 3 3" xfId="37467"/>
    <cellStyle name="注释 2 3 2 3 3 3 2" xfId="37468"/>
    <cellStyle name="注释 2 3 2 3 3 4" xfId="37469"/>
    <cellStyle name="注释 2 3 2 3 3 4 2" xfId="37470"/>
    <cellStyle name="注释 2 3 2 3 3 5" xfId="37471"/>
    <cellStyle name="注释 2 3 2 3 4" xfId="37472"/>
    <cellStyle name="注释 2 3 2 3 4 2" xfId="37473"/>
    <cellStyle name="注释 2 3 2 3 4 2 2" xfId="37474"/>
    <cellStyle name="注释 2 3 2 3 4 3" xfId="37475"/>
    <cellStyle name="注释 2 3 2 3 4 3 2" xfId="37476"/>
    <cellStyle name="注释 2 3 2 3 4 4" xfId="37477"/>
    <cellStyle name="注释 2 3 2 3 5" xfId="37478"/>
    <cellStyle name="注释 2 3 2 3 5 2" xfId="37479"/>
    <cellStyle name="注释 2 3 2 3 6" xfId="37480"/>
    <cellStyle name="注释 2 3 2 4" xfId="37481"/>
    <cellStyle name="注释 2 3 2 4 2" xfId="37482"/>
    <cellStyle name="注释 2 3 2 4 2 2" xfId="37483"/>
    <cellStyle name="注释 2 3 2 4 2 2 2" xfId="37484"/>
    <cellStyle name="注释 2 3 2 4 2 2 2 2" xfId="37485"/>
    <cellStyle name="注释 2 3 2 4 2 2 3" xfId="35730"/>
    <cellStyle name="注释 2 3 2 4 2 2 3 2" xfId="37486"/>
    <cellStyle name="注释 2 3 2 4 2 2 4" xfId="37487"/>
    <cellStyle name="注释 2 3 2 4 2 2 4 2" xfId="37488"/>
    <cellStyle name="注释 2 3 2 4 2 2 5" xfId="37489"/>
    <cellStyle name="注释 2 3 2 4 2 3" xfId="37490"/>
    <cellStyle name="注释 2 3 2 4 2 3 2" xfId="37491"/>
    <cellStyle name="注释 2 3 2 4 2 3 2 2" xfId="37492"/>
    <cellStyle name="注释 2 3 2 4 2 3 3" xfId="37493"/>
    <cellStyle name="注释 2 3 2 4 2 3 3 2" xfId="37494"/>
    <cellStyle name="注释 2 3 2 4 2 3 4" xfId="37495"/>
    <cellStyle name="注释 2 3 2 4 2 4" xfId="37496"/>
    <cellStyle name="注释 2 3 2 4 2 4 2" xfId="37497"/>
    <cellStyle name="注释 2 3 2 4 2 5" xfId="37498"/>
    <cellStyle name="注释 2 3 2 4 3" xfId="37499"/>
    <cellStyle name="注释 2 3 2 4 3 2" xfId="37500"/>
    <cellStyle name="注释 2 3 2 4 3 2 2" xfId="37501"/>
    <cellStyle name="注释 2 3 2 4 3 3" xfId="37502"/>
    <cellStyle name="注释 2 3 2 4 3 3 2" xfId="20451"/>
    <cellStyle name="注释 2 3 2 4 3 4" xfId="33424"/>
    <cellStyle name="注释 2 3 2 4 3 4 2" xfId="37503"/>
    <cellStyle name="注释 2 3 2 4 3 5" xfId="37504"/>
    <cellStyle name="注释 2 3 2 4 4" xfId="37505"/>
    <cellStyle name="注释 2 3 2 4 4 2" xfId="37506"/>
    <cellStyle name="注释 2 3 2 4 4 2 2" xfId="37507"/>
    <cellStyle name="注释 2 3 2 4 4 3" xfId="37508"/>
    <cellStyle name="注释 2 3 2 4 4 3 2" xfId="37509"/>
    <cellStyle name="注释 2 3 2 4 4 4" xfId="33427"/>
    <cellStyle name="注释 2 3 2 4 5" xfId="37510"/>
    <cellStyle name="注释 2 3 2 4 5 2" xfId="37511"/>
    <cellStyle name="注释 2 3 2 4 6" xfId="37512"/>
    <cellStyle name="注释 2 3 2 5" xfId="37513"/>
    <cellStyle name="注释 2 3 2 5 2" xfId="37514"/>
    <cellStyle name="注释 2 3 2 5 2 2" xfId="37515"/>
    <cellStyle name="注释 2 3 2 5 2 2 2" xfId="37516"/>
    <cellStyle name="注释 2 3 2 5 2 3" xfId="37517"/>
    <cellStyle name="注释 2 3 2 5 2 3 2" xfId="37518"/>
    <cellStyle name="注释 2 3 2 5 2 4" xfId="37519"/>
    <cellStyle name="注释 2 3 2 5 2 4 2" xfId="37520"/>
    <cellStyle name="注释 2 3 2 5 2 5" xfId="37521"/>
    <cellStyle name="注释 2 3 2 5 3" xfId="37522"/>
    <cellStyle name="注释 2 3 2 5 3 2" xfId="37523"/>
    <cellStyle name="注释 2 3 2 5 3 2 2" xfId="37524"/>
    <cellStyle name="注释 2 3 2 5 3 3" xfId="37525"/>
    <cellStyle name="注释 2 3 2 5 3 3 2" xfId="37526"/>
    <cellStyle name="注释 2 3 2 5 3 4" xfId="33434"/>
    <cellStyle name="注释 2 3 2 5 4" xfId="37527"/>
    <cellStyle name="注释 2 3 2 5 4 2" xfId="37528"/>
    <cellStyle name="注释 2 3 2 5 5" xfId="37529"/>
    <cellStyle name="注释 2 3 2 6" xfId="37530"/>
    <cellStyle name="注释 2 3 2 6 2" xfId="37531"/>
    <cellStyle name="注释 2 3 2 6 2 2" xfId="20309"/>
    <cellStyle name="注释 2 3 2 6 2 2 2" xfId="20311"/>
    <cellStyle name="注释 2 3 2 6 2 3" xfId="20314"/>
    <cellStyle name="注释 2 3 2 6 2 3 2" xfId="37532"/>
    <cellStyle name="注释 2 3 2 6 2 4" xfId="37533"/>
    <cellStyle name="注释 2 3 2 6 2 4 2" xfId="37534"/>
    <cellStyle name="注释 2 3 2 6 2 5" xfId="37535"/>
    <cellStyle name="注释 2 3 2 6 3" xfId="37536"/>
    <cellStyle name="注释 2 3 2 6 3 2" xfId="37537"/>
    <cellStyle name="注释 2 3 2 6 3 2 2" xfId="37538"/>
    <cellStyle name="注释 2 3 2 6 3 3" xfId="37539"/>
    <cellStyle name="注释 2 3 2 6 3 3 2" xfId="37540"/>
    <cellStyle name="注释 2 3 2 6 3 4" xfId="37541"/>
    <cellStyle name="注释 2 3 2 6 4" xfId="37542"/>
    <cellStyle name="注释 2 3 2 6 4 2" xfId="37543"/>
    <cellStyle name="注释 2 3 2 6 5" xfId="37544"/>
    <cellStyle name="注释 2 3 2 7" xfId="37545"/>
    <cellStyle name="注释 2 3 2 7 2" xfId="37546"/>
    <cellStyle name="注释 2 3 2 7 2 2" xfId="37547"/>
    <cellStyle name="注释 2 3 2 7 3" xfId="37548"/>
    <cellStyle name="注释 2 3 2 7 3 2" xfId="37549"/>
    <cellStyle name="注释 2 3 2 7 4" xfId="37550"/>
    <cellStyle name="注释 2 3 2 7 4 2" xfId="37551"/>
    <cellStyle name="注释 2 3 2 7 5" xfId="37552"/>
    <cellStyle name="注释 2 3 2 8" xfId="12051"/>
    <cellStyle name="注释 2 3 2 8 2" xfId="37553"/>
    <cellStyle name="注释 2 3 2 8 2 2" xfId="37554"/>
    <cellStyle name="注释 2 3 2 8 3" xfId="37555"/>
    <cellStyle name="注释 2 3 2 8 3 2" xfId="37556"/>
    <cellStyle name="注释 2 3 2 8 4" xfId="37557"/>
    <cellStyle name="注释 2 3 2 8 4 2" xfId="37558"/>
    <cellStyle name="注释 2 3 2 8 5" xfId="37559"/>
    <cellStyle name="注释 2 3 2 9" xfId="37560"/>
    <cellStyle name="注释 2 3 2 9 2" xfId="37561"/>
    <cellStyle name="注释 2 3 2 9 2 2" xfId="37562"/>
    <cellStyle name="注释 2 3 2 9 3" xfId="37563"/>
    <cellStyle name="注释 2 3 2 9 3 2" xfId="37564"/>
    <cellStyle name="注释 2 3 2 9 4" xfId="37565"/>
    <cellStyle name="注释 2 3 2 9 4 2" xfId="37566"/>
    <cellStyle name="注释 2 3 2 9 5" xfId="37567"/>
    <cellStyle name="注释 2 3 3" xfId="37568"/>
    <cellStyle name="注释 2 3 3 2" xfId="37569"/>
    <cellStyle name="注释 2 3 3 2 2" xfId="37570"/>
    <cellStyle name="注释 2 3 3 2 2 2" xfId="37571"/>
    <cellStyle name="注释 2 3 3 2 2 2 2" xfId="37572"/>
    <cellStyle name="注释 2 3 3 2 2 3" xfId="37573"/>
    <cellStyle name="注释 2 3 3 2 2 3 2" xfId="37574"/>
    <cellStyle name="注释 2 3 3 2 2 4" xfId="37575"/>
    <cellStyle name="注释 2 3 3 2 2 4 2" xfId="37576"/>
    <cellStyle name="注释 2 3 3 2 2 5" xfId="37577"/>
    <cellStyle name="注释 2 3 3 2 3" xfId="37578"/>
    <cellStyle name="注释 2 3 3 2 3 2" xfId="37579"/>
    <cellStyle name="注释 2 3 3 2 3 2 2" xfId="37580"/>
    <cellStyle name="注释 2 3 3 2 3 3" xfId="37581"/>
    <cellStyle name="注释 2 3 3 2 3 3 2" xfId="37582"/>
    <cellStyle name="注释 2 3 3 2 3 4" xfId="37583"/>
    <cellStyle name="注释 2 3 3 2 4" xfId="37584"/>
    <cellStyle name="注释 2 3 3 2 4 2" xfId="37585"/>
    <cellStyle name="注释 2 3 3 2 5" xfId="37586"/>
    <cellStyle name="注释 2 3 3 3" xfId="37587"/>
    <cellStyle name="注释 2 3 3 3 2" xfId="37588"/>
    <cellStyle name="注释 2 3 3 3 2 2" xfId="37589"/>
    <cellStyle name="注释 2 3 3 3 3" xfId="37590"/>
    <cellStyle name="注释 2 3 3 3 3 2" xfId="37591"/>
    <cellStyle name="注释 2 3 3 3 4" xfId="37592"/>
    <cellStyle name="注释 2 3 3 3 4 2" xfId="37593"/>
    <cellStyle name="注释 2 3 3 3 5" xfId="37594"/>
    <cellStyle name="注释 2 3 3 4" xfId="37595"/>
    <cellStyle name="注释 2 3 3 4 2" xfId="37596"/>
    <cellStyle name="注释 2 3 3 4 2 2" xfId="37597"/>
    <cellStyle name="注释 2 3 3 4 3" xfId="37598"/>
    <cellStyle name="注释 2 3 3 4 3 2" xfId="8623"/>
    <cellStyle name="注释 2 3 3 4 4" xfId="37599"/>
    <cellStyle name="注释 2 3 3 5" xfId="37600"/>
    <cellStyle name="注释 2 3 3 5 2" xfId="37601"/>
    <cellStyle name="注释 2 3 3 6" xfId="37602"/>
    <cellStyle name="注释 2 3 4" xfId="37603"/>
    <cellStyle name="注释 2 3 4 2" xfId="37604"/>
    <cellStyle name="注释 2 3 4 2 2" xfId="37605"/>
    <cellStyle name="注释 2 3 4 2 2 2" xfId="37606"/>
    <cellStyle name="注释 2 3 4 2 2 2 2" xfId="18966"/>
    <cellStyle name="注释 2 3 4 2 2 3" xfId="37607"/>
    <cellStyle name="注释 2 3 4 2 2 3 2" xfId="18982"/>
    <cellStyle name="注释 2 3 4 2 2 4" xfId="22802"/>
    <cellStyle name="注释 2 3 4 2 2 4 2" xfId="22804"/>
    <cellStyle name="注释 2 3 4 2 2 5" xfId="37608"/>
    <cellStyle name="注释 2 3 4 2 3" xfId="37609"/>
    <cellStyle name="注释 2 3 4 2 3 2" xfId="37610"/>
    <cellStyle name="注释 2 3 4 2 3 2 2" xfId="7379"/>
    <cellStyle name="注释 2 3 4 2 3 3" xfId="37611"/>
    <cellStyle name="注释 2 3 4 2 3 3 2" xfId="7399"/>
    <cellStyle name="注释 2 3 4 2 3 4" xfId="37612"/>
    <cellStyle name="注释 2 3 4 2 4" xfId="37613"/>
    <cellStyle name="注释 2 3 4 2 4 2" xfId="37614"/>
    <cellStyle name="注释 2 3 4 2 5" xfId="37615"/>
    <cellStyle name="注释 2 3 4 3" xfId="37616"/>
    <cellStyle name="注释 2 3 4 3 2" xfId="37617"/>
    <cellStyle name="注释 2 3 4 3 2 2" xfId="37618"/>
    <cellStyle name="注释 2 3 4 3 3" xfId="37619"/>
    <cellStyle name="注释 2 3 4 3 3 2" xfId="37620"/>
    <cellStyle name="注释 2 3 4 3 4" xfId="37621"/>
    <cellStyle name="注释 2 3 4 3 4 2" xfId="37622"/>
    <cellStyle name="注释 2 3 4 3 5" xfId="37623"/>
    <cellStyle name="注释 2 3 4 4" xfId="37624"/>
    <cellStyle name="注释 2 3 4 4 2" xfId="37625"/>
    <cellStyle name="注释 2 3 4 4 2 2" xfId="37626"/>
    <cellStyle name="注释 2 3 4 4 3" xfId="37627"/>
    <cellStyle name="注释 2 3 4 4 3 2" xfId="37628"/>
    <cellStyle name="注释 2 3 4 4 4" xfId="37629"/>
    <cellStyle name="注释 2 3 4 5" xfId="37630"/>
    <cellStyle name="注释 2 3 4 5 2" xfId="37631"/>
    <cellStyle name="注释 2 3 4 6" xfId="37632"/>
    <cellStyle name="注释 2 3 5" xfId="37633"/>
    <cellStyle name="注释 2 3 5 2" xfId="37634"/>
    <cellStyle name="注释 2 3 5 2 2" xfId="37635"/>
    <cellStyle name="注释 2 3 5 2 2 2" xfId="37636"/>
    <cellStyle name="注释 2 3 5 2 2 2 2" xfId="37637"/>
    <cellStyle name="注释 2 3 5 2 2 3" xfId="37638"/>
    <cellStyle name="注释 2 3 5 2 2 3 2" xfId="37639"/>
    <cellStyle name="注释 2 3 5 2 2 4" xfId="37640"/>
    <cellStyle name="注释 2 3 5 2 2 4 2" xfId="37641"/>
    <cellStyle name="注释 2 3 5 2 2 5" xfId="37642"/>
    <cellStyle name="注释 2 3 5 2 3" xfId="37643"/>
    <cellStyle name="注释 2 3 5 2 3 2" xfId="37644"/>
    <cellStyle name="注释 2 3 5 2 3 2 2" xfId="37645"/>
    <cellStyle name="注释 2 3 5 2 3 3" xfId="37646"/>
    <cellStyle name="注释 2 3 5 2 3 3 2" xfId="37647"/>
    <cellStyle name="注释 2 3 5 2 3 4" xfId="37648"/>
    <cellStyle name="注释 2 3 5 2 4" xfId="37649"/>
    <cellStyle name="注释 2 3 5 2 4 2" xfId="37650"/>
    <cellStyle name="注释 2 3 5 2 5" xfId="37651"/>
    <cellStyle name="注释 2 3 5 3" xfId="37652"/>
    <cellStyle name="注释 2 3 5 3 2" xfId="37653"/>
    <cellStyle name="注释 2 3 5 3 2 2" xfId="37654"/>
    <cellStyle name="注释 2 3 5 3 3" xfId="37655"/>
    <cellStyle name="注释 2 3 5 3 3 2" xfId="37656"/>
    <cellStyle name="注释 2 3 5 3 4" xfId="37657"/>
    <cellStyle name="注释 2 3 5 3 4 2" xfId="37658"/>
    <cellStyle name="注释 2 3 5 3 5" xfId="37659"/>
    <cellStyle name="注释 2 3 5 4" xfId="37660"/>
    <cellStyle name="注释 2 3 5 4 2" xfId="37661"/>
    <cellStyle name="注释 2 3 5 4 2 2" xfId="37662"/>
    <cellStyle name="注释 2 3 5 4 3" xfId="37663"/>
    <cellStyle name="注释 2 3 5 4 3 2" xfId="37664"/>
    <cellStyle name="注释 2 3 5 4 4" xfId="37665"/>
    <cellStyle name="注释 2 3 5 5" xfId="37666"/>
    <cellStyle name="注释 2 3 5 5 2" xfId="37667"/>
    <cellStyle name="注释 2 3 5 6" xfId="37668"/>
    <cellStyle name="注释 2 3 6" xfId="37669"/>
    <cellStyle name="注释 2 3 6 2" xfId="37670"/>
    <cellStyle name="注释 2 3 6 2 2" xfId="37671"/>
    <cellStyle name="注释 2 3 6 2 2 2" xfId="37672"/>
    <cellStyle name="注释 2 3 6 2 3" xfId="37673"/>
    <cellStyle name="注释 2 3 6 2 3 2" xfId="37674"/>
    <cellStyle name="注释 2 3 6 2 4" xfId="37675"/>
    <cellStyle name="注释 2 3 6 2 4 2" xfId="37676"/>
    <cellStyle name="注释 2 3 6 2 5" xfId="37677"/>
    <cellStyle name="注释 2 3 6 3" xfId="37678"/>
    <cellStyle name="注释 2 3 6 3 2" xfId="37679"/>
    <cellStyle name="注释 2 3 6 3 2 2" xfId="37680"/>
    <cellStyle name="注释 2 3 6 3 3" xfId="37681"/>
    <cellStyle name="注释 2 3 6 3 3 2" xfId="37682"/>
    <cellStyle name="注释 2 3 6 3 4" xfId="37683"/>
    <cellStyle name="注释 2 3 6 4" xfId="37684"/>
    <cellStyle name="注释 2 3 6 4 2" xfId="37685"/>
    <cellStyle name="注释 2 3 6 5" xfId="37338"/>
    <cellStyle name="注释 2 3 7" xfId="37686"/>
    <cellStyle name="注释 2 3 7 2" xfId="37687"/>
    <cellStyle name="注释 2 3 7 2 2" xfId="37688"/>
    <cellStyle name="注释 2 3 7 2 2 2" xfId="37689"/>
    <cellStyle name="注释 2 3 7 2 3" xfId="37690"/>
    <cellStyle name="注释 2 3 7 2 3 2" xfId="37691"/>
    <cellStyle name="注释 2 3 7 2 4" xfId="37692"/>
    <cellStyle name="注释 2 3 7 2 4 2" xfId="37693"/>
    <cellStyle name="注释 2 3 7 2 5" xfId="37694"/>
    <cellStyle name="注释 2 3 7 3" xfId="37695"/>
    <cellStyle name="注释 2 3 7 3 2" xfId="37696"/>
    <cellStyle name="注释 2 3 7 3 2 2" xfId="37697"/>
    <cellStyle name="注释 2 3 7 3 3" xfId="37698"/>
    <cellStyle name="注释 2 3 7 3 3 2" xfId="37699"/>
    <cellStyle name="注释 2 3 7 3 4" xfId="37700"/>
    <cellStyle name="注释 2 3 7 4" xfId="37701"/>
    <cellStyle name="注释 2 3 7 4 2" xfId="37702"/>
    <cellStyle name="注释 2 3 7 5" xfId="37341"/>
    <cellStyle name="注释 2 3 8" xfId="37703"/>
    <cellStyle name="注释 2 3 8 2" xfId="37704"/>
    <cellStyle name="注释 2 3 8 2 2" xfId="37705"/>
    <cellStyle name="注释 2 3 8 3" xfId="37706"/>
    <cellStyle name="注释 2 3 8 3 2" xfId="37707"/>
    <cellStyle name="注释 2 3 8 4" xfId="37708"/>
    <cellStyle name="注释 2 3 8 4 2" xfId="37709"/>
    <cellStyle name="注释 2 3 8 5" xfId="37344"/>
    <cellStyle name="注释 2 3 9" xfId="37710"/>
    <cellStyle name="注释 2 3 9 2" xfId="37711"/>
    <cellStyle name="注释 2 3 9 2 2" xfId="37712"/>
    <cellStyle name="注释 2 3 9 3" xfId="37713"/>
    <cellStyle name="注释 2 3 9 3 2" xfId="37714"/>
    <cellStyle name="注释 2 3 9 4" xfId="37715"/>
    <cellStyle name="注释 2 3 9 4 2" xfId="37716"/>
    <cellStyle name="注释 2 3 9 5" xfId="37717"/>
    <cellStyle name="注释 2 4" xfId="37718"/>
    <cellStyle name="注释 2 4 10" xfId="37719"/>
    <cellStyle name="注释 2 4 10 2" xfId="37720"/>
    <cellStyle name="注释 2 4 10 2 2" xfId="37721"/>
    <cellStyle name="注释 2 4 10 3" xfId="37722"/>
    <cellStyle name="注释 2 4 10 3 2" xfId="37723"/>
    <cellStyle name="注释 2 4 10 4" xfId="37724"/>
    <cellStyle name="注释 2 4 10 4 2" xfId="37725"/>
    <cellStyle name="注释 2 4 10 5" xfId="37726"/>
    <cellStyle name="注释 2 4 11" xfId="36127"/>
    <cellStyle name="注释 2 4 11 2" xfId="37727"/>
    <cellStyle name="注释 2 4 11 2 2" xfId="37728"/>
    <cellStyle name="注释 2 4 11 3" xfId="37729"/>
    <cellStyle name="注释 2 4 11 3 2" xfId="37730"/>
    <cellStyle name="注释 2 4 11 4" xfId="37731"/>
    <cellStyle name="注释 2 4 11 4 2" xfId="37732"/>
    <cellStyle name="注释 2 4 11 5" xfId="37733"/>
    <cellStyle name="注释 2 4 12" xfId="37734"/>
    <cellStyle name="注释 2 4 2" xfId="37735"/>
    <cellStyle name="注释 2 4 2 10" xfId="37736"/>
    <cellStyle name="注释 2 4 2 10 2" xfId="37737"/>
    <cellStyle name="注释 2 4 2 10 2 2" xfId="37738"/>
    <cellStyle name="注释 2 4 2 10 3" xfId="37739"/>
    <cellStyle name="注释 2 4 2 10 3 2" xfId="37740"/>
    <cellStyle name="注释 2 4 2 10 4" xfId="37741"/>
    <cellStyle name="注释 2 4 2 10 4 2" xfId="37742"/>
    <cellStyle name="注释 2 4 2 10 5" xfId="34537"/>
    <cellStyle name="注释 2 4 2 2" xfId="37743"/>
    <cellStyle name="注释 2 4 2 2 2" xfId="37744"/>
    <cellStyle name="注释 2 4 2 2 2 2" xfId="37745"/>
    <cellStyle name="注释 2 4 2 2 2 2 2" xfId="37746"/>
    <cellStyle name="注释 2 4 2 2 2 2 2 2" xfId="37747"/>
    <cellStyle name="注释 2 4 2 2 2 2 3" xfId="37748"/>
    <cellStyle name="注释 2 4 2 2 2 2 3 2" xfId="37749"/>
    <cellStyle name="注释 2 4 2 2 2 2 4" xfId="37750"/>
    <cellStyle name="注释 2 4 2 2 2 2 4 2" xfId="37751"/>
    <cellStyle name="注释 2 4 2 2 2 2 5" xfId="37752"/>
    <cellStyle name="注释 2 4 2 2 2 3" xfId="37753"/>
    <cellStyle name="注释 2 4 2 2 2 3 2" xfId="37754"/>
    <cellStyle name="注释 2 4 2 2 2 3 2 2" xfId="37755"/>
    <cellStyle name="注释 2 4 2 2 2 3 3" xfId="37756"/>
    <cellStyle name="注释 2 4 2 2 2 3 3 2" xfId="37757"/>
    <cellStyle name="注释 2 4 2 2 2 3 4" xfId="37758"/>
    <cellStyle name="注释 2 4 2 2 2 4" xfId="37759"/>
    <cellStyle name="注释 2 4 2 2 2 4 2" xfId="37760"/>
    <cellStyle name="注释 2 4 2 2 2 5" xfId="37761"/>
    <cellStyle name="注释 2 4 2 2 3" xfId="37762"/>
    <cellStyle name="注释 2 4 2 2 3 2" xfId="37763"/>
    <cellStyle name="注释 2 4 2 2 3 2 2" xfId="37764"/>
    <cellStyle name="注释 2 4 2 2 3 3" xfId="37765"/>
    <cellStyle name="注释 2 4 2 2 3 3 2" xfId="37766"/>
    <cellStyle name="注释 2 4 2 2 3 4" xfId="37767"/>
    <cellStyle name="注释 2 4 2 2 3 4 2" xfId="7777"/>
    <cellStyle name="注释 2 4 2 2 3 5" xfId="37768"/>
    <cellStyle name="注释 2 4 2 2 4" xfId="20295"/>
    <cellStyle name="注释 2 4 2 2 4 2" xfId="20297"/>
    <cellStyle name="注释 2 4 2 2 4 2 2" xfId="37769"/>
    <cellStyle name="注释 2 4 2 2 4 3" xfId="37770"/>
    <cellStyle name="注释 2 4 2 2 4 3 2" xfId="37771"/>
    <cellStyle name="注释 2 4 2 2 4 4" xfId="37772"/>
    <cellStyle name="注释 2 4 2 2 4 4 2" xfId="37773"/>
    <cellStyle name="注释 2 4 2 2 4 5" xfId="37774"/>
    <cellStyle name="注释 2 4 2 2 5" xfId="20299"/>
    <cellStyle name="注释 2 4 2 2 5 2" xfId="20301"/>
    <cellStyle name="注释 2 4 2 2 5 2 2" xfId="37775"/>
    <cellStyle name="注释 2 4 2 2 5 3" xfId="35768"/>
    <cellStyle name="注释 2 4 2 2 5 3 2" xfId="37776"/>
    <cellStyle name="注释 2 4 2 2 5 4" xfId="37777"/>
    <cellStyle name="注释 2 4 2 2 6" xfId="20303"/>
    <cellStyle name="注释 2 4 2 2 6 2" xfId="20305"/>
    <cellStyle name="注释 2 4 2 2 7" xfId="20308"/>
    <cellStyle name="注释 2 4 2 3" xfId="37778"/>
    <cellStyle name="注释 2 4 2 3 2" xfId="37779"/>
    <cellStyle name="注释 2 4 2 3 2 2" xfId="37780"/>
    <cellStyle name="注释 2 4 2 3 2 2 2" xfId="37781"/>
    <cellStyle name="注释 2 4 2 3 2 2 2 2" xfId="37782"/>
    <cellStyle name="注释 2 4 2 3 2 2 3" xfId="19414"/>
    <cellStyle name="注释 2 4 2 3 2 2 3 2" xfId="37783"/>
    <cellStyle name="注释 2 4 2 3 2 2 4" xfId="37784"/>
    <cellStyle name="注释 2 4 2 3 2 2 4 2" xfId="37785"/>
    <cellStyle name="注释 2 4 2 3 2 2 5" xfId="37786"/>
    <cellStyle name="注释 2 4 2 3 2 3" xfId="37787"/>
    <cellStyle name="注释 2 4 2 3 2 3 2" xfId="37788"/>
    <cellStyle name="注释 2 4 2 3 2 3 2 2" xfId="37789"/>
    <cellStyle name="注释 2 4 2 3 2 3 3" xfId="37790"/>
    <cellStyle name="注释 2 4 2 3 2 3 3 2" xfId="37791"/>
    <cellStyle name="注释 2 4 2 3 2 3 4" xfId="30256"/>
    <cellStyle name="注释 2 4 2 3 2 4" xfId="37792"/>
    <cellStyle name="注释 2 4 2 3 2 4 2" xfId="37793"/>
    <cellStyle name="注释 2 4 2 3 2 5" xfId="37794"/>
    <cellStyle name="注释 2 4 2 3 3" xfId="37795"/>
    <cellStyle name="注释 2 4 2 3 3 2" xfId="37796"/>
    <cellStyle name="注释 2 4 2 3 3 2 2" xfId="37797"/>
    <cellStyle name="注释 2 4 2 3 3 3" xfId="37798"/>
    <cellStyle name="注释 2 4 2 3 3 3 2" xfId="37799"/>
    <cellStyle name="注释 2 4 2 3 3 4" xfId="37800"/>
    <cellStyle name="注释 2 4 2 3 3 4 2" xfId="37801"/>
    <cellStyle name="注释 2 4 2 3 3 5" xfId="37802"/>
    <cellStyle name="注释 2 4 2 3 4" xfId="37803"/>
    <cellStyle name="注释 2 4 2 3 4 2" xfId="37804"/>
    <cellStyle name="注释 2 4 2 3 4 2 2" xfId="37805"/>
    <cellStyle name="注释 2 4 2 3 4 3" xfId="37806"/>
    <cellStyle name="注释 2 4 2 3 4 3 2" xfId="37807"/>
    <cellStyle name="注释 2 4 2 3 4 4" xfId="37808"/>
    <cellStyle name="注释 2 4 2 3 5" xfId="37809"/>
    <cellStyle name="注释 2 4 2 3 5 2" xfId="37810"/>
    <cellStyle name="注释 2 4 2 3 6" xfId="37811"/>
    <cellStyle name="注释 2 4 2 4" xfId="37812"/>
    <cellStyle name="注释 2 4 2 4 2" xfId="37813"/>
    <cellStyle name="注释 2 4 2 4 2 2" xfId="37814"/>
    <cellStyle name="注释 2 4 2 4 2 2 2" xfId="37815"/>
    <cellStyle name="注释 2 4 2 4 2 2 2 2" xfId="37816"/>
    <cellStyle name="注释 2 4 2 4 2 2 3" xfId="20878"/>
    <cellStyle name="注释 2 4 2 4 2 2 3 2" xfId="37817"/>
    <cellStyle name="注释 2 4 2 4 2 2 4" xfId="37818"/>
    <cellStyle name="注释 2 4 2 4 2 2 4 2" xfId="37819"/>
    <cellStyle name="注释 2 4 2 4 2 2 5" xfId="37820"/>
    <cellStyle name="注释 2 4 2 4 2 3" xfId="37821"/>
    <cellStyle name="注释 2 4 2 4 2 3 2" xfId="37822"/>
    <cellStyle name="注释 2 4 2 4 2 3 2 2" xfId="37823"/>
    <cellStyle name="注释 2 4 2 4 2 3 3" xfId="20881"/>
    <cellStyle name="注释 2 4 2 4 2 3 3 2" xfId="37824"/>
    <cellStyle name="注释 2 4 2 4 2 3 4" xfId="37825"/>
    <cellStyle name="注释 2 4 2 4 2 4" xfId="37826"/>
    <cellStyle name="注释 2 4 2 4 2 4 2" xfId="37827"/>
    <cellStyle name="注释 2 4 2 4 2 5" xfId="37828"/>
    <cellStyle name="注释 2 4 2 4 3" xfId="37829"/>
    <cellStyle name="注释 2 4 2 4 3 2" xfId="37830"/>
    <cellStyle name="注释 2 4 2 4 3 2 2" xfId="37831"/>
    <cellStyle name="注释 2 4 2 4 3 3" xfId="37832"/>
    <cellStyle name="注释 2 4 2 4 3 3 2" xfId="37833"/>
    <cellStyle name="注释 2 4 2 4 3 4" xfId="33459"/>
    <cellStyle name="注释 2 4 2 4 3 4 2" xfId="37834"/>
    <cellStyle name="注释 2 4 2 4 3 5" xfId="37835"/>
    <cellStyle name="注释 2 4 2 4 4" xfId="37836"/>
    <cellStyle name="注释 2 4 2 4 4 2" xfId="37837"/>
    <cellStyle name="注释 2 4 2 4 4 2 2" xfId="37838"/>
    <cellStyle name="注释 2 4 2 4 4 3" xfId="37839"/>
    <cellStyle name="注释 2 4 2 4 4 3 2" xfId="37840"/>
    <cellStyle name="注释 2 4 2 4 4 4" xfId="24390"/>
    <cellStyle name="注释 2 4 2 4 5" xfId="37841"/>
    <cellStyle name="注释 2 4 2 4 5 2" xfId="37842"/>
    <cellStyle name="注释 2 4 2 4 6" xfId="37843"/>
    <cellStyle name="注释 2 4 2 5" xfId="37844"/>
    <cellStyle name="注释 2 4 2 5 2" xfId="37845"/>
    <cellStyle name="注释 2 4 2 5 2 2" xfId="37846"/>
    <cellStyle name="注释 2 4 2 5 2 2 2" xfId="37847"/>
    <cellStyle name="注释 2 4 2 5 2 3" xfId="37848"/>
    <cellStyle name="注释 2 4 2 5 2 3 2" xfId="37849"/>
    <cellStyle name="注释 2 4 2 5 2 4" xfId="37850"/>
    <cellStyle name="注释 2 4 2 5 2 4 2" xfId="37851"/>
    <cellStyle name="注释 2 4 2 5 2 5" xfId="37852"/>
    <cellStyle name="注释 2 4 2 5 3" xfId="37853"/>
    <cellStyle name="注释 2 4 2 5 3 2" xfId="37854"/>
    <cellStyle name="注释 2 4 2 5 3 2 2" xfId="37855"/>
    <cellStyle name="注释 2 4 2 5 3 3" xfId="37856"/>
    <cellStyle name="注释 2 4 2 5 3 3 2" xfId="37857"/>
    <cellStyle name="注释 2 4 2 5 3 4" xfId="33466"/>
    <cellStyle name="注释 2 4 2 5 4" xfId="37858"/>
    <cellStyle name="注释 2 4 2 5 4 2" xfId="37859"/>
    <cellStyle name="注释 2 4 2 5 5" xfId="37860"/>
    <cellStyle name="注释 2 4 2 6" xfId="37861"/>
    <cellStyle name="注释 2 4 2 6 2" xfId="37862"/>
    <cellStyle name="注释 2 4 2 6 2 2" xfId="37863"/>
    <cellStyle name="注释 2 4 2 6 2 2 2" xfId="37864"/>
    <cellStyle name="注释 2 4 2 6 2 3" xfId="37865"/>
    <cellStyle name="注释 2 4 2 6 2 3 2" xfId="37866"/>
    <cellStyle name="注释 2 4 2 6 2 4" xfId="37867"/>
    <cellStyle name="注释 2 4 2 6 2 4 2" xfId="26313"/>
    <cellStyle name="注释 2 4 2 6 2 5" xfId="37868"/>
    <cellStyle name="注释 2 4 2 6 3" xfId="37869"/>
    <cellStyle name="注释 2 4 2 6 3 2" xfId="37870"/>
    <cellStyle name="注释 2 4 2 6 3 2 2" xfId="37871"/>
    <cellStyle name="注释 2 4 2 6 3 3" xfId="37872"/>
    <cellStyle name="注释 2 4 2 6 3 3 2" xfId="37873"/>
    <cellStyle name="注释 2 4 2 6 3 4" xfId="37874"/>
    <cellStyle name="注释 2 4 2 6 4" xfId="37875"/>
    <cellStyle name="注释 2 4 2 6 4 2" xfId="37876"/>
    <cellStyle name="注释 2 4 2 6 5" xfId="37877"/>
    <cellStyle name="注释 2 4 2 7" xfId="448"/>
    <cellStyle name="注释 2 4 2 7 2" xfId="459"/>
    <cellStyle name="注释 2 4 2 7 2 2" xfId="7039"/>
    <cellStyle name="注释 2 4 2 7 3" xfId="469"/>
    <cellStyle name="注释 2 4 2 7 3 2" xfId="7043"/>
    <cellStyle name="注释 2 4 2 7 4" xfId="1052"/>
    <cellStyle name="注释 2 4 2 7 4 2" xfId="26"/>
    <cellStyle name="注释 2 4 2 7 5" xfId="777"/>
    <cellStyle name="注释 2 4 2 8" xfId="7047"/>
    <cellStyle name="注释 2 4 2 8 2" xfId="7052"/>
    <cellStyle name="注释 2 4 2 8 2 2" xfId="534"/>
    <cellStyle name="注释 2 4 2 8 3" xfId="7056"/>
    <cellStyle name="注释 2 4 2 8 3 2" xfId="4112"/>
    <cellStyle name="注释 2 4 2 8 4" xfId="7058"/>
    <cellStyle name="注释 2 4 2 8 4 2" xfId="37878"/>
    <cellStyle name="注释 2 4 2 8 5" xfId="37879"/>
    <cellStyle name="注释 2 4 2 9" xfId="2605"/>
    <cellStyle name="注释 2 4 2 9 2" xfId="2612"/>
    <cellStyle name="注释 2 4 2 9 2 2" xfId="37880"/>
    <cellStyle name="注释 2 4 2 9 3" xfId="37881"/>
    <cellStyle name="注释 2 4 2 9 3 2" xfId="15348"/>
    <cellStyle name="注释 2 4 2 9 4" xfId="37882"/>
    <cellStyle name="注释 2 4 2 9 4 2" xfId="37883"/>
    <cellStyle name="注释 2 4 2 9 5" xfId="37884"/>
    <cellStyle name="注释 2 4 3" xfId="37885"/>
    <cellStyle name="注释 2 4 3 2" xfId="37886"/>
    <cellStyle name="注释 2 4 3 2 2" xfId="37887"/>
    <cellStyle name="注释 2 4 3 2 2 2" xfId="37888"/>
    <cellStyle name="注释 2 4 3 2 2 2 2" xfId="37889"/>
    <cellStyle name="注释 2 4 3 2 2 3" xfId="37890"/>
    <cellStyle name="注释 2 4 3 2 2 3 2" xfId="37891"/>
    <cellStyle name="注释 2 4 3 2 2 4" xfId="37892"/>
    <cellStyle name="注释 2 4 3 2 2 4 2" xfId="37893"/>
    <cellStyle name="注释 2 4 3 2 2 5" xfId="37894"/>
    <cellStyle name="注释 2 4 3 2 3" xfId="37895"/>
    <cellStyle name="注释 2 4 3 2 3 2" xfId="37896"/>
    <cellStyle name="注释 2 4 3 2 3 2 2" xfId="37897"/>
    <cellStyle name="注释 2 4 3 2 3 3" xfId="37898"/>
    <cellStyle name="注释 2 4 3 2 3 3 2" xfId="37899"/>
    <cellStyle name="注释 2 4 3 2 3 4" xfId="37900"/>
    <cellStyle name="注释 2 4 3 2 4" xfId="37901"/>
    <cellStyle name="注释 2 4 3 2 4 2" xfId="37902"/>
    <cellStyle name="注释 2 4 3 2 5" xfId="37903"/>
    <cellStyle name="注释 2 4 3 3" xfId="37904"/>
    <cellStyle name="注释 2 4 3 3 2" xfId="37905"/>
    <cellStyle name="注释 2 4 3 3 2 2" xfId="37906"/>
    <cellStyle name="注释 2 4 3 3 3" xfId="37907"/>
    <cellStyle name="注释 2 4 3 3 3 2" xfId="37908"/>
    <cellStyle name="注释 2 4 3 3 4" xfId="37909"/>
    <cellStyle name="注释 2 4 3 3 4 2" xfId="37910"/>
    <cellStyle name="注释 2 4 3 3 5" xfId="37911"/>
    <cellStyle name="注释 2 4 3 4" xfId="37912"/>
    <cellStyle name="注释 2 4 3 4 2" xfId="37913"/>
    <cellStyle name="注释 2 4 3 4 2 2" xfId="37914"/>
    <cellStyle name="注释 2 4 3 4 3" xfId="37915"/>
    <cellStyle name="注释 2 4 3 4 3 2" xfId="37916"/>
    <cellStyle name="注释 2 4 3 4 4" xfId="37917"/>
    <cellStyle name="注释 2 4 3 5" xfId="37918"/>
    <cellStyle name="注释 2 4 3 5 2" xfId="37919"/>
    <cellStyle name="注释 2 4 3 6" xfId="37920"/>
    <cellStyle name="注释 2 4 4" xfId="37921"/>
    <cellStyle name="注释 2 4 4 2" xfId="37922"/>
    <cellStyle name="注释 2 4 4 2 2" xfId="37923"/>
    <cellStyle name="注释 2 4 4 2 2 2" xfId="37924"/>
    <cellStyle name="注释 2 4 4 2 2 2 2" xfId="37925"/>
    <cellStyle name="注释 2 4 4 2 2 3" xfId="37926"/>
    <cellStyle name="注释 2 4 4 2 2 3 2" xfId="37927"/>
    <cellStyle name="注释 2 4 4 2 2 4" xfId="37928"/>
    <cellStyle name="注释 2 4 4 2 2 4 2" xfId="37929"/>
    <cellStyle name="注释 2 4 4 2 2 5" xfId="37930"/>
    <cellStyle name="注释 2 4 4 2 3" xfId="37931"/>
    <cellStyle name="注释 2 4 4 2 3 2" xfId="37932"/>
    <cellStyle name="注释 2 4 4 2 3 2 2" xfId="37933"/>
    <cellStyle name="注释 2 4 4 2 3 3" xfId="37934"/>
    <cellStyle name="注释 2 4 4 2 3 3 2" xfId="37935"/>
    <cellStyle name="注释 2 4 4 2 3 4" xfId="37936"/>
    <cellStyle name="注释 2 4 4 2 4" xfId="37937"/>
    <cellStyle name="注释 2 4 4 2 4 2" xfId="37938"/>
    <cellStyle name="注释 2 4 4 2 5" xfId="37939"/>
    <cellStyle name="注释 2 4 4 3" xfId="37940"/>
    <cellStyle name="注释 2 4 4 3 2" xfId="37941"/>
    <cellStyle name="注释 2 4 4 3 2 2" xfId="37942"/>
    <cellStyle name="注释 2 4 4 3 3" xfId="37943"/>
    <cellStyle name="注释 2 4 4 3 3 2" xfId="37944"/>
    <cellStyle name="注释 2 4 4 3 4" xfId="37945"/>
    <cellStyle name="注释 2 4 4 3 4 2" xfId="37946"/>
    <cellStyle name="注释 2 4 4 3 5" xfId="37947"/>
    <cellStyle name="注释 2 4 4 4" xfId="37948"/>
    <cellStyle name="注释 2 4 4 4 2" xfId="37949"/>
    <cellStyle name="注释 2 4 4 4 2 2" xfId="37950"/>
    <cellStyle name="注释 2 4 4 4 3" xfId="37951"/>
    <cellStyle name="注释 2 4 4 4 3 2" xfId="37952"/>
    <cellStyle name="注释 2 4 4 4 4" xfId="37953"/>
    <cellStyle name="注释 2 4 4 5" xfId="37954"/>
    <cellStyle name="注释 2 4 4 5 2" xfId="37955"/>
    <cellStyle name="注释 2 4 4 6" xfId="37956"/>
    <cellStyle name="注释 2 4 5" xfId="37957"/>
    <cellStyle name="注释 2 4 5 2" xfId="37958"/>
    <cellStyle name="注释 2 4 5 2 2" xfId="37959"/>
    <cellStyle name="注释 2 4 5 2 2 2" xfId="37960"/>
    <cellStyle name="注释 2 4 5 2 2 2 2" xfId="37961"/>
    <cellStyle name="注释 2 4 5 2 2 3" xfId="37962"/>
    <cellStyle name="注释 2 4 5 2 2 3 2" xfId="37963"/>
    <cellStyle name="注释 2 4 5 2 2 4" xfId="37964"/>
    <cellStyle name="注释 2 4 5 2 2 4 2" xfId="37965"/>
    <cellStyle name="注释 2 4 5 2 2 5" xfId="37966"/>
    <cellStyle name="注释 2 4 5 2 3" xfId="37967"/>
    <cellStyle name="注释 2 4 5 2 3 2" xfId="37968"/>
    <cellStyle name="注释 2 4 5 2 3 2 2" xfId="37969"/>
    <cellStyle name="注释 2 4 5 2 3 3" xfId="37970"/>
    <cellStyle name="注释 2 4 5 2 3 3 2" xfId="37971"/>
    <cellStyle name="注释 2 4 5 2 3 4" xfId="37972"/>
    <cellStyle name="注释 2 4 5 2 4" xfId="37973"/>
    <cellStyle name="注释 2 4 5 2 4 2" xfId="37974"/>
    <cellStyle name="注释 2 4 5 2 5" xfId="37975"/>
    <cellStyle name="注释 2 4 5 3" xfId="37976"/>
    <cellStyle name="注释 2 4 5 3 2" xfId="37977"/>
    <cellStyle name="注释 2 4 5 3 2 2" xfId="37978"/>
    <cellStyle name="注释 2 4 5 3 3" xfId="37979"/>
    <cellStyle name="注释 2 4 5 3 3 2" xfId="37980"/>
    <cellStyle name="注释 2 4 5 3 4" xfId="37981"/>
    <cellStyle name="注释 2 4 5 3 4 2" xfId="37982"/>
    <cellStyle name="注释 2 4 5 3 5" xfId="37983"/>
    <cellStyle name="注释 2 4 5 4" xfId="37984"/>
    <cellStyle name="注释 2 4 5 4 2" xfId="37985"/>
    <cellStyle name="注释 2 4 5 4 2 2" xfId="37986"/>
    <cellStyle name="注释 2 4 5 4 3" xfId="37987"/>
    <cellStyle name="注释 2 4 5 4 3 2" xfId="37988"/>
    <cellStyle name="注释 2 4 5 4 4" xfId="37989"/>
    <cellStyle name="注释 2 4 5 5" xfId="37990"/>
    <cellStyle name="注释 2 4 5 5 2" xfId="37991"/>
    <cellStyle name="注释 2 4 5 6" xfId="37992"/>
    <cellStyle name="注释 2 4 6" xfId="37993"/>
    <cellStyle name="注释 2 4 6 2" xfId="37994"/>
    <cellStyle name="注释 2 4 6 2 2" xfId="17516"/>
    <cellStyle name="注释 2 4 6 2 2 2" xfId="37995"/>
    <cellStyle name="注释 2 4 6 2 3" xfId="17519"/>
    <cellStyle name="注释 2 4 6 2 3 2" xfId="37996"/>
    <cellStyle name="注释 2 4 6 2 4" xfId="37997"/>
    <cellStyle name="注释 2 4 6 2 4 2" xfId="37998"/>
    <cellStyle name="注释 2 4 6 2 5" xfId="37999"/>
    <cellStyle name="注释 2 4 6 3" xfId="38000"/>
    <cellStyle name="注释 2 4 6 3 2" xfId="17552"/>
    <cellStyle name="注释 2 4 6 3 2 2" xfId="38001"/>
    <cellStyle name="注释 2 4 6 3 3" xfId="17555"/>
    <cellStyle name="注释 2 4 6 3 3 2" xfId="26010"/>
    <cellStyle name="注释 2 4 6 3 4" xfId="38002"/>
    <cellStyle name="注释 2 4 6 4" xfId="38003"/>
    <cellStyle name="注释 2 4 6 4 2" xfId="17691"/>
    <cellStyle name="注释 2 4 6 5" xfId="1580"/>
    <cellStyle name="注释 2 4 7" xfId="38004"/>
    <cellStyle name="注释 2 4 7 2" xfId="38005"/>
    <cellStyle name="注释 2 4 7 2 2" xfId="38006"/>
    <cellStyle name="注释 2 4 7 2 2 2" xfId="38007"/>
    <cellStyle name="注释 2 4 7 2 3" xfId="38008"/>
    <cellStyle name="注释 2 4 7 2 3 2" xfId="38009"/>
    <cellStyle name="注释 2 4 7 2 4" xfId="38010"/>
    <cellStyle name="注释 2 4 7 2 4 2" xfId="38011"/>
    <cellStyle name="注释 2 4 7 2 5" xfId="38012"/>
    <cellStyle name="注释 2 4 7 3" xfId="38013"/>
    <cellStyle name="注释 2 4 7 3 2" xfId="38014"/>
    <cellStyle name="注释 2 4 7 3 2 2" xfId="38015"/>
    <cellStyle name="注释 2 4 7 3 3" xfId="38016"/>
    <cellStyle name="注释 2 4 7 3 3 2" xfId="38017"/>
    <cellStyle name="注释 2 4 7 3 4" xfId="38018"/>
    <cellStyle name="注释 2 4 7 4" xfId="38019"/>
    <cellStyle name="注释 2 4 7 4 2" xfId="38020"/>
    <cellStyle name="注释 2 4 7 5" xfId="1607"/>
    <cellStyle name="注释 2 4 8" xfId="38021"/>
    <cellStyle name="注释 2 4 8 2" xfId="38022"/>
    <cellStyle name="注释 2 4 8 2 2" xfId="8447"/>
    <cellStyle name="注释 2 4 8 3" xfId="38023"/>
    <cellStyle name="注释 2 4 8 3 2" xfId="38024"/>
    <cellStyle name="注释 2 4 8 4" xfId="38025"/>
    <cellStyle name="注释 2 4 8 4 2" xfId="38026"/>
    <cellStyle name="注释 2 4 8 5" xfId="1630"/>
    <cellStyle name="注释 2 4 9" xfId="38027"/>
    <cellStyle name="注释 2 4 9 2" xfId="38028"/>
    <cellStyle name="注释 2 4 9 2 2" xfId="38029"/>
    <cellStyle name="注释 2 4 9 3" xfId="38030"/>
    <cellStyle name="注释 2 4 9 3 2" xfId="38031"/>
    <cellStyle name="注释 2 4 9 4" xfId="20488"/>
    <cellStyle name="注释 2 4 9 4 2" xfId="38032"/>
    <cellStyle name="注释 2 4 9 5" xfId="20496"/>
    <cellStyle name="注释 2 5" xfId="38033"/>
    <cellStyle name="注释 2 5 10" xfId="38034"/>
    <cellStyle name="注释 2 5 10 2" xfId="38035"/>
    <cellStyle name="注释 2 5 10 2 2" xfId="38036"/>
    <cellStyle name="注释 2 5 10 3" xfId="38037"/>
    <cellStyle name="注释 2 5 10 3 2" xfId="38038"/>
    <cellStyle name="注释 2 5 10 4" xfId="38039"/>
    <cellStyle name="注释 2 5 10 4 2" xfId="38040"/>
    <cellStyle name="注释 2 5 10 5" xfId="38041"/>
    <cellStyle name="注释 2 5 11" xfId="38042"/>
    <cellStyle name="注释 2 5 11 2" xfId="38043"/>
    <cellStyle name="注释 2 5 11 2 2" xfId="38044"/>
    <cellStyle name="注释 2 5 11 3" xfId="38045"/>
    <cellStyle name="注释 2 5 11 3 2" xfId="38046"/>
    <cellStyle name="注释 2 5 11 4" xfId="38047"/>
    <cellStyle name="注释 2 5 11 4 2" xfId="38048"/>
    <cellStyle name="注释 2 5 11 5" xfId="38049"/>
    <cellStyle name="注释 2 5 12" xfId="38050"/>
    <cellStyle name="注释 2 5 2" xfId="38051"/>
    <cellStyle name="注释 2 5 2 10" xfId="38052"/>
    <cellStyle name="注释 2 5 2 10 2" xfId="25718"/>
    <cellStyle name="注释 2 5 2 10 2 2" xfId="25722"/>
    <cellStyle name="注释 2 5 2 10 3" xfId="25727"/>
    <cellStyle name="注释 2 5 2 10 3 2" xfId="38053"/>
    <cellStyle name="注释 2 5 2 10 4" xfId="38054"/>
    <cellStyle name="注释 2 5 2 10 4 2" xfId="38055"/>
    <cellStyle name="注释 2 5 2 10 5" xfId="38056"/>
    <cellStyle name="注释 2 5 2 2" xfId="38057"/>
    <cellStyle name="注释 2 5 2 2 2" xfId="38058"/>
    <cellStyle name="注释 2 5 2 2 2 2" xfId="38059"/>
    <cellStyle name="注释 2 5 2 2 2 2 2" xfId="26736"/>
    <cellStyle name="注释 2 5 2 2 2 2 2 2" xfId="38060"/>
    <cellStyle name="注释 2 5 2 2 2 2 3" xfId="38061"/>
    <cellStyle name="注释 2 5 2 2 2 2 3 2" xfId="38062"/>
    <cellStyle name="注释 2 5 2 2 2 2 4" xfId="38063"/>
    <cellStyle name="注释 2 5 2 2 2 2 4 2" xfId="38064"/>
    <cellStyle name="注释 2 5 2 2 2 2 5" xfId="38065"/>
    <cellStyle name="注释 2 5 2 2 2 3" xfId="38066"/>
    <cellStyle name="注释 2 5 2 2 2 3 2" xfId="26741"/>
    <cellStyle name="注释 2 5 2 2 2 3 2 2" xfId="38067"/>
    <cellStyle name="注释 2 5 2 2 2 3 3" xfId="38068"/>
    <cellStyle name="注释 2 5 2 2 2 3 3 2" xfId="38069"/>
    <cellStyle name="注释 2 5 2 2 2 3 4" xfId="38070"/>
    <cellStyle name="注释 2 5 2 2 2 4" xfId="38071"/>
    <cellStyle name="注释 2 5 2 2 2 4 2" xfId="26749"/>
    <cellStyle name="注释 2 5 2 2 2 5" xfId="38072"/>
    <cellStyle name="注释 2 5 2 2 3" xfId="38073"/>
    <cellStyle name="注释 2 5 2 2 3 2" xfId="38074"/>
    <cellStyle name="注释 2 5 2 2 3 2 2" xfId="38075"/>
    <cellStyle name="注释 2 5 2 2 3 3" xfId="38076"/>
    <cellStyle name="注释 2 5 2 2 3 3 2" xfId="38077"/>
    <cellStyle name="注释 2 5 2 2 3 4" xfId="38078"/>
    <cellStyle name="注释 2 5 2 2 3 4 2" xfId="38079"/>
    <cellStyle name="注释 2 5 2 2 3 5" xfId="38080"/>
    <cellStyle name="注释 2 5 2 2 4" xfId="38081"/>
    <cellStyle name="注释 2 5 2 2 4 2" xfId="38082"/>
    <cellStyle name="注释 2 5 2 2 4 2 2" xfId="38083"/>
    <cellStyle name="注释 2 5 2 2 4 3" xfId="38084"/>
    <cellStyle name="注释 2 5 2 2 4 3 2" xfId="38085"/>
    <cellStyle name="注释 2 5 2 2 4 4" xfId="38086"/>
    <cellStyle name="注释 2 5 2 2 4 4 2" xfId="38087"/>
    <cellStyle name="注释 2 5 2 2 4 5" xfId="38088"/>
    <cellStyle name="注释 2 5 2 2 5" xfId="38089"/>
    <cellStyle name="注释 2 5 2 2 5 2" xfId="38090"/>
    <cellStyle name="注释 2 5 2 2 5 2 2" xfId="38091"/>
    <cellStyle name="注释 2 5 2 2 5 3" xfId="38092"/>
    <cellStyle name="注释 2 5 2 2 5 3 2" xfId="38093"/>
    <cellStyle name="注释 2 5 2 2 5 4" xfId="38094"/>
    <cellStyle name="注释 2 5 2 2 6" xfId="38095"/>
    <cellStyle name="注释 2 5 2 2 6 2" xfId="38096"/>
    <cellStyle name="注释 2 5 2 2 7" xfId="38097"/>
    <cellStyle name="注释 2 5 2 3" xfId="38098"/>
    <cellStyle name="注释 2 5 2 3 2" xfId="38099"/>
    <cellStyle name="注释 2 5 2 3 2 2" xfId="38100"/>
    <cellStyle name="注释 2 5 2 3 2 2 2" xfId="38101"/>
    <cellStyle name="注释 2 5 2 3 2 2 2 2" xfId="38102"/>
    <cellStyle name="注释 2 5 2 3 2 2 3" xfId="38103"/>
    <cellStyle name="注释 2 5 2 3 2 2 3 2" xfId="38104"/>
    <cellStyle name="注释 2 5 2 3 2 2 4" xfId="38105"/>
    <cellStyle name="注释 2 5 2 3 2 2 4 2" xfId="38106"/>
    <cellStyle name="注释 2 5 2 3 2 2 5" xfId="38107"/>
    <cellStyle name="注释 2 5 2 3 2 3" xfId="38108"/>
    <cellStyle name="注释 2 5 2 3 2 3 2" xfId="38109"/>
    <cellStyle name="注释 2 5 2 3 2 3 2 2" xfId="38110"/>
    <cellStyle name="注释 2 5 2 3 2 3 3" xfId="38111"/>
    <cellStyle name="注释 2 5 2 3 2 3 3 2" xfId="38112"/>
    <cellStyle name="注释 2 5 2 3 2 3 4" xfId="22039"/>
    <cellStyle name="注释 2 5 2 3 2 4" xfId="38113"/>
    <cellStyle name="注释 2 5 2 3 2 4 2" xfId="38114"/>
    <cellStyle name="注释 2 5 2 3 2 5" xfId="38115"/>
    <cellStyle name="注释 2 5 2 3 3" xfId="38116"/>
    <cellStyle name="注释 2 5 2 3 3 2" xfId="38117"/>
    <cellStyle name="注释 2 5 2 3 3 2 2" xfId="38118"/>
    <cellStyle name="注释 2 5 2 3 3 3" xfId="38119"/>
    <cellStyle name="注释 2 5 2 3 3 3 2" xfId="38120"/>
    <cellStyle name="注释 2 5 2 3 3 4" xfId="38121"/>
    <cellStyle name="注释 2 5 2 3 3 4 2" xfId="38122"/>
    <cellStyle name="注释 2 5 2 3 3 5" xfId="38123"/>
    <cellStyle name="注释 2 5 2 3 4" xfId="38124"/>
    <cellStyle name="注释 2 5 2 3 4 2" xfId="38125"/>
    <cellStyle name="注释 2 5 2 3 4 2 2" xfId="38126"/>
    <cellStyle name="注释 2 5 2 3 4 3" xfId="38127"/>
    <cellStyle name="注释 2 5 2 3 4 3 2" xfId="38128"/>
    <cellStyle name="注释 2 5 2 3 4 4" xfId="19925"/>
    <cellStyle name="注释 2 5 2 3 5" xfId="38129"/>
    <cellStyle name="注释 2 5 2 3 5 2" xfId="38130"/>
    <cellStyle name="注释 2 5 2 3 6" xfId="38131"/>
    <cellStyle name="注释 2 5 2 4" xfId="38132"/>
    <cellStyle name="注释 2 5 2 4 2" xfId="38133"/>
    <cellStyle name="注释 2 5 2 4 2 2" xfId="38134"/>
    <cellStyle name="注释 2 5 2 4 2 2 2" xfId="38135"/>
    <cellStyle name="注释 2 5 2 4 2 2 2 2" xfId="38136"/>
    <cellStyle name="注释 2 5 2 4 2 2 3" xfId="38137"/>
    <cellStyle name="注释 2 5 2 4 2 2 3 2" xfId="38138"/>
    <cellStyle name="注释 2 5 2 4 2 2 4" xfId="38139"/>
    <cellStyle name="注释 2 5 2 4 2 2 4 2" xfId="14480"/>
    <cellStyle name="注释 2 5 2 4 2 2 5" xfId="38140"/>
    <cellStyle name="注释 2 5 2 4 2 3" xfId="38141"/>
    <cellStyle name="注释 2 5 2 4 2 3 2" xfId="38142"/>
    <cellStyle name="注释 2 5 2 4 2 3 2 2" xfId="38143"/>
    <cellStyle name="注释 2 5 2 4 2 3 3" xfId="38144"/>
    <cellStyle name="注释 2 5 2 4 2 3 3 2" xfId="38145"/>
    <cellStyle name="注释 2 5 2 4 2 3 4" xfId="38146"/>
    <cellStyle name="注释 2 5 2 4 2 4" xfId="38147"/>
    <cellStyle name="注释 2 5 2 4 2 4 2" xfId="38148"/>
    <cellStyle name="注释 2 5 2 4 2 5" xfId="38149"/>
    <cellStyle name="注释 2 5 2 4 3" xfId="38150"/>
    <cellStyle name="注释 2 5 2 4 3 2" xfId="38151"/>
    <cellStyle name="注释 2 5 2 4 3 2 2" xfId="38152"/>
    <cellStyle name="注释 2 5 2 4 3 3" xfId="21926"/>
    <cellStyle name="注释 2 5 2 4 3 3 2" xfId="38153"/>
    <cellStyle name="注释 2 5 2 4 3 4" xfId="38154"/>
    <cellStyle name="注释 2 5 2 4 3 4 2" xfId="38155"/>
    <cellStyle name="注释 2 5 2 4 3 5" xfId="38156"/>
    <cellStyle name="注释 2 5 2 4 4" xfId="38157"/>
    <cellStyle name="注释 2 5 2 4 4 2" xfId="38158"/>
    <cellStyle name="注释 2 5 2 4 4 2 2" xfId="38159"/>
    <cellStyle name="注释 2 5 2 4 4 3" xfId="21930"/>
    <cellStyle name="注释 2 5 2 4 4 3 2" xfId="38160"/>
    <cellStyle name="注释 2 5 2 4 4 4" xfId="38161"/>
    <cellStyle name="注释 2 5 2 4 5" xfId="38162"/>
    <cellStyle name="注释 2 5 2 4 5 2" xfId="38163"/>
    <cellStyle name="注释 2 5 2 4 6" xfId="38164"/>
    <cellStyle name="注释 2 5 2 5" xfId="38165"/>
    <cellStyle name="注释 2 5 2 5 2" xfId="38166"/>
    <cellStyle name="注释 2 5 2 5 2 2" xfId="38167"/>
    <cellStyle name="注释 2 5 2 5 2 2 2" xfId="38168"/>
    <cellStyle name="注释 2 5 2 5 2 3" xfId="38169"/>
    <cellStyle name="注释 2 5 2 5 2 3 2" xfId="38170"/>
    <cellStyle name="注释 2 5 2 5 2 4" xfId="38171"/>
    <cellStyle name="注释 2 5 2 5 2 4 2" xfId="38172"/>
    <cellStyle name="注释 2 5 2 5 2 5" xfId="38173"/>
    <cellStyle name="注释 2 5 2 5 3" xfId="38174"/>
    <cellStyle name="注释 2 5 2 5 3 2" xfId="38175"/>
    <cellStyle name="注释 2 5 2 5 3 2 2" xfId="38176"/>
    <cellStyle name="注释 2 5 2 5 3 3" xfId="38177"/>
    <cellStyle name="注释 2 5 2 5 3 3 2" xfId="38178"/>
    <cellStyle name="注释 2 5 2 5 3 4" xfId="38179"/>
    <cellStyle name="注释 2 5 2 5 4" xfId="38180"/>
    <cellStyle name="注释 2 5 2 5 4 2" xfId="38181"/>
    <cellStyle name="注释 2 5 2 5 5" xfId="38182"/>
    <cellStyle name="注释 2 5 2 6" xfId="38183"/>
    <cellStyle name="注释 2 5 2 6 2" xfId="38184"/>
    <cellStyle name="注释 2 5 2 6 2 2" xfId="38185"/>
    <cellStyle name="注释 2 5 2 6 2 2 2" xfId="38186"/>
    <cellStyle name="注释 2 5 2 6 2 3" xfId="38187"/>
    <cellStyle name="注释 2 5 2 6 2 3 2" xfId="38188"/>
    <cellStyle name="注释 2 5 2 6 2 4" xfId="38189"/>
    <cellStyle name="注释 2 5 2 6 2 4 2" xfId="38190"/>
    <cellStyle name="注释 2 5 2 6 2 5" xfId="38191"/>
    <cellStyle name="注释 2 5 2 6 3" xfId="38192"/>
    <cellStyle name="注释 2 5 2 6 3 2" xfId="38193"/>
    <cellStyle name="注释 2 5 2 6 3 2 2" xfId="38194"/>
    <cellStyle name="注释 2 5 2 6 3 3" xfId="38195"/>
    <cellStyle name="注释 2 5 2 6 3 3 2" xfId="38196"/>
    <cellStyle name="注释 2 5 2 6 3 4" xfId="38197"/>
    <cellStyle name="注释 2 5 2 6 4" xfId="38198"/>
    <cellStyle name="注释 2 5 2 6 4 2" xfId="38199"/>
    <cellStyle name="注释 2 5 2 6 5" xfId="38200"/>
    <cellStyle name="注释 2 5 2 7" xfId="7126"/>
    <cellStyle name="注释 2 5 2 7 2" xfId="38201"/>
    <cellStyle name="注释 2 5 2 7 2 2" xfId="38202"/>
    <cellStyle name="注释 2 5 2 7 3" xfId="38203"/>
    <cellStyle name="注释 2 5 2 7 3 2" xfId="38204"/>
    <cellStyle name="注释 2 5 2 7 4" xfId="38205"/>
    <cellStyle name="注释 2 5 2 7 4 2" xfId="38206"/>
    <cellStyle name="注释 2 5 2 7 5" xfId="38207"/>
    <cellStyle name="注释 2 5 2 8" xfId="38208"/>
    <cellStyle name="注释 2 5 2 8 2" xfId="38209"/>
    <cellStyle name="注释 2 5 2 8 2 2" xfId="38210"/>
    <cellStyle name="注释 2 5 2 8 3" xfId="38211"/>
    <cellStyle name="注释 2 5 2 8 3 2" xfId="38212"/>
    <cellStyle name="注释 2 5 2 8 4" xfId="38213"/>
    <cellStyle name="注释 2 5 2 8 4 2" xfId="38214"/>
    <cellStyle name="注释 2 5 2 8 5" xfId="38215"/>
    <cellStyle name="注释 2 5 2 9" xfId="38216"/>
    <cellStyle name="注释 2 5 2 9 2" xfId="38217"/>
    <cellStyle name="注释 2 5 2 9 2 2" xfId="38218"/>
    <cellStyle name="注释 2 5 2 9 3" xfId="38219"/>
    <cellStyle name="注释 2 5 2 9 3 2" xfId="38220"/>
    <cellStyle name="注释 2 5 2 9 4" xfId="38221"/>
    <cellStyle name="注释 2 5 2 9 4 2" xfId="38222"/>
    <cellStyle name="注释 2 5 2 9 5" xfId="38223"/>
    <cellStyle name="注释 2 5 3" xfId="38224"/>
    <cellStyle name="注释 2 5 3 2" xfId="38225"/>
    <cellStyle name="注释 2 5 3 2 2" xfId="38226"/>
    <cellStyle name="注释 2 5 3 2 2 2" xfId="38227"/>
    <cellStyle name="注释 2 5 3 2 2 2 2" xfId="38228"/>
    <cellStyle name="注释 2 5 3 2 2 3" xfId="38229"/>
    <cellStyle name="注释 2 5 3 2 2 3 2" xfId="38230"/>
    <cellStyle name="注释 2 5 3 2 2 4" xfId="38231"/>
    <cellStyle name="注释 2 5 3 2 2 4 2" xfId="38232"/>
    <cellStyle name="注释 2 5 3 2 2 5" xfId="38233"/>
    <cellStyle name="注释 2 5 3 2 3" xfId="38234"/>
    <cellStyle name="注释 2 5 3 2 3 2" xfId="38235"/>
    <cellStyle name="注释 2 5 3 2 3 2 2" xfId="38236"/>
    <cellStyle name="注释 2 5 3 2 3 3" xfId="38237"/>
    <cellStyle name="注释 2 5 3 2 3 3 2" xfId="38238"/>
    <cellStyle name="注释 2 5 3 2 3 4" xfId="38239"/>
    <cellStyle name="注释 2 5 3 2 4" xfId="38240"/>
    <cellStyle name="注释 2 5 3 2 4 2" xfId="38241"/>
    <cellStyle name="注释 2 5 3 2 5" xfId="38242"/>
    <cellStyle name="注释 2 5 3 3" xfId="38243"/>
    <cellStyle name="注释 2 5 3 3 2" xfId="38244"/>
    <cellStyle name="注释 2 5 3 3 2 2" xfId="38245"/>
    <cellStyle name="注释 2 5 3 3 3" xfId="38246"/>
    <cellStyle name="注释 2 5 3 3 3 2" xfId="38247"/>
    <cellStyle name="注释 2 5 3 3 4" xfId="38248"/>
    <cellStyle name="注释 2 5 3 3 4 2" xfId="38249"/>
    <cellStyle name="注释 2 5 3 3 5" xfId="38250"/>
    <cellStyle name="注释 2 5 3 4" xfId="38251"/>
    <cellStyle name="注释 2 5 3 4 2" xfId="38252"/>
    <cellStyle name="注释 2 5 3 4 2 2" xfId="38253"/>
    <cellStyle name="注释 2 5 3 4 3" xfId="38254"/>
    <cellStyle name="注释 2 5 3 4 3 2" xfId="38255"/>
    <cellStyle name="注释 2 5 3 4 4" xfId="38256"/>
    <cellStyle name="注释 2 5 3 5" xfId="38257"/>
    <cellStyle name="注释 2 5 3 5 2" xfId="38258"/>
    <cellStyle name="注释 2 5 3 6" xfId="38259"/>
    <cellStyle name="注释 2 5 4" xfId="38260"/>
    <cellStyle name="注释 2 5 4 2" xfId="38261"/>
    <cellStyle name="注释 2 5 4 2 2" xfId="38262"/>
    <cellStyle name="注释 2 5 4 2 2 2" xfId="38263"/>
    <cellStyle name="注释 2 5 4 2 2 2 2" xfId="38264"/>
    <cellStyle name="注释 2 5 4 2 2 3" xfId="38265"/>
    <cellStyle name="注释 2 5 4 2 2 3 2" xfId="38266"/>
    <cellStyle name="注释 2 5 4 2 2 4" xfId="38267"/>
    <cellStyle name="注释 2 5 4 2 2 4 2" xfId="38268"/>
    <cellStyle name="注释 2 5 4 2 2 5" xfId="38269"/>
    <cellStyle name="注释 2 5 4 2 3" xfId="38270"/>
    <cellStyle name="注释 2 5 4 2 3 2" xfId="38271"/>
    <cellStyle name="注释 2 5 4 2 3 2 2" xfId="38272"/>
    <cellStyle name="注释 2 5 4 2 3 3" xfId="38273"/>
    <cellStyle name="注释 2 5 4 2 3 3 2" xfId="38274"/>
    <cellStyle name="注释 2 5 4 2 3 4" xfId="38275"/>
    <cellStyle name="注释 2 5 4 2 4" xfId="38276"/>
    <cellStyle name="注释 2 5 4 2 4 2" xfId="38277"/>
    <cellStyle name="注释 2 5 4 2 5" xfId="38278"/>
    <cellStyle name="注释 2 5 4 3" xfId="38279"/>
    <cellStyle name="注释 2 5 4 3 2" xfId="38280"/>
    <cellStyle name="注释 2 5 4 3 2 2" xfId="38281"/>
    <cellStyle name="注释 2 5 4 3 3" xfId="38282"/>
    <cellStyle name="注释 2 5 4 3 3 2" xfId="38283"/>
    <cellStyle name="注释 2 5 4 3 4" xfId="38284"/>
    <cellStyle name="注释 2 5 4 3 4 2" xfId="38285"/>
    <cellStyle name="注释 2 5 4 3 5" xfId="38286"/>
    <cellStyle name="注释 2 5 4 4" xfId="38287"/>
    <cellStyle name="注释 2 5 4 4 2" xfId="38288"/>
    <cellStyle name="注释 2 5 4 4 2 2" xfId="38289"/>
    <cellStyle name="注释 2 5 4 4 3" xfId="38290"/>
    <cellStyle name="注释 2 5 4 4 3 2" xfId="38291"/>
    <cellStyle name="注释 2 5 4 4 4" xfId="38292"/>
    <cellStyle name="注释 2 5 4 5" xfId="38293"/>
    <cellStyle name="注释 2 5 4 5 2" xfId="38294"/>
    <cellStyle name="注释 2 5 4 6" xfId="38295"/>
    <cellStyle name="注释 2 5 5" xfId="38296"/>
    <cellStyle name="注释 2 5 5 2" xfId="38297"/>
    <cellStyle name="注释 2 5 5 2 2" xfId="38298"/>
    <cellStyle name="注释 2 5 5 2 2 2" xfId="38299"/>
    <cellStyle name="注释 2 5 5 2 2 2 2" xfId="38300"/>
    <cellStyle name="注释 2 5 5 2 2 3" xfId="38301"/>
    <cellStyle name="注释 2 5 5 2 2 3 2" xfId="38302"/>
    <cellStyle name="注释 2 5 5 2 2 4" xfId="38303"/>
    <cellStyle name="注释 2 5 5 2 2 4 2" xfId="38304"/>
    <cellStyle name="注释 2 5 5 2 2 5" xfId="38305"/>
    <cellStyle name="注释 2 5 5 2 3" xfId="38306"/>
    <cellStyle name="注释 2 5 5 2 3 2" xfId="38307"/>
    <cellStyle name="注释 2 5 5 2 3 2 2" xfId="34061"/>
    <cellStyle name="注释 2 5 5 2 3 3" xfId="38308"/>
    <cellStyle name="注释 2 5 5 2 3 3 2" xfId="38309"/>
    <cellStyle name="注释 2 5 5 2 3 4" xfId="38310"/>
    <cellStyle name="注释 2 5 5 2 4" xfId="38311"/>
    <cellStyle name="注释 2 5 5 2 4 2" xfId="38312"/>
    <cellStyle name="注释 2 5 5 2 5" xfId="31700"/>
    <cellStyle name="注释 2 5 5 3" xfId="38313"/>
    <cellStyle name="注释 2 5 5 3 2" xfId="38314"/>
    <cellStyle name="注释 2 5 5 3 2 2" xfId="38315"/>
    <cellStyle name="注释 2 5 5 3 3" xfId="35295"/>
    <cellStyle name="注释 2 5 5 3 3 2" xfId="35297"/>
    <cellStyle name="注释 2 5 5 3 4" xfId="35299"/>
    <cellStyle name="注释 2 5 5 3 4 2" xfId="35301"/>
    <cellStyle name="注释 2 5 5 3 5" xfId="31704"/>
    <cellStyle name="注释 2 5 5 4" xfId="38316"/>
    <cellStyle name="注释 2 5 5 4 2" xfId="38317"/>
    <cellStyle name="注释 2 5 5 4 2 2" xfId="38318"/>
    <cellStyle name="注释 2 5 5 4 3" xfId="35306"/>
    <cellStyle name="注释 2 5 5 4 3 2" xfId="35308"/>
    <cellStyle name="注释 2 5 5 4 4" xfId="35310"/>
    <cellStyle name="注释 2 5 5 5" xfId="38319"/>
    <cellStyle name="注释 2 5 5 5 2" xfId="38320"/>
    <cellStyle name="注释 2 5 5 6" xfId="38321"/>
    <cellStyle name="注释 2 5 6" xfId="38322"/>
    <cellStyle name="注释 2 5 6 2" xfId="38323"/>
    <cellStyle name="注释 2 5 6 2 2" xfId="38324"/>
    <cellStyle name="注释 2 5 6 2 2 2" xfId="38325"/>
    <cellStyle name="注释 2 5 6 2 3" xfId="38326"/>
    <cellStyle name="注释 2 5 6 2 3 2" xfId="38327"/>
    <cellStyle name="注释 2 5 6 2 4" xfId="38328"/>
    <cellStyle name="注释 2 5 6 2 4 2" xfId="38329"/>
    <cellStyle name="注释 2 5 6 2 5" xfId="31711"/>
    <cellStyle name="注释 2 5 6 3" xfId="38330"/>
    <cellStyle name="注释 2 5 6 3 2" xfId="38331"/>
    <cellStyle name="注释 2 5 6 3 2 2" xfId="38332"/>
    <cellStyle name="注释 2 5 6 3 3" xfId="35319"/>
    <cellStyle name="注释 2 5 6 3 3 2" xfId="38333"/>
    <cellStyle name="注释 2 5 6 3 4" xfId="38334"/>
    <cellStyle name="注释 2 5 6 4" xfId="38335"/>
    <cellStyle name="注释 2 5 6 4 2" xfId="38336"/>
    <cellStyle name="注释 2 5 6 5" xfId="38337"/>
    <cellStyle name="注释 2 5 7" xfId="38338"/>
    <cellStyle name="注释 2 5 7 2" xfId="38339"/>
    <cellStyle name="注释 2 5 7 2 2" xfId="38340"/>
    <cellStyle name="注释 2 5 7 2 2 2" xfId="38341"/>
    <cellStyle name="注释 2 5 7 2 3" xfId="38342"/>
    <cellStyle name="注释 2 5 7 2 3 2" xfId="38343"/>
    <cellStyle name="注释 2 5 7 2 4" xfId="38344"/>
    <cellStyle name="注释 2 5 7 2 4 2" xfId="38345"/>
    <cellStyle name="注释 2 5 7 2 5" xfId="38346"/>
    <cellStyle name="注释 2 5 7 3" xfId="38347"/>
    <cellStyle name="注释 2 5 7 3 2" xfId="38348"/>
    <cellStyle name="注释 2 5 7 3 2 2" xfId="38349"/>
    <cellStyle name="注释 2 5 7 3 3" xfId="35328"/>
    <cellStyle name="注释 2 5 7 3 3 2" xfId="38350"/>
    <cellStyle name="注释 2 5 7 3 4" xfId="38351"/>
    <cellStyle name="注释 2 5 7 4" xfId="38352"/>
    <cellStyle name="注释 2 5 7 4 2" xfId="38353"/>
    <cellStyle name="注释 2 5 7 5" xfId="38354"/>
    <cellStyle name="注释 2 5 8" xfId="38355"/>
    <cellStyle name="注释 2 5 8 2" xfId="38356"/>
    <cellStyle name="注释 2 5 8 2 2" xfId="38357"/>
    <cellStyle name="注释 2 5 8 3" xfId="38358"/>
    <cellStyle name="注释 2 5 8 3 2" xfId="38359"/>
    <cellStyle name="注释 2 5 8 4" xfId="38360"/>
    <cellStyle name="注释 2 5 8 4 2" xfId="38361"/>
    <cellStyle name="注释 2 5 8 5" xfId="38362"/>
    <cellStyle name="注释 2 5 9" xfId="38363"/>
    <cellStyle name="注释 2 5 9 2" xfId="38364"/>
    <cellStyle name="注释 2 5 9 2 2" xfId="38365"/>
    <cellStyle name="注释 2 5 9 3" xfId="20757"/>
    <cellStyle name="注释 2 5 9 3 2" xfId="20760"/>
    <cellStyle name="注释 2 5 9 4" xfId="20762"/>
    <cellStyle name="注释 2 5 9 4 2" xfId="20764"/>
    <cellStyle name="注释 2 5 9 5" xfId="20766"/>
    <cellStyle name="注释 2 6" xfId="1074"/>
    <cellStyle name="注释 2 6 10" xfId="38366"/>
    <cellStyle name="注释 2 6 10 2" xfId="38367"/>
    <cellStyle name="注释 2 6 10 2 2" xfId="38368"/>
    <cellStyle name="注释 2 6 10 3" xfId="38369"/>
    <cellStyle name="注释 2 6 10 3 2" xfId="38370"/>
    <cellStyle name="注释 2 6 10 4" xfId="38371"/>
    <cellStyle name="注释 2 6 10 4 2" xfId="38372"/>
    <cellStyle name="注释 2 6 10 5" xfId="38373"/>
    <cellStyle name="注释 2 6 11" xfId="38374"/>
    <cellStyle name="注释 2 6 11 2" xfId="38375"/>
    <cellStyle name="注释 2 6 11 2 2" xfId="38376"/>
    <cellStyle name="注释 2 6 11 3" xfId="38377"/>
    <cellStyle name="注释 2 6 11 3 2" xfId="38378"/>
    <cellStyle name="注释 2 6 11 4" xfId="38379"/>
    <cellStyle name="注释 2 6 11 4 2" xfId="38380"/>
    <cellStyle name="注释 2 6 11 5" xfId="38381"/>
    <cellStyle name="注释 2 6 12" xfId="38382"/>
    <cellStyle name="注释 2 6 2" xfId="38383"/>
    <cellStyle name="注释 2 6 2 10" xfId="38384"/>
    <cellStyle name="注释 2 6 2 10 2" xfId="38385"/>
    <cellStyle name="注释 2 6 2 10 2 2" xfId="38386"/>
    <cellStyle name="注释 2 6 2 10 3" xfId="38387"/>
    <cellStyle name="注释 2 6 2 10 3 2" xfId="26567"/>
    <cellStyle name="注释 2 6 2 10 4" xfId="38388"/>
    <cellStyle name="注释 2 6 2 10 4 2" xfId="38389"/>
    <cellStyle name="注释 2 6 2 10 5" xfId="38390"/>
    <cellStyle name="注释 2 6 2 2" xfId="38391"/>
    <cellStyle name="注释 2 6 2 2 2" xfId="38392"/>
    <cellStyle name="注释 2 6 2 2 2 2" xfId="38393"/>
    <cellStyle name="注释 2 6 2 2 2 2 2" xfId="38394"/>
    <cellStyle name="注释 2 6 2 2 2 2 2 2" xfId="38395"/>
    <cellStyle name="注释 2 6 2 2 2 2 3" xfId="38396"/>
    <cellStyle name="注释 2 6 2 2 2 2 3 2" xfId="38397"/>
    <cellStyle name="注释 2 6 2 2 2 2 4" xfId="38398"/>
    <cellStyle name="注释 2 6 2 2 2 2 4 2" xfId="38399"/>
    <cellStyle name="注释 2 6 2 2 2 2 5" xfId="38400"/>
    <cellStyle name="注释 2 6 2 2 2 3" xfId="38401"/>
    <cellStyle name="注释 2 6 2 2 2 3 2" xfId="38402"/>
    <cellStyle name="注释 2 6 2 2 2 3 2 2" xfId="38403"/>
    <cellStyle name="注释 2 6 2 2 2 3 3" xfId="38404"/>
    <cellStyle name="注释 2 6 2 2 2 3 3 2" xfId="38405"/>
    <cellStyle name="注释 2 6 2 2 2 3 4" xfId="38406"/>
    <cellStyle name="注释 2 6 2 2 2 4" xfId="38407"/>
    <cellStyle name="注释 2 6 2 2 2 4 2" xfId="38408"/>
    <cellStyle name="注释 2 6 2 2 2 5" xfId="11501"/>
    <cellStyle name="注释 2 6 2 2 3" xfId="38409"/>
    <cellStyle name="注释 2 6 2 2 3 2" xfId="28189"/>
    <cellStyle name="注释 2 6 2 2 3 2 2" xfId="29268"/>
    <cellStyle name="注释 2 6 2 2 3 3" xfId="38410"/>
    <cellStyle name="注释 2 6 2 2 3 3 2" xfId="38411"/>
    <cellStyle name="注释 2 6 2 2 3 4" xfId="38412"/>
    <cellStyle name="注释 2 6 2 2 3 4 2" xfId="38413"/>
    <cellStyle name="注释 2 6 2 2 3 5" xfId="38414"/>
    <cellStyle name="注释 2 6 2 2 4" xfId="38415"/>
    <cellStyle name="注释 2 6 2 2 4 2" xfId="25785"/>
    <cellStyle name="注释 2 6 2 2 4 2 2" xfId="38416"/>
    <cellStyle name="注释 2 6 2 2 4 3" xfId="38417"/>
    <cellStyle name="注释 2 6 2 2 4 3 2" xfId="38418"/>
    <cellStyle name="注释 2 6 2 2 4 4" xfId="38419"/>
    <cellStyle name="注释 2 6 2 2 4 4 2" xfId="38420"/>
    <cellStyle name="注释 2 6 2 2 4 5" xfId="38421"/>
    <cellStyle name="注释 2 6 2 2 5" xfId="38422"/>
    <cellStyle name="注释 2 6 2 2 5 2" xfId="38423"/>
    <cellStyle name="注释 2 6 2 2 5 2 2" xfId="17785"/>
    <cellStyle name="注释 2 6 2 2 5 3" xfId="38424"/>
    <cellStyle name="注释 2 6 2 2 5 3 2" xfId="38425"/>
    <cellStyle name="注释 2 6 2 2 5 4" xfId="38426"/>
    <cellStyle name="注释 2 6 2 2 6" xfId="38427"/>
    <cellStyle name="注释 2 6 2 2 6 2" xfId="38428"/>
    <cellStyle name="注释 2 6 2 2 7" xfId="38429"/>
    <cellStyle name="注释 2 6 2 3" xfId="38430"/>
    <cellStyle name="注释 2 6 2 3 2" xfId="38431"/>
    <cellStyle name="注释 2 6 2 3 2 2" xfId="38432"/>
    <cellStyle name="注释 2 6 2 3 2 2 2" xfId="38433"/>
    <cellStyle name="注释 2 6 2 3 2 2 2 2" xfId="38434"/>
    <cellStyle name="注释 2 6 2 3 2 2 3" xfId="38435"/>
    <cellStyle name="注释 2 6 2 3 2 2 3 2" xfId="38436"/>
    <cellStyle name="注释 2 6 2 3 2 2 4" xfId="38437"/>
    <cellStyle name="注释 2 6 2 3 2 2 4 2" xfId="38438"/>
    <cellStyle name="注释 2 6 2 3 2 2 5" xfId="38439"/>
    <cellStyle name="注释 2 6 2 3 2 3" xfId="38440"/>
    <cellStyle name="注释 2 6 2 3 2 3 2" xfId="38441"/>
    <cellStyle name="注释 2 6 2 3 2 3 2 2" xfId="38442"/>
    <cellStyle name="注释 2 6 2 3 2 3 3" xfId="38443"/>
    <cellStyle name="注释 2 6 2 3 2 3 3 2" xfId="38444"/>
    <cellStyle name="注释 2 6 2 3 2 3 4" xfId="38445"/>
    <cellStyle name="注释 2 6 2 3 2 4" xfId="38446"/>
    <cellStyle name="注释 2 6 2 3 2 4 2" xfId="38447"/>
    <cellStyle name="注释 2 6 2 3 2 5" xfId="38448"/>
    <cellStyle name="注释 2 6 2 3 3" xfId="38449"/>
    <cellStyle name="注释 2 6 2 3 3 2" xfId="28350"/>
    <cellStyle name="注释 2 6 2 3 3 2 2" xfId="38450"/>
    <cellStyle name="注释 2 6 2 3 3 3" xfId="38451"/>
    <cellStyle name="注释 2 6 2 3 3 3 2" xfId="38452"/>
    <cellStyle name="注释 2 6 2 3 3 4" xfId="38453"/>
    <cellStyle name="注释 2 6 2 3 3 4 2" xfId="38454"/>
    <cellStyle name="注释 2 6 2 3 3 5" xfId="38455"/>
    <cellStyle name="注释 2 6 2 3 4" xfId="38456"/>
    <cellStyle name="注释 2 6 2 3 4 2" xfId="31794"/>
    <cellStyle name="注释 2 6 2 3 4 2 2" xfId="38457"/>
    <cellStyle name="注释 2 6 2 3 4 3" xfId="38458"/>
    <cellStyle name="注释 2 6 2 3 4 3 2" xfId="38459"/>
    <cellStyle name="注释 2 6 2 3 4 4" xfId="38460"/>
    <cellStyle name="注释 2 6 2 3 5" xfId="38461"/>
    <cellStyle name="注释 2 6 2 3 5 2" xfId="38462"/>
    <cellStyle name="注释 2 6 2 3 6" xfId="38463"/>
    <cellStyle name="注释 2 6 2 4" xfId="38464"/>
    <cellStyle name="注释 2 6 2 4 2" xfId="38465"/>
    <cellStyle name="注释 2 6 2 4 2 2" xfId="38466"/>
    <cellStyle name="注释 2 6 2 4 2 2 2" xfId="38467"/>
    <cellStyle name="注释 2 6 2 4 2 2 2 2" xfId="38468"/>
    <cellStyle name="注释 2 6 2 4 2 2 3" xfId="38469"/>
    <cellStyle name="注释 2 6 2 4 2 2 3 2" xfId="38470"/>
    <cellStyle name="注释 2 6 2 4 2 2 4" xfId="38471"/>
    <cellStyle name="注释 2 6 2 4 2 2 4 2" xfId="38472"/>
    <cellStyle name="注释 2 6 2 4 2 2 5" xfId="38473"/>
    <cellStyle name="注释 2 6 2 4 2 3" xfId="38474"/>
    <cellStyle name="注释 2 6 2 4 2 3 2" xfId="38475"/>
    <cellStyle name="注释 2 6 2 4 2 3 2 2" xfId="38476"/>
    <cellStyle name="注释 2 6 2 4 2 3 3" xfId="38477"/>
    <cellStyle name="注释 2 6 2 4 2 3 3 2" xfId="38478"/>
    <cellStyle name="注释 2 6 2 4 2 3 4" xfId="38479"/>
    <cellStyle name="注释 2 6 2 4 2 4" xfId="38480"/>
    <cellStyle name="注释 2 6 2 4 2 4 2" xfId="38481"/>
    <cellStyle name="注释 2 6 2 4 2 5" xfId="38482"/>
    <cellStyle name="注释 2 6 2 4 3" xfId="38483"/>
    <cellStyle name="注释 2 6 2 4 3 2" xfId="31801"/>
    <cellStyle name="注释 2 6 2 4 3 2 2" xfId="38484"/>
    <cellStyle name="注释 2 6 2 4 3 3" xfId="38485"/>
    <cellStyle name="注释 2 6 2 4 3 3 2" xfId="38486"/>
    <cellStyle name="注释 2 6 2 4 3 4" xfId="38487"/>
    <cellStyle name="注释 2 6 2 4 3 4 2" xfId="38488"/>
    <cellStyle name="注释 2 6 2 4 3 5" xfId="38489"/>
    <cellStyle name="注释 2 6 2 4 4" xfId="38490"/>
    <cellStyle name="注释 2 6 2 4 4 2" xfId="38491"/>
    <cellStyle name="注释 2 6 2 4 4 2 2" xfId="38492"/>
    <cellStyle name="注释 2 6 2 4 4 3" xfId="38493"/>
    <cellStyle name="注释 2 6 2 4 4 3 2" xfId="38494"/>
    <cellStyle name="注释 2 6 2 4 4 4" xfId="38495"/>
    <cellStyle name="注释 2 6 2 4 5" xfId="38496"/>
    <cellStyle name="注释 2 6 2 4 5 2" xfId="38497"/>
    <cellStyle name="注释 2 6 2 4 6" xfId="38498"/>
    <cellStyle name="注释 2 6 2 5" xfId="38499"/>
    <cellStyle name="注释 2 6 2 5 2" xfId="38500"/>
    <cellStyle name="注释 2 6 2 5 2 2" xfId="38501"/>
    <cellStyle name="注释 2 6 2 5 2 2 2" xfId="38502"/>
    <cellStyle name="注释 2 6 2 5 2 3" xfId="38503"/>
    <cellStyle name="注释 2 6 2 5 2 3 2" xfId="38504"/>
    <cellStyle name="注释 2 6 2 5 2 4" xfId="38505"/>
    <cellStyle name="注释 2 6 2 5 2 4 2" xfId="38506"/>
    <cellStyle name="注释 2 6 2 5 2 5" xfId="38507"/>
    <cellStyle name="注释 2 6 2 5 3" xfId="38508"/>
    <cellStyle name="注释 2 6 2 5 3 2" xfId="21086"/>
    <cellStyle name="注释 2 6 2 5 3 2 2" xfId="38509"/>
    <cellStyle name="注释 2 6 2 5 3 3" xfId="38510"/>
    <cellStyle name="注释 2 6 2 5 3 3 2" xfId="38511"/>
    <cellStyle name="注释 2 6 2 5 3 4" xfId="38512"/>
    <cellStyle name="注释 2 6 2 5 4" xfId="38513"/>
    <cellStyle name="注释 2 6 2 5 4 2" xfId="38514"/>
    <cellStyle name="注释 2 6 2 5 5" xfId="38515"/>
    <cellStyle name="注释 2 6 2 6" xfId="38516"/>
    <cellStyle name="注释 2 6 2 6 2" xfId="38517"/>
    <cellStyle name="注释 2 6 2 6 2 2" xfId="38518"/>
    <cellStyle name="注释 2 6 2 6 2 2 2" xfId="38519"/>
    <cellStyle name="注释 2 6 2 6 2 3" xfId="38520"/>
    <cellStyle name="注释 2 6 2 6 2 3 2" xfId="38521"/>
    <cellStyle name="注释 2 6 2 6 2 4" xfId="38522"/>
    <cellStyle name="注释 2 6 2 6 2 4 2" xfId="38523"/>
    <cellStyle name="注释 2 6 2 6 2 5" xfId="38524"/>
    <cellStyle name="注释 2 6 2 6 3" xfId="38525"/>
    <cellStyle name="注释 2 6 2 6 3 2" xfId="38526"/>
    <cellStyle name="注释 2 6 2 6 3 2 2" xfId="38527"/>
    <cellStyle name="注释 2 6 2 6 3 3" xfId="38528"/>
    <cellStyle name="注释 2 6 2 6 3 3 2" xfId="38529"/>
    <cellStyle name="注释 2 6 2 6 3 4" xfId="38530"/>
    <cellStyle name="注释 2 6 2 6 4" xfId="38531"/>
    <cellStyle name="注释 2 6 2 6 4 2" xfId="38532"/>
    <cellStyle name="注释 2 6 2 6 5" xfId="38533"/>
    <cellStyle name="注释 2 6 2 7" xfId="38534"/>
    <cellStyle name="注释 2 6 2 7 2" xfId="38535"/>
    <cellStyle name="注释 2 6 2 7 2 2" xfId="38536"/>
    <cellStyle name="注释 2 6 2 7 3" xfId="38537"/>
    <cellStyle name="注释 2 6 2 7 3 2" xfId="38538"/>
    <cellStyle name="注释 2 6 2 7 4" xfId="38539"/>
    <cellStyle name="注释 2 6 2 7 4 2" xfId="38540"/>
    <cellStyle name="注释 2 6 2 7 5" xfId="36978"/>
    <cellStyle name="注释 2 6 2 8" xfId="38541"/>
    <cellStyle name="注释 2 6 2 8 2" xfId="38542"/>
    <cellStyle name="注释 2 6 2 8 2 2" xfId="36853"/>
    <cellStyle name="注释 2 6 2 8 3" xfId="38543"/>
    <cellStyle name="注释 2 6 2 8 3 2" xfId="38544"/>
    <cellStyle name="注释 2 6 2 8 4" xfId="38545"/>
    <cellStyle name="注释 2 6 2 8 4 2" xfId="38546"/>
    <cellStyle name="注释 2 6 2 8 5" xfId="36986"/>
    <cellStyle name="注释 2 6 2 9" xfId="38547"/>
    <cellStyle name="注释 2 6 2 9 2" xfId="38548"/>
    <cellStyle name="注释 2 6 2 9 2 2" xfId="38549"/>
    <cellStyle name="注释 2 6 2 9 3" xfId="38550"/>
    <cellStyle name="注释 2 6 2 9 3 2" xfId="38551"/>
    <cellStyle name="注释 2 6 2 9 4" xfId="38552"/>
    <cellStyle name="注释 2 6 2 9 4 2" xfId="38553"/>
    <cellStyle name="注释 2 6 2 9 5" xfId="36992"/>
    <cellStyle name="注释 2 6 3" xfId="38554"/>
    <cellStyle name="注释 2 6 3 2" xfId="38555"/>
    <cellStyle name="注释 2 6 3 2 2" xfId="38556"/>
    <cellStyle name="注释 2 6 3 2 2 2" xfId="38557"/>
    <cellStyle name="注释 2 6 3 2 2 2 2" xfId="38558"/>
    <cellStyle name="注释 2 6 3 2 2 3" xfId="38559"/>
    <cellStyle name="注释 2 6 3 2 2 3 2" xfId="38560"/>
    <cellStyle name="注释 2 6 3 2 2 4" xfId="38561"/>
    <cellStyle name="注释 2 6 3 2 2 4 2" xfId="38562"/>
    <cellStyle name="注释 2 6 3 2 2 5" xfId="38563"/>
    <cellStyle name="注释 2 6 3 2 3" xfId="38564"/>
    <cellStyle name="注释 2 6 3 2 3 2" xfId="31850"/>
    <cellStyle name="注释 2 6 3 2 3 2 2" xfId="38565"/>
    <cellStyle name="注释 2 6 3 2 3 3" xfId="38566"/>
    <cellStyle name="注释 2 6 3 2 3 3 2" xfId="38567"/>
    <cellStyle name="注释 2 6 3 2 3 4" xfId="38568"/>
    <cellStyle name="注释 2 6 3 2 4" xfId="38569"/>
    <cellStyle name="注释 2 6 3 2 4 2" xfId="30191"/>
    <cellStyle name="注释 2 6 3 2 5" xfId="38570"/>
    <cellStyle name="注释 2 6 3 3" xfId="38571"/>
    <cellStyle name="注释 2 6 3 3 2" xfId="38572"/>
    <cellStyle name="注释 2 6 3 3 2 2" xfId="38573"/>
    <cellStyle name="注释 2 6 3 3 3" xfId="38574"/>
    <cellStyle name="注释 2 6 3 3 3 2" xfId="31865"/>
    <cellStyle name="注释 2 6 3 3 4" xfId="38575"/>
    <cellStyle name="注释 2 6 3 3 4 2" xfId="31875"/>
    <cellStyle name="注释 2 6 3 3 5" xfId="38576"/>
    <cellStyle name="注释 2 6 3 4" xfId="38577"/>
    <cellStyle name="注释 2 6 3 4 2" xfId="38578"/>
    <cellStyle name="注释 2 6 3 4 2 2" xfId="6281"/>
    <cellStyle name="注释 2 6 3 4 3" xfId="38579"/>
    <cellStyle name="注释 2 6 3 4 3 2" xfId="27429"/>
    <cellStyle name="注释 2 6 3 4 4" xfId="38580"/>
    <cellStyle name="注释 2 6 3 5" xfId="38581"/>
    <cellStyle name="注释 2 6 3 5 2" xfId="38582"/>
    <cellStyle name="注释 2 6 3 6" xfId="38583"/>
    <cellStyle name="注释 2 6 4" xfId="38584"/>
    <cellStyle name="注释 2 6 4 2" xfId="38585"/>
    <cellStyle name="注释 2 6 4 2 2" xfId="38586"/>
    <cellStyle name="注释 2 6 4 2 2 2" xfId="38587"/>
    <cellStyle name="注释 2 6 4 2 2 2 2" xfId="38588"/>
    <cellStyle name="注释 2 6 4 2 2 3" xfId="38589"/>
    <cellStyle name="注释 2 6 4 2 2 3 2" xfId="38590"/>
    <cellStyle name="注释 2 6 4 2 2 4" xfId="38591"/>
    <cellStyle name="注释 2 6 4 2 2 4 2" xfId="38592"/>
    <cellStyle name="注释 2 6 4 2 2 5" xfId="38593"/>
    <cellStyle name="注释 2 6 4 2 3" xfId="38594"/>
    <cellStyle name="注释 2 6 4 2 3 2" xfId="31948"/>
    <cellStyle name="注释 2 6 4 2 3 2 2" xfId="38595"/>
    <cellStyle name="注释 2 6 4 2 3 3" xfId="38596"/>
    <cellStyle name="注释 2 6 4 2 3 3 2" xfId="38597"/>
    <cellStyle name="注释 2 6 4 2 3 4" xfId="38598"/>
    <cellStyle name="注释 2 6 4 2 4" xfId="38599"/>
    <cellStyle name="注释 2 6 4 2 4 2" xfId="31959"/>
    <cellStyle name="注释 2 6 4 2 5" xfId="38600"/>
    <cellStyle name="注释 2 6 4 3" xfId="38601"/>
    <cellStyle name="注释 2 6 4 3 2" xfId="38602"/>
    <cellStyle name="注释 2 6 4 3 2 2" xfId="38603"/>
    <cellStyle name="注释 2 6 4 3 3" xfId="38604"/>
    <cellStyle name="注释 2 6 4 3 3 2" xfId="31976"/>
    <cellStyle name="注释 2 6 4 3 4" xfId="38605"/>
    <cellStyle name="注释 2 6 4 3 4 2" xfId="31987"/>
    <cellStyle name="注释 2 6 4 3 5" xfId="38606"/>
    <cellStyle name="注释 2 6 4 4" xfId="38607"/>
    <cellStyle name="注释 2 6 4 4 2" xfId="38608"/>
    <cellStyle name="注释 2 6 4 4 2 2" xfId="38609"/>
    <cellStyle name="注释 2 6 4 4 3" xfId="38610"/>
    <cellStyle name="注释 2 6 4 4 3 2" xfId="31999"/>
    <cellStyle name="注释 2 6 4 4 4" xfId="38611"/>
    <cellStyle name="注释 2 6 4 5" xfId="38612"/>
    <cellStyle name="注释 2 6 4 5 2" xfId="38613"/>
    <cellStyle name="注释 2 6 4 6" xfId="38614"/>
    <cellStyle name="注释 2 6 5" xfId="38615"/>
    <cellStyle name="注释 2 6 5 2" xfId="38616"/>
    <cellStyle name="注释 2 6 5 2 2" xfId="38617"/>
    <cellStyle name="注释 2 6 5 2 2 2" xfId="34665"/>
    <cellStyle name="注释 2 6 5 2 2 2 2" xfId="38618"/>
    <cellStyle name="注释 2 6 5 2 2 3" xfId="38619"/>
    <cellStyle name="注释 2 6 5 2 2 3 2" xfId="38620"/>
    <cellStyle name="注释 2 6 5 2 2 4" xfId="38621"/>
    <cellStyle name="注释 2 6 5 2 2 4 2" xfId="38622"/>
    <cellStyle name="注释 2 6 5 2 2 5" xfId="38623"/>
    <cellStyle name="注释 2 6 5 2 3" xfId="38624"/>
    <cellStyle name="注释 2 6 5 2 3 2" xfId="34674"/>
    <cellStyle name="注释 2 6 5 2 3 2 2" xfId="38625"/>
    <cellStyle name="注释 2 6 5 2 3 3" xfId="38626"/>
    <cellStyle name="注释 2 6 5 2 3 3 2" xfId="38627"/>
    <cellStyle name="注释 2 6 5 2 3 4" xfId="38628"/>
    <cellStyle name="注释 2 6 5 2 4" xfId="38629"/>
    <cellStyle name="注释 2 6 5 2 4 2" xfId="38630"/>
    <cellStyle name="注释 2 6 5 2 5" xfId="38631"/>
    <cellStyle name="注释 2 6 5 3" xfId="38632"/>
    <cellStyle name="注释 2 6 5 3 2" xfId="38633"/>
    <cellStyle name="注释 2 6 5 3 2 2" xfId="38634"/>
    <cellStyle name="注释 2 6 5 3 3" xfId="35338"/>
    <cellStyle name="注释 2 6 5 3 3 2" xfId="35340"/>
    <cellStyle name="注释 2 6 5 3 4" xfId="35342"/>
    <cellStyle name="注释 2 6 5 3 4 2" xfId="35344"/>
    <cellStyle name="注释 2 6 5 3 5" xfId="35346"/>
    <cellStyle name="注释 2 6 5 4" xfId="38635"/>
    <cellStyle name="注释 2 6 5 4 2" xfId="38636"/>
    <cellStyle name="注释 2 6 5 4 2 2" xfId="38637"/>
    <cellStyle name="注释 2 6 5 4 3" xfId="35351"/>
    <cellStyle name="注释 2 6 5 4 3 2" xfId="35353"/>
    <cellStyle name="注释 2 6 5 4 4" xfId="35355"/>
    <cellStyle name="注释 2 6 5 5" xfId="38638"/>
    <cellStyle name="注释 2 6 5 5 2" xfId="38639"/>
    <cellStyle name="注释 2 6 5 6" xfId="38640"/>
    <cellStyle name="注释 2 6 6" xfId="38641"/>
    <cellStyle name="注释 2 6 6 2" xfId="38642"/>
    <cellStyle name="注释 2 6 6 2 2" xfId="38643"/>
    <cellStyle name="注释 2 6 6 2 2 2" xfId="25146"/>
    <cellStyle name="注释 2 6 6 2 3" xfId="38644"/>
    <cellStyle name="注释 2 6 6 2 3 2" xfId="25208"/>
    <cellStyle name="注释 2 6 6 2 4" xfId="38645"/>
    <cellStyle name="注释 2 6 6 2 4 2" xfId="21848"/>
    <cellStyle name="注释 2 6 6 2 5" xfId="38646"/>
    <cellStyle name="注释 2 6 6 3" xfId="38647"/>
    <cellStyle name="注释 2 6 6 3 2" xfId="38648"/>
    <cellStyle name="注释 2 6 6 3 2 2" xfId="38649"/>
    <cellStyle name="注释 2 6 6 3 3" xfId="35363"/>
    <cellStyle name="注释 2 6 6 3 3 2" xfId="38650"/>
    <cellStyle name="注释 2 6 6 3 4" xfId="38651"/>
    <cellStyle name="注释 2 6 6 4" xfId="38652"/>
    <cellStyle name="注释 2 6 6 4 2" xfId="38653"/>
    <cellStyle name="注释 2 6 6 5" xfId="38654"/>
    <cellStyle name="注释 2 6 7" xfId="38655"/>
    <cellStyle name="注释 2 6 7 2" xfId="38656"/>
    <cellStyle name="注释 2 6 7 2 2" xfId="38657"/>
    <cellStyle name="注释 2 6 7 2 2 2" xfId="17036"/>
    <cellStyle name="注释 2 6 7 2 3" xfId="38658"/>
    <cellStyle name="注释 2 6 7 2 3 2" xfId="38659"/>
    <cellStyle name="注释 2 6 7 2 4" xfId="38660"/>
    <cellStyle name="注释 2 6 7 2 4 2" xfId="38661"/>
    <cellStyle name="注释 2 6 7 2 5" xfId="38662"/>
    <cellStyle name="注释 2 6 7 3" xfId="38663"/>
    <cellStyle name="注释 2 6 7 3 2" xfId="38664"/>
    <cellStyle name="注释 2 6 7 3 2 2" xfId="38665"/>
    <cellStyle name="注释 2 6 7 3 3" xfId="35371"/>
    <cellStyle name="注释 2 6 7 3 3 2" xfId="38666"/>
    <cellStyle name="注释 2 6 7 3 4" xfId="38667"/>
    <cellStyle name="注释 2 6 7 4" xfId="38668"/>
    <cellStyle name="注释 2 6 7 4 2" xfId="38669"/>
    <cellStyle name="注释 2 6 7 5" xfId="38670"/>
    <cellStyle name="注释 2 6 8" xfId="38671"/>
    <cellStyle name="注释 2 6 8 2" xfId="38672"/>
    <cellStyle name="注释 2 6 8 2 2" xfId="38673"/>
    <cellStyle name="注释 2 6 8 3" xfId="38674"/>
    <cellStyle name="注释 2 6 8 3 2" xfId="38675"/>
    <cellStyle name="注释 2 6 8 4" xfId="38676"/>
    <cellStyle name="注释 2 6 8 4 2" xfId="38677"/>
    <cellStyle name="注释 2 6 8 5" xfId="38678"/>
    <cellStyle name="注释 2 6 9" xfId="38679"/>
    <cellStyle name="注释 2 6 9 2" xfId="38680"/>
    <cellStyle name="注释 2 6 9 2 2" xfId="38681"/>
    <cellStyle name="注释 2 6 9 3" xfId="38682"/>
    <cellStyle name="注释 2 6 9 3 2" xfId="38683"/>
    <cellStyle name="注释 2 6 9 4" xfId="38684"/>
    <cellStyle name="注释 2 6 9 4 2" xfId="38685"/>
    <cellStyle name="注释 2 6 9 5" xfId="38686"/>
    <cellStyle name="注释 2 7" xfId="38687"/>
    <cellStyle name="注释 2 7 10" xfId="38688"/>
    <cellStyle name="注释 2 7 10 2" xfId="38689"/>
    <cellStyle name="注释 2 7 10 2 2" xfId="38690"/>
    <cellStyle name="注释 2 7 10 3" xfId="38691"/>
    <cellStyle name="注释 2 7 10 3 2" xfId="38692"/>
    <cellStyle name="注释 2 7 10 4" xfId="38693"/>
    <cellStyle name="注释 2 7 10 4 2" xfId="38694"/>
    <cellStyle name="注释 2 7 10 5" xfId="38695"/>
    <cellStyle name="注释 2 7 11" xfId="38696"/>
    <cellStyle name="注释 2 7 11 2" xfId="38697"/>
    <cellStyle name="注释 2 7 11 2 2" xfId="38698"/>
    <cellStyle name="注释 2 7 11 3" xfId="25255"/>
    <cellStyle name="注释 2 7 11 3 2" xfId="8104"/>
    <cellStyle name="注释 2 7 11 4" xfId="25259"/>
    <cellStyle name="注释 2 7 11 4 2" xfId="8118"/>
    <cellStyle name="注释 2 7 11 5" xfId="28608"/>
    <cellStyle name="注释 2 7 12" xfId="38699"/>
    <cellStyle name="注释 2 7 2" xfId="38700"/>
    <cellStyle name="注释 2 7 2 10" xfId="38701"/>
    <cellStyle name="注释 2 7 2 10 2" xfId="38702"/>
    <cellStyle name="注释 2 7 2 10 2 2" xfId="38703"/>
    <cellStyle name="注释 2 7 2 10 3" xfId="38704"/>
    <cellStyle name="注释 2 7 2 10 3 2" xfId="38705"/>
    <cellStyle name="注释 2 7 2 10 4" xfId="38706"/>
    <cellStyle name="注释 2 7 2 10 4 2" xfId="38707"/>
    <cellStyle name="注释 2 7 2 10 5" xfId="38708"/>
    <cellStyle name="注释 2 7 2 2" xfId="38709"/>
    <cellStyle name="注释 2 7 2 2 2" xfId="38710"/>
    <cellStyle name="注释 2 7 2 2 2 2" xfId="38711"/>
    <cellStyle name="注释 2 7 2 2 2 2 2" xfId="38712"/>
    <cellStyle name="注释 2 7 2 2 2 2 2 2" xfId="38713"/>
    <cellStyle name="注释 2 7 2 2 2 2 3" xfId="38714"/>
    <cellStyle name="注释 2 7 2 2 2 2 3 2" xfId="38715"/>
    <cellStyle name="注释 2 7 2 2 2 2 4" xfId="38716"/>
    <cellStyle name="注释 2 7 2 2 2 2 4 2" xfId="38717"/>
    <cellStyle name="注释 2 7 2 2 2 2 5" xfId="38718"/>
    <cellStyle name="注释 2 7 2 2 2 3" xfId="38719"/>
    <cellStyle name="注释 2 7 2 2 2 3 2" xfId="38720"/>
    <cellStyle name="注释 2 7 2 2 2 3 2 2" xfId="38721"/>
    <cellStyle name="注释 2 7 2 2 2 3 3" xfId="38722"/>
    <cellStyle name="注释 2 7 2 2 2 3 3 2" xfId="38723"/>
    <cellStyle name="注释 2 7 2 2 2 3 4" xfId="38724"/>
    <cellStyle name="注释 2 7 2 2 2 4" xfId="38725"/>
    <cellStyle name="注释 2 7 2 2 2 4 2" xfId="38726"/>
    <cellStyle name="注释 2 7 2 2 2 5" xfId="38727"/>
    <cellStyle name="注释 2 7 2 2 3" xfId="38728"/>
    <cellStyle name="注释 2 7 2 2 3 2" xfId="38729"/>
    <cellStyle name="注释 2 7 2 2 3 2 2" xfId="38730"/>
    <cellStyle name="注释 2 7 2 2 3 3" xfId="38731"/>
    <cellStyle name="注释 2 7 2 2 3 3 2" xfId="38732"/>
    <cellStyle name="注释 2 7 2 2 3 4" xfId="38733"/>
    <cellStyle name="注释 2 7 2 2 3 4 2" xfId="38734"/>
    <cellStyle name="注释 2 7 2 2 3 5" xfId="38735"/>
    <cellStyle name="注释 2 7 2 2 4" xfId="38736"/>
    <cellStyle name="注释 2 7 2 2 4 2" xfId="38737"/>
    <cellStyle name="注释 2 7 2 2 4 2 2" xfId="38738"/>
    <cellStyle name="注释 2 7 2 2 4 3" xfId="38739"/>
    <cellStyle name="注释 2 7 2 2 4 3 2" xfId="38740"/>
    <cellStyle name="注释 2 7 2 2 4 4" xfId="38741"/>
    <cellStyle name="注释 2 7 2 2 4 4 2" xfId="38742"/>
    <cellStyle name="注释 2 7 2 2 4 5" xfId="38743"/>
    <cellStyle name="注释 2 7 2 2 5" xfId="38744"/>
    <cellStyle name="注释 2 7 2 2 5 2" xfId="38745"/>
    <cellStyle name="注释 2 7 2 2 5 2 2" xfId="38746"/>
    <cellStyle name="注释 2 7 2 2 5 3" xfId="38747"/>
    <cellStyle name="注释 2 7 2 2 5 3 2" xfId="38748"/>
    <cellStyle name="注释 2 7 2 2 5 4" xfId="38749"/>
    <cellStyle name="注释 2 7 2 2 6" xfId="38750"/>
    <cellStyle name="注释 2 7 2 2 6 2" xfId="38751"/>
    <cellStyle name="注释 2 7 2 2 7" xfId="38752"/>
    <cellStyle name="注释 2 7 2 3" xfId="38753"/>
    <cellStyle name="注释 2 7 2 3 2" xfId="38754"/>
    <cellStyle name="注释 2 7 2 3 2 2" xfId="38755"/>
    <cellStyle name="注释 2 7 2 3 2 2 2" xfId="38756"/>
    <cellStyle name="注释 2 7 2 3 2 2 2 2" xfId="38757"/>
    <cellStyle name="注释 2 7 2 3 2 2 3" xfId="38758"/>
    <cellStyle name="注释 2 7 2 3 2 2 3 2" xfId="38759"/>
    <cellStyle name="注释 2 7 2 3 2 2 4" xfId="38760"/>
    <cellStyle name="注释 2 7 2 3 2 2 4 2" xfId="38761"/>
    <cellStyle name="注释 2 7 2 3 2 2 5" xfId="13758"/>
    <cellStyle name="注释 2 7 2 3 2 3" xfId="38762"/>
    <cellStyle name="注释 2 7 2 3 2 3 2" xfId="38763"/>
    <cellStyle name="注释 2 7 2 3 2 3 2 2" xfId="38764"/>
    <cellStyle name="注释 2 7 2 3 2 3 3" xfId="38765"/>
    <cellStyle name="注释 2 7 2 3 2 3 3 2" xfId="38766"/>
    <cellStyle name="注释 2 7 2 3 2 3 4" xfId="38767"/>
    <cellStyle name="注释 2 7 2 3 2 4" xfId="38768"/>
    <cellStyle name="注释 2 7 2 3 2 4 2" xfId="38769"/>
    <cellStyle name="注释 2 7 2 3 2 5" xfId="38770"/>
    <cellStyle name="注释 2 7 2 3 3" xfId="38771"/>
    <cellStyle name="注释 2 7 2 3 3 2" xfId="38772"/>
    <cellStyle name="注释 2 7 2 3 3 2 2" xfId="38773"/>
    <cellStyle name="注释 2 7 2 3 3 3" xfId="38774"/>
    <cellStyle name="注释 2 7 2 3 3 3 2" xfId="38775"/>
    <cellStyle name="注释 2 7 2 3 3 4" xfId="38776"/>
    <cellStyle name="注释 2 7 2 3 3 4 2" xfId="38777"/>
    <cellStyle name="注释 2 7 2 3 3 5" xfId="38778"/>
    <cellStyle name="注释 2 7 2 3 4" xfId="38779"/>
    <cellStyle name="注释 2 7 2 3 4 2" xfId="38780"/>
    <cellStyle name="注释 2 7 2 3 4 2 2" xfId="38781"/>
    <cellStyle name="注释 2 7 2 3 4 3" xfId="38782"/>
    <cellStyle name="注释 2 7 2 3 4 3 2" xfId="38783"/>
    <cellStyle name="注释 2 7 2 3 4 4" xfId="38784"/>
    <cellStyle name="注释 2 7 2 3 5" xfId="38785"/>
    <cellStyle name="注释 2 7 2 3 5 2" xfId="38786"/>
    <cellStyle name="注释 2 7 2 3 6" xfId="38787"/>
    <cellStyle name="注释 2 7 2 4" xfId="38788"/>
    <cellStyle name="注释 2 7 2 4 2" xfId="38789"/>
    <cellStyle name="注释 2 7 2 4 2 2" xfId="38790"/>
    <cellStyle name="注释 2 7 2 4 2 2 2" xfId="28631"/>
    <cellStyle name="注释 2 7 2 4 2 2 2 2" xfId="38791"/>
    <cellStyle name="注释 2 7 2 4 2 2 3" xfId="28635"/>
    <cellStyle name="注释 2 7 2 4 2 2 3 2" xfId="38793"/>
    <cellStyle name="注释 2 7 2 4 2 2 4" xfId="38795"/>
    <cellStyle name="注释 2 7 2 4 2 2 4 2" xfId="38797"/>
    <cellStyle name="注释 2 7 2 4 2 2 5" xfId="12232"/>
    <cellStyle name="注释 2 7 2 4 2 3" xfId="38798"/>
    <cellStyle name="注释 2 7 2 4 2 3 2" xfId="28638"/>
    <cellStyle name="注释 2 7 2 4 2 3 2 2" xfId="38799"/>
    <cellStyle name="注释 2 7 2 4 2 3 3" xfId="28642"/>
    <cellStyle name="注释 2 7 2 4 2 3 3 2" xfId="38800"/>
    <cellStyle name="注释 2 7 2 4 2 3 4" xfId="38801"/>
    <cellStyle name="注释 2 7 2 4 2 4" xfId="38802"/>
    <cellStyle name="注释 2 7 2 4 2 4 2" xfId="28645"/>
    <cellStyle name="注释 2 7 2 4 2 5" xfId="38803"/>
    <cellStyle name="注释 2 7 2 4 3" xfId="38804"/>
    <cellStyle name="注释 2 7 2 4 3 2" xfId="38805"/>
    <cellStyle name="注释 2 7 2 4 3 2 2" xfId="28847"/>
    <cellStyle name="注释 2 7 2 4 3 3" xfId="38806"/>
    <cellStyle name="注释 2 7 2 4 3 3 2" xfId="20673"/>
    <cellStyle name="注释 2 7 2 4 3 4" xfId="38807"/>
    <cellStyle name="注释 2 7 2 4 3 4 2" xfId="20678"/>
    <cellStyle name="注释 2 7 2 4 3 5" xfId="38808"/>
    <cellStyle name="注释 2 7 2 4 4" xfId="38809"/>
    <cellStyle name="注释 2 7 2 4 4 2" xfId="38810"/>
    <cellStyle name="注释 2 7 2 4 4 2 2" xfId="38811"/>
    <cellStyle name="注释 2 7 2 4 4 3" xfId="38812"/>
    <cellStyle name="注释 2 7 2 4 4 3 2" xfId="38813"/>
    <cellStyle name="注释 2 7 2 4 4 4" xfId="38814"/>
    <cellStyle name="注释 2 7 2 4 5" xfId="38815"/>
    <cellStyle name="注释 2 7 2 4 5 2" xfId="38816"/>
    <cellStyle name="注释 2 7 2 4 6" xfId="38817"/>
    <cellStyle name="注释 2 7 2 5" xfId="38818"/>
    <cellStyle name="注释 2 7 2 5 2" xfId="38819"/>
    <cellStyle name="注释 2 7 2 5 2 2" xfId="38820"/>
    <cellStyle name="注释 2 7 2 5 2 2 2" xfId="38821"/>
    <cellStyle name="注释 2 7 2 5 2 3" xfId="38822"/>
    <cellStyle name="注释 2 7 2 5 2 3 2" xfId="38823"/>
    <cellStyle name="注释 2 7 2 5 2 4" xfId="38824"/>
    <cellStyle name="注释 2 7 2 5 2 4 2" xfId="38825"/>
    <cellStyle name="注释 2 7 2 5 2 5" xfId="38826"/>
    <cellStyle name="注释 2 7 2 5 3" xfId="38827"/>
    <cellStyle name="注释 2 7 2 5 3 2" xfId="38828"/>
    <cellStyle name="注释 2 7 2 5 3 2 2" xfId="38829"/>
    <cellStyle name="注释 2 7 2 5 3 3" xfId="38830"/>
    <cellStyle name="注释 2 7 2 5 3 3 2" xfId="38831"/>
    <cellStyle name="注释 2 7 2 5 3 4" xfId="38832"/>
    <cellStyle name="注释 2 7 2 5 4" xfId="38833"/>
    <cellStyle name="注释 2 7 2 5 4 2" xfId="38834"/>
    <cellStyle name="注释 2 7 2 5 5" xfId="38835"/>
    <cellStyle name="注释 2 7 2 6" xfId="38836"/>
    <cellStyle name="注释 2 7 2 6 2" xfId="38837"/>
    <cellStyle name="注释 2 7 2 6 2 2" xfId="38838"/>
    <cellStyle name="注释 2 7 2 6 2 2 2" xfId="38839"/>
    <cellStyle name="注释 2 7 2 6 2 3" xfId="38840"/>
    <cellStyle name="注释 2 7 2 6 2 3 2" xfId="38841"/>
    <cellStyle name="注释 2 7 2 6 2 4" xfId="38842"/>
    <cellStyle name="注释 2 7 2 6 2 4 2" xfId="38843"/>
    <cellStyle name="注释 2 7 2 6 2 5" xfId="38844"/>
    <cellStyle name="注释 2 7 2 6 3" xfId="38845"/>
    <cellStyle name="注释 2 7 2 6 3 2" xfId="38846"/>
    <cellStyle name="注释 2 7 2 6 3 2 2" xfId="38847"/>
    <cellStyle name="注释 2 7 2 6 3 3" xfId="38848"/>
    <cellStyle name="注释 2 7 2 6 3 3 2" xfId="38849"/>
    <cellStyle name="注释 2 7 2 6 3 4" xfId="38850"/>
    <cellStyle name="注释 2 7 2 6 4" xfId="38851"/>
    <cellStyle name="注释 2 7 2 6 4 2" xfId="38852"/>
    <cellStyle name="注释 2 7 2 6 5" xfId="38853"/>
    <cellStyle name="注释 2 7 2 7" xfId="38854"/>
    <cellStyle name="注释 2 7 2 7 2" xfId="38855"/>
    <cellStyle name="注释 2 7 2 7 2 2" xfId="38856"/>
    <cellStyle name="注释 2 7 2 7 3" xfId="38857"/>
    <cellStyle name="注释 2 7 2 7 3 2" xfId="38858"/>
    <cellStyle name="注释 2 7 2 7 4" xfId="38859"/>
    <cellStyle name="注释 2 7 2 7 4 2" xfId="38860"/>
    <cellStyle name="注释 2 7 2 7 5" xfId="38861"/>
    <cellStyle name="注释 2 7 2 8" xfId="38862"/>
    <cellStyle name="注释 2 7 2 8 2" xfId="38863"/>
    <cellStyle name="注释 2 7 2 8 2 2" xfId="38864"/>
    <cellStyle name="注释 2 7 2 8 3" xfId="38865"/>
    <cellStyle name="注释 2 7 2 8 3 2" xfId="38866"/>
    <cellStyle name="注释 2 7 2 8 4" xfId="38867"/>
    <cellStyle name="注释 2 7 2 8 4 2" xfId="38868"/>
    <cellStyle name="注释 2 7 2 8 5" xfId="38869"/>
    <cellStyle name="注释 2 7 2 9" xfId="38870"/>
    <cellStyle name="注释 2 7 2 9 2" xfId="38871"/>
    <cellStyle name="注释 2 7 2 9 2 2" xfId="38872"/>
    <cellStyle name="注释 2 7 2 9 3" xfId="38873"/>
    <cellStyle name="注释 2 7 2 9 3 2" xfId="3821"/>
    <cellStyle name="注释 2 7 2 9 4" xfId="38874"/>
    <cellStyle name="注释 2 7 2 9 4 2" xfId="38875"/>
    <cellStyle name="注释 2 7 2 9 5" xfId="38876"/>
    <cellStyle name="注释 2 7 3" xfId="38877"/>
    <cellStyle name="注释 2 7 3 2" xfId="38878"/>
    <cellStyle name="注释 2 7 3 2 2" xfId="38879"/>
    <cellStyle name="注释 2 7 3 2 2 2" xfId="38880"/>
    <cellStyle name="注释 2 7 3 2 2 2 2" xfId="38881"/>
    <cellStyle name="注释 2 7 3 2 2 3" xfId="38882"/>
    <cellStyle name="注释 2 7 3 2 2 3 2" xfId="38883"/>
    <cellStyle name="注释 2 7 3 2 2 4" xfId="38884"/>
    <cellStyle name="注释 2 7 3 2 2 4 2" xfId="38885"/>
    <cellStyle name="注释 2 7 3 2 2 5" xfId="38886"/>
    <cellStyle name="注释 2 7 3 2 3" xfId="38887"/>
    <cellStyle name="注释 2 7 3 2 3 2" xfId="38888"/>
    <cellStyle name="注释 2 7 3 2 3 2 2" xfId="38889"/>
    <cellStyle name="注释 2 7 3 2 3 3" xfId="38890"/>
    <cellStyle name="注释 2 7 3 2 3 3 2" xfId="38891"/>
    <cellStyle name="注释 2 7 3 2 3 4" xfId="38892"/>
    <cellStyle name="注释 2 7 3 2 4" xfId="38893"/>
    <cellStyle name="注释 2 7 3 2 4 2" xfId="38894"/>
    <cellStyle name="注释 2 7 3 2 5" xfId="38895"/>
    <cellStyle name="注释 2 7 3 3" xfId="38896"/>
    <cellStyle name="注释 2 7 3 3 2" xfId="38897"/>
    <cellStyle name="注释 2 7 3 3 2 2" xfId="38898"/>
    <cellStyle name="注释 2 7 3 3 3" xfId="38899"/>
    <cellStyle name="注释 2 7 3 3 3 2" xfId="38900"/>
    <cellStyle name="注释 2 7 3 3 4" xfId="38901"/>
    <cellStyle name="注释 2 7 3 3 4 2" xfId="38902"/>
    <cellStyle name="注释 2 7 3 3 5" xfId="38903"/>
    <cellStyle name="注释 2 7 3 4" xfId="38904"/>
    <cellStyle name="注释 2 7 3 4 2" xfId="38905"/>
    <cellStyle name="注释 2 7 3 4 2 2" xfId="38906"/>
    <cellStyle name="注释 2 7 3 4 3" xfId="38907"/>
    <cellStyle name="注释 2 7 3 4 3 2" xfId="38908"/>
    <cellStyle name="注释 2 7 3 4 4" xfId="38909"/>
    <cellStyle name="注释 2 7 3 5" xfId="38910"/>
    <cellStyle name="注释 2 7 3 5 2" xfId="38911"/>
    <cellStyle name="注释 2 7 3 6" xfId="38912"/>
    <cellStyle name="注释 2 7 4" xfId="38913"/>
    <cellStyle name="注释 2 7 4 2" xfId="38914"/>
    <cellStyle name="注释 2 7 4 2 2" xfId="38915"/>
    <cellStyle name="注释 2 7 4 2 2 2" xfId="38916"/>
    <cellStyle name="注释 2 7 4 2 2 2 2" xfId="38917"/>
    <cellStyle name="注释 2 7 4 2 2 3" xfId="38918"/>
    <cellStyle name="注释 2 7 4 2 2 3 2" xfId="38919"/>
    <cellStyle name="注释 2 7 4 2 2 4" xfId="38920"/>
    <cellStyle name="注释 2 7 4 2 2 4 2" xfId="38921"/>
    <cellStyle name="注释 2 7 4 2 2 5" xfId="38922"/>
    <cellStyle name="注释 2 7 4 2 3" xfId="38923"/>
    <cellStyle name="注释 2 7 4 2 3 2" xfId="12124"/>
    <cellStyle name="注释 2 7 4 2 3 2 2" xfId="401"/>
    <cellStyle name="注释 2 7 4 2 3 3" xfId="21580"/>
    <cellStyle name="注释 2 7 4 2 3 3 2" xfId="4038"/>
    <cellStyle name="注释 2 7 4 2 3 4" xfId="38924"/>
    <cellStyle name="注释 2 7 4 2 4" xfId="38925"/>
    <cellStyle name="注释 2 7 4 2 4 2" xfId="38926"/>
    <cellStyle name="注释 2 7 4 2 5" xfId="38927"/>
    <cellStyle name="注释 2 7 4 3" xfId="38928"/>
    <cellStyle name="注释 2 7 4 3 2" xfId="38929"/>
    <cellStyle name="注释 2 7 4 3 2 2" xfId="38930"/>
    <cellStyle name="注释 2 7 4 3 3" xfId="38931"/>
    <cellStyle name="注释 2 7 4 3 3 2" xfId="38932"/>
    <cellStyle name="注释 2 7 4 3 4" xfId="38933"/>
    <cellStyle name="注释 2 7 4 3 4 2" xfId="38934"/>
    <cellStyle name="注释 2 7 4 3 5" xfId="38935"/>
    <cellStyle name="注释 2 7 4 4" xfId="38936"/>
    <cellStyle name="注释 2 7 4 4 2" xfId="38937"/>
    <cellStyle name="注释 2 7 4 4 2 2" xfId="38938"/>
    <cellStyle name="注释 2 7 4 4 3" xfId="38939"/>
    <cellStyle name="注释 2 7 4 4 3 2" xfId="38940"/>
    <cellStyle name="注释 2 7 4 4 4" xfId="38941"/>
    <cellStyle name="注释 2 7 4 5" xfId="38942"/>
    <cellStyle name="注释 2 7 4 5 2" xfId="38943"/>
    <cellStyle name="注释 2 7 4 6" xfId="38944"/>
    <cellStyle name="注释 2 7 5" xfId="38945"/>
    <cellStyle name="注释 2 7 5 2" xfId="12175"/>
    <cellStyle name="注释 2 7 5 2 2" xfId="38946"/>
    <cellStyle name="注释 2 7 5 2 2 2" xfId="38947"/>
    <cellStyle name="注释 2 7 5 2 2 2 2" xfId="26155"/>
    <cellStyle name="注释 2 7 5 2 2 3" xfId="38948"/>
    <cellStyle name="注释 2 7 5 2 2 3 2" xfId="26167"/>
    <cellStyle name="注释 2 7 5 2 2 4" xfId="38949"/>
    <cellStyle name="注释 2 7 5 2 2 4 2" xfId="26174"/>
    <cellStyle name="注释 2 7 5 2 2 5" xfId="38950"/>
    <cellStyle name="注释 2 7 5 2 3" xfId="38951"/>
    <cellStyle name="注释 2 7 5 2 3 2" xfId="38952"/>
    <cellStyle name="注释 2 7 5 2 3 2 2" xfId="38953"/>
    <cellStyle name="注释 2 7 5 2 3 3" xfId="38954"/>
    <cellStyle name="注释 2 7 5 2 3 3 2" xfId="38955"/>
    <cellStyle name="注释 2 7 5 2 3 4" xfId="38956"/>
    <cellStyle name="注释 2 7 5 2 4" xfId="38957"/>
    <cellStyle name="注释 2 7 5 2 4 2" xfId="38958"/>
    <cellStyle name="注释 2 7 5 2 5" xfId="38959"/>
    <cellStyle name="注释 2 7 5 3" xfId="38960"/>
    <cellStyle name="注释 2 7 5 3 2" xfId="38961"/>
    <cellStyle name="注释 2 7 5 3 2 2" xfId="38962"/>
    <cellStyle name="注释 2 7 5 3 3" xfId="35380"/>
    <cellStyle name="注释 2 7 5 3 3 2" xfId="38963"/>
    <cellStyle name="注释 2 7 5 3 4" xfId="23312"/>
    <cellStyle name="注释 2 7 5 3 4 2" xfId="38964"/>
    <cellStyle name="注释 2 7 5 3 5" xfId="38965"/>
    <cellStyle name="注释 2 7 5 4" xfId="38966"/>
    <cellStyle name="注释 2 7 5 4 2" xfId="38967"/>
    <cellStyle name="注释 2 7 5 4 2 2" xfId="38968"/>
    <cellStyle name="注释 2 7 5 4 3" xfId="35383"/>
    <cellStyle name="注释 2 7 5 4 3 2" xfId="38969"/>
    <cellStyle name="注释 2 7 5 4 4" xfId="38970"/>
    <cellStyle name="注释 2 7 5 5" xfId="38971"/>
    <cellStyle name="注释 2 7 5 5 2" xfId="38972"/>
    <cellStyle name="注释 2 7 5 6" xfId="38973"/>
    <cellStyle name="注释 2 7 6" xfId="38974"/>
    <cellStyle name="注释 2 7 6 2" xfId="38975"/>
    <cellStyle name="注释 2 7 6 2 2" xfId="38976"/>
    <cellStyle name="注释 2 7 6 2 2 2" xfId="38977"/>
    <cellStyle name="注释 2 7 6 2 3" xfId="38978"/>
    <cellStyle name="注释 2 7 6 2 3 2" xfId="38979"/>
    <cellStyle name="注释 2 7 6 2 4" xfId="38980"/>
    <cellStyle name="注释 2 7 6 2 4 2" xfId="38981"/>
    <cellStyle name="注释 2 7 6 2 5" xfId="38982"/>
    <cellStyle name="注释 2 7 6 3" xfId="38983"/>
    <cellStyle name="注释 2 7 6 3 2" xfId="38984"/>
    <cellStyle name="注释 2 7 6 3 2 2" xfId="38985"/>
    <cellStyle name="注释 2 7 6 3 3" xfId="35390"/>
    <cellStyle name="注释 2 7 6 3 3 2" xfId="38986"/>
    <cellStyle name="注释 2 7 6 3 4" xfId="38987"/>
    <cellStyle name="注释 2 7 6 4" xfId="38988"/>
    <cellStyle name="注释 2 7 6 4 2" xfId="38989"/>
    <cellStyle name="注释 2 7 6 5" xfId="38990"/>
    <cellStyle name="注释 2 7 7" xfId="38991"/>
    <cellStyle name="注释 2 7 7 2" xfId="38992"/>
    <cellStyle name="注释 2 7 7 2 2" xfId="38993"/>
    <cellStyle name="注释 2 7 7 2 2 2" xfId="38994"/>
    <cellStyle name="注释 2 7 7 2 3" xfId="38995"/>
    <cellStyle name="注释 2 7 7 2 3 2" xfId="38996"/>
    <cellStyle name="注释 2 7 7 2 4" xfId="38997"/>
    <cellStyle name="注释 2 7 7 2 4 2" xfId="38998"/>
    <cellStyle name="注释 2 7 7 2 5" xfId="38999"/>
    <cellStyle name="注释 2 7 7 3" xfId="39000"/>
    <cellStyle name="注释 2 7 7 3 2" xfId="39001"/>
    <cellStyle name="注释 2 7 7 3 2 2" xfId="39002"/>
    <cellStyle name="注释 2 7 7 3 3" xfId="39003"/>
    <cellStyle name="注释 2 7 7 3 3 2" xfId="39004"/>
    <cellStyle name="注释 2 7 7 3 4" xfId="39005"/>
    <cellStyle name="注释 2 7 7 4" xfId="39006"/>
    <cellStyle name="注释 2 7 7 4 2" xfId="39007"/>
    <cellStyle name="注释 2 7 7 5" xfId="39008"/>
    <cellStyle name="注释 2 7 8" xfId="39009"/>
    <cellStyle name="注释 2 7 8 2" xfId="39010"/>
    <cellStyle name="注释 2 7 8 2 2" xfId="39011"/>
    <cellStyle name="注释 2 7 8 3" xfId="39012"/>
    <cellStyle name="注释 2 7 8 3 2" xfId="39013"/>
    <cellStyle name="注释 2 7 8 4" xfId="39014"/>
    <cellStyle name="注释 2 7 8 4 2" xfId="39015"/>
    <cellStyle name="注释 2 7 8 5" xfId="39016"/>
    <cellStyle name="注释 2 7 9" xfId="39017"/>
    <cellStyle name="注释 2 7 9 2" xfId="39018"/>
    <cellStyle name="注释 2 7 9 2 2" xfId="39019"/>
    <cellStyle name="注释 2 7 9 3" xfId="39020"/>
    <cellStyle name="注释 2 7 9 3 2" xfId="39021"/>
    <cellStyle name="注释 2 7 9 4" xfId="39022"/>
    <cellStyle name="注释 2 7 9 4 2" xfId="39023"/>
    <cellStyle name="注释 2 7 9 5" xfId="39024"/>
    <cellStyle name="注释 2 8" xfId="39025"/>
    <cellStyle name="注释 2 8 10" xfId="39026"/>
    <cellStyle name="注释 2 8 10 2" xfId="39027"/>
    <cellStyle name="注释 2 8 10 2 2" xfId="39028"/>
    <cellStyle name="注释 2 8 10 3" xfId="39029"/>
    <cellStyle name="注释 2 8 10 3 2" xfId="39030"/>
    <cellStyle name="注释 2 8 10 4" xfId="39031"/>
    <cellStyle name="注释 2 8 10 4 2" xfId="39032"/>
    <cellStyle name="注释 2 8 10 5" xfId="39033"/>
    <cellStyle name="注释 2 8 11" xfId="39034"/>
    <cellStyle name="注释 2 8 2" xfId="39035"/>
    <cellStyle name="注释 2 8 2 2" xfId="39036"/>
    <cellStyle name="注释 2 8 2 2 2" xfId="39037"/>
    <cellStyle name="注释 2 8 2 2 2 2" xfId="39038"/>
    <cellStyle name="注释 2 8 2 2 2 2 2" xfId="39039"/>
    <cellStyle name="注释 2 8 2 2 2 3" xfId="39040"/>
    <cellStyle name="注释 2 8 2 2 2 3 2" xfId="39041"/>
    <cellStyle name="注释 2 8 2 2 2 4" xfId="39042"/>
    <cellStyle name="注释 2 8 2 2 2 4 2" xfId="39043"/>
    <cellStyle name="注释 2 8 2 2 2 5" xfId="39044"/>
    <cellStyle name="注释 2 8 2 2 3" xfId="39045"/>
    <cellStyle name="注释 2 8 2 2 3 2" xfId="39046"/>
    <cellStyle name="注释 2 8 2 2 3 2 2" xfId="39047"/>
    <cellStyle name="注释 2 8 2 2 3 3" xfId="39048"/>
    <cellStyle name="注释 2 8 2 2 3 3 2" xfId="39049"/>
    <cellStyle name="注释 2 8 2 2 3 4" xfId="39050"/>
    <cellStyle name="注释 2 8 2 2 3 4 2" xfId="39051"/>
    <cellStyle name="注释 2 8 2 2 3 5" xfId="39052"/>
    <cellStyle name="注释 2 8 2 2 4" xfId="39053"/>
    <cellStyle name="注释 2 8 2 2 4 2" xfId="39054"/>
    <cellStyle name="注释 2 8 2 2 4 2 2" xfId="20562"/>
    <cellStyle name="注释 2 8 2 2 4 3" xfId="39055"/>
    <cellStyle name="注释 2 8 2 2 4 3 2" xfId="39056"/>
    <cellStyle name="注释 2 8 2 2 4 4" xfId="39057"/>
    <cellStyle name="注释 2 8 2 2 5" xfId="39058"/>
    <cellStyle name="注释 2 8 2 2 5 2" xfId="39059"/>
    <cellStyle name="注释 2 8 2 2 6" xfId="39060"/>
    <cellStyle name="注释 2 8 2 3" xfId="39061"/>
    <cellStyle name="注释 2 8 2 3 2" xfId="39062"/>
    <cellStyle name="注释 2 8 2 3 2 2" xfId="39063"/>
    <cellStyle name="注释 2 8 2 3 3" xfId="39064"/>
    <cellStyle name="注释 2 8 2 3 3 2" xfId="39065"/>
    <cellStyle name="注释 2 8 2 3 4" xfId="39066"/>
    <cellStyle name="注释 2 8 2 3 4 2" xfId="39067"/>
    <cellStyle name="注释 2 8 2 3 5" xfId="39068"/>
    <cellStyle name="注释 2 8 2 4" xfId="39069"/>
    <cellStyle name="注释 2 8 2 4 2" xfId="39070"/>
    <cellStyle name="注释 2 8 2 4 2 2" xfId="39071"/>
    <cellStyle name="注释 2 8 2 4 3" xfId="39072"/>
    <cellStyle name="注释 2 8 2 4 3 2" xfId="21799"/>
    <cellStyle name="注释 2 8 2 4 4" xfId="39073"/>
    <cellStyle name="注释 2 8 2 4 4 2" xfId="39074"/>
    <cellStyle name="注释 2 8 2 4 5" xfId="39075"/>
    <cellStyle name="注释 2 8 2 5" xfId="39076"/>
    <cellStyle name="注释 2 8 2 5 2" xfId="39077"/>
    <cellStyle name="注释 2 8 2 5 2 2" xfId="39078"/>
    <cellStyle name="注释 2 8 2 5 3" xfId="39079"/>
    <cellStyle name="注释 2 8 2 5 3 2" xfId="39080"/>
    <cellStyle name="注释 2 8 2 5 4" xfId="39081"/>
    <cellStyle name="注释 2 8 2 6" xfId="39082"/>
    <cellStyle name="注释 2 8 2 6 2" xfId="39083"/>
    <cellStyle name="注释 2 8 2 7" xfId="39084"/>
    <cellStyle name="注释 2 8 3" xfId="39085"/>
    <cellStyle name="注释 2 8 3 2" xfId="39086"/>
    <cellStyle name="注释 2 8 3 2 2" xfId="39087"/>
    <cellStyle name="注释 2 8 3 2 2 2" xfId="39088"/>
    <cellStyle name="注释 2 8 3 2 2 2 2" xfId="13819"/>
    <cellStyle name="注释 2 8 3 2 2 3" xfId="39089"/>
    <cellStyle name="注释 2 8 3 2 2 3 2" xfId="15350"/>
    <cellStyle name="注释 2 8 3 2 2 4" xfId="39090"/>
    <cellStyle name="注释 2 8 3 2 2 4 2" xfId="39091"/>
    <cellStyle name="注释 2 8 3 2 2 5" xfId="39092"/>
    <cellStyle name="注释 2 8 3 2 3" xfId="39093"/>
    <cellStyle name="注释 2 8 3 2 3 2" xfId="39094"/>
    <cellStyle name="注释 2 8 3 2 3 2 2" xfId="3487"/>
    <cellStyle name="注释 2 8 3 2 3 3" xfId="39095"/>
    <cellStyle name="注释 2 8 3 2 3 3 2" xfId="39096"/>
    <cellStyle name="注释 2 8 3 2 3 4" xfId="39097"/>
    <cellStyle name="注释 2 8 3 2 4" xfId="39098"/>
    <cellStyle name="注释 2 8 3 2 4 2" xfId="39099"/>
    <cellStyle name="注释 2 8 3 2 5" xfId="39100"/>
    <cellStyle name="注释 2 8 3 3" xfId="39101"/>
    <cellStyle name="注释 2 8 3 3 2" xfId="39102"/>
    <cellStyle name="注释 2 8 3 3 2 2" xfId="39103"/>
    <cellStyle name="注释 2 8 3 3 3" xfId="39104"/>
    <cellStyle name="注释 2 8 3 3 3 2" xfId="39105"/>
    <cellStyle name="注释 2 8 3 3 4" xfId="39106"/>
    <cellStyle name="注释 2 8 3 3 4 2" xfId="39107"/>
    <cellStyle name="注释 2 8 3 3 5" xfId="39108"/>
    <cellStyle name="注释 2 8 3 4" xfId="39109"/>
    <cellStyle name="注释 2 8 3 4 2" xfId="39110"/>
    <cellStyle name="注释 2 8 3 4 2 2" xfId="39111"/>
    <cellStyle name="注释 2 8 3 4 3" xfId="39112"/>
    <cellStyle name="注释 2 8 3 4 3 2" xfId="39113"/>
    <cellStyle name="注释 2 8 3 4 4" xfId="39114"/>
    <cellStyle name="注释 2 8 3 5" xfId="39115"/>
    <cellStyle name="注释 2 8 3 5 2" xfId="39116"/>
    <cellStyle name="注释 2 8 3 6" xfId="39117"/>
    <cellStyle name="注释 2 8 4" xfId="39118"/>
    <cellStyle name="注释 2 8 4 2" xfId="39119"/>
    <cellStyle name="注释 2 8 4 2 2" xfId="39120"/>
    <cellStyle name="注释 2 8 4 2 2 2" xfId="39121"/>
    <cellStyle name="注释 2 8 4 2 2 2 2" xfId="15675"/>
    <cellStyle name="注释 2 8 4 2 2 3" xfId="39122"/>
    <cellStyle name="注释 2 8 4 2 2 3 2" xfId="39123"/>
    <cellStyle name="注释 2 8 4 2 2 4" xfId="39124"/>
    <cellStyle name="注释 2 8 4 2 2 4 2" xfId="39125"/>
    <cellStyle name="注释 2 8 4 2 2 5" xfId="39126"/>
    <cellStyle name="注释 2 8 4 2 3" xfId="39127"/>
    <cellStyle name="注释 2 8 4 2 3 2" xfId="39128"/>
    <cellStyle name="注释 2 8 4 2 3 2 2" xfId="39129"/>
    <cellStyle name="注释 2 8 4 2 3 3" xfId="39130"/>
    <cellStyle name="注释 2 8 4 2 3 3 2" xfId="39131"/>
    <cellStyle name="注释 2 8 4 2 3 4" xfId="39132"/>
    <cellStyle name="注释 2 8 4 2 4" xfId="39133"/>
    <cellStyle name="注释 2 8 4 2 4 2" xfId="39134"/>
    <cellStyle name="注释 2 8 4 2 5" xfId="39135"/>
    <cellStyle name="注释 2 8 4 3" xfId="39136"/>
    <cellStyle name="注释 2 8 4 3 2" xfId="39137"/>
    <cellStyle name="注释 2 8 4 3 2 2" xfId="39138"/>
    <cellStyle name="注释 2 8 4 3 3" xfId="39139"/>
    <cellStyle name="注释 2 8 4 3 3 2" xfId="39140"/>
    <cellStyle name="注释 2 8 4 3 4" xfId="39141"/>
    <cellStyle name="注释 2 8 4 3 4 2" xfId="39142"/>
    <cellStyle name="注释 2 8 4 3 5" xfId="39143"/>
    <cellStyle name="注释 2 8 4 4" xfId="39144"/>
    <cellStyle name="注释 2 8 4 4 2" xfId="39145"/>
    <cellStyle name="注释 2 8 4 4 2 2" xfId="39146"/>
    <cellStyle name="注释 2 8 4 4 3" xfId="39147"/>
    <cellStyle name="注释 2 8 4 4 3 2" xfId="39148"/>
    <cellStyle name="注释 2 8 4 4 4" xfId="39150"/>
    <cellStyle name="注释 2 8 4 5" xfId="39151"/>
    <cellStyle name="注释 2 8 4 5 2" xfId="39152"/>
    <cellStyle name="注释 2 8 4 6" xfId="39153"/>
    <cellStyle name="注释 2 8 5" xfId="39154"/>
    <cellStyle name="注释 2 8 5 2" xfId="39155"/>
    <cellStyle name="注释 2 8 5 2 2" xfId="39156"/>
    <cellStyle name="注释 2 8 5 2 2 2" xfId="39157"/>
    <cellStyle name="注释 2 8 5 2 3" xfId="39158"/>
    <cellStyle name="注释 2 8 5 2 3 2" xfId="39159"/>
    <cellStyle name="注释 2 8 5 2 4" xfId="39160"/>
    <cellStyle name="注释 2 8 5 2 4 2" xfId="39161"/>
    <cellStyle name="注释 2 8 5 2 5" xfId="39162"/>
    <cellStyle name="注释 2 8 5 3" xfId="39163"/>
    <cellStyle name="注释 2 8 5 3 2" xfId="39164"/>
    <cellStyle name="注释 2 8 5 3 2 2" xfId="39165"/>
    <cellStyle name="注释 2 8 5 3 3" xfId="35401"/>
    <cellStyle name="注释 2 8 5 3 3 2" xfId="39166"/>
    <cellStyle name="注释 2 8 5 3 4" xfId="39167"/>
    <cellStyle name="注释 2 8 5 4" xfId="39168"/>
    <cellStyle name="注释 2 8 5 4 2" xfId="39169"/>
    <cellStyle name="注释 2 8 5 5" xfId="39170"/>
    <cellStyle name="注释 2 8 6" xfId="39171"/>
    <cellStyle name="注释 2 8 6 2" xfId="39172"/>
    <cellStyle name="注释 2 8 6 2 2" xfId="39173"/>
    <cellStyle name="注释 2 8 6 2 2 2" xfId="39174"/>
    <cellStyle name="注释 2 8 6 2 3" xfId="39175"/>
    <cellStyle name="注释 2 8 6 2 3 2" xfId="39176"/>
    <cellStyle name="注释 2 8 6 2 4" xfId="39177"/>
    <cellStyle name="注释 2 8 6 2 4 2" xfId="39178"/>
    <cellStyle name="注释 2 8 6 2 5" xfId="39179"/>
    <cellStyle name="注释 2 8 6 3" xfId="39180"/>
    <cellStyle name="注释 2 8 6 3 2" xfId="39181"/>
    <cellStyle name="注释 2 8 6 3 2 2" xfId="39182"/>
    <cellStyle name="注释 2 8 6 3 3" xfId="35410"/>
    <cellStyle name="注释 2 8 6 3 3 2" xfId="39183"/>
    <cellStyle name="注释 2 8 6 3 4" xfId="39184"/>
    <cellStyle name="注释 2 8 6 4" xfId="39185"/>
    <cellStyle name="注释 2 8 6 4 2" xfId="39186"/>
    <cellStyle name="注释 2 8 6 5" xfId="39187"/>
    <cellStyle name="注释 2 8 7" xfId="39188"/>
    <cellStyle name="注释 2 8 7 2" xfId="39189"/>
    <cellStyle name="注释 2 8 7 2 2" xfId="39190"/>
    <cellStyle name="注释 2 8 7 3" xfId="39191"/>
    <cellStyle name="注释 2 8 7 3 2" xfId="39192"/>
    <cellStyle name="注释 2 8 7 4" xfId="39193"/>
    <cellStyle name="注释 2 8 7 4 2" xfId="34913"/>
    <cellStyle name="注释 2 8 7 5" xfId="39194"/>
    <cellStyle name="注释 2 8 8" xfId="39195"/>
    <cellStyle name="注释 2 8 8 2" xfId="39196"/>
    <cellStyle name="注释 2 8 8 2 2" xfId="39197"/>
    <cellStyle name="注释 2 8 8 3" xfId="39198"/>
    <cellStyle name="注释 2 8 8 3 2" xfId="39199"/>
    <cellStyle name="注释 2 8 8 4" xfId="39200"/>
    <cellStyle name="注释 2 8 8 4 2" xfId="39201"/>
    <cellStyle name="注释 2 8 8 5" xfId="39202"/>
    <cellStyle name="注释 2 8 9" xfId="39203"/>
    <cellStyle name="注释 2 8 9 2" xfId="39204"/>
    <cellStyle name="注释 2 8 9 2 2" xfId="39205"/>
    <cellStyle name="注释 2 8 9 3" xfId="39206"/>
    <cellStyle name="注释 2 8 9 3 2" xfId="39207"/>
    <cellStyle name="注释 2 8 9 4" xfId="39208"/>
    <cellStyle name="注释 2 8 9 4 2" xfId="39209"/>
    <cellStyle name="注释 2 8 9 5" xfId="39210"/>
    <cellStyle name="注释 2 9" xfId="39211"/>
    <cellStyle name="注释 2 9 2" xfId="39212"/>
    <cellStyle name="注释 2 9 2 2" xfId="39213"/>
    <cellStyle name="注释 2 9 2 2 2" xfId="39214"/>
    <cellStyle name="注释 2 9 2 2 2 2" xfId="39215"/>
    <cellStyle name="注释 2 9 2 2 3" xfId="39216"/>
    <cellStyle name="注释 2 9 2 2 3 2" xfId="39217"/>
    <cellStyle name="注释 2 9 2 2 4" xfId="39218"/>
    <cellStyle name="注释 2 9 2 2 4 2" xfId="39219"/>
    <cellStyle name="注释 2 9 2 2 5" xfId="8988"/>
    <cellStyle name="注释 2 9 2 3" xfId="39220"/>
    <cellStyle name="注释 2 9 2 3 2" xfId="39221"/>
    <cellStyle name="注释 2 9 2 3 2 2" xfId="39222"/>
    <cellStyle name="注释 2 9 2 3 3" xfId="39223"/>
    <cellStyle name="注释 2 9 2 3 3 2" xfId="39224"/>
    <cellStyle name="注释 2 9 2 3 4" xfId="39225"/>
    <cellStyle name="注释 2 9 2 4" xfId="39226"/>
    <cellStyle name="注释 2 9 2 4 2" xfId="39227"/>
    <cellStyle name="注释 2 9 2 5" xfId="39228"/>
    <cellStyle name="注释 2 9 3" xfId="39229"/>
    <cellStyle name="注释 2 9 3 2" xfId="39230"/>
    <cellStyle name="注释 2 9 3 2 2" xfId="39231"/>
    <cellStyle name="注释 2 9 3 2 2 2" xfId="39232"/>
    <cellStyle name="注释 2 9 3 2 3" xfId="39233"/>
    <cellStyle name="注释 2 9 3 2 3 2" xfId="39234"/>
    <cellStyle name="注释 2 9 3 2 4" xfId="39235"/>
    <cellStyle name="注释 2 9 3 2 4 2" xfId="39236"/>
    <cellStyle name="注释 2 9 3 2 5" xfId="9139"/>
    <cellStyle name="注释 2 9 3 3" xfId="39237"/>
    <cellStyle name="注释 2 9 3 3 2" xfId="39238"/>
    <cellStyle name="注释 2 9 3 3 2 2" xfId="39239"/>
    <cellStyle name="注释 2 9 3 3 3" xfId="39240"/>
    <cellStyle name="注释 2 9 3 3 3 2" xfId="39241"/>
    <cellStyle name="注释 2 9 3 3 4" xfId="39242"/>
    <cellStyle name="注释 2 9 3 4" xfId="39243"/>
    <cellStyle name="注释 2 9 3 4 2" xfId="39244"/>
    <cellStyle name="注释 2 9 3 5" xfId="39245"/>
    <cellStyle name="注释 2 9 4" xfId="39246"/>
    <cellStyle name="注释 2 9 4 2" xfId="39247"/>
    <cellStyle name="注释 2 9 4 2 2" xfId="39248"/>
    <cellStyle name="注释 2 9 4 3" xfId="39249"/>
    <cellStyle name="注释 2 9 4 3 2" xfId="39250"/>
    <cellStyle name="注释 2 9 4 4" xfId="39251"/>
    <cellStyle name="注释 2 9 4 4 2" xfId="39252"/>
    <cellStyle name="注释 2 9 4 5" xfId="39253"/>
    <cellStyle name="注释 2 9 5" xfId="39254"/>
    <cellStyle name="注释 2 9 5 2" xfId="39255"/>
    <cellStyle name="注释 2 9 5 2 2" xfId="39256"/>
    <cellStyle name="注释 2 9 5 3" xfId="39257"/>
    <cellStyle name="注释 2 9 5 3 2" xfId="39258"/>
    <cellStyle name="注释 2 9 5 4" xfId="39259"/>
    <cellStyle name="注释 2 9 6" xfId="39260"/>
    <cellStyle name="注释 2 9 6 2" xfId="39261"/>
    <cellStyle name="注释 2 9 7" xfId="39262"/>
    <cellStyle name="注释 2 9 8" xfId="36268"/>
    <cellStyle name="注释 3" xfId="36259"/>
    <cellStyle name="注释 3 10" xfId="39263"/>
    <cellStyle name="注释 3 10 2" xfId="39264"/>
    <cellStyle name="注释 3 10 2 2" xfId="39265"/>
    <cellStyle name="注释 3 10 3" xfId="39266"/>
    <cellStyle name="注释 3 10 3 2" xfId="39267"/>
    <cellStyle name="注释 3 10 4" xfId="39268"/>
    <cellStyle name="注释 3 10 4 2" xfId="39269"/>
    <cellStyle name="注释 3 10 5" xfId="39270"/>
    <cellStyle name="注释 3 10 6" xfId="39271"/>
    <cellStyle name="注释 3 11" xfId="39272"/>
    <cellStyle name="注释 3 11 2" xfId="39273"/>
    <cellStyle name="注释 3 11 2 2" xfId="39274"/>
    <cellStyle name="注释 3 11 3" xfId="39275"/>
    <cellStyle name="注释 3 11 3 2" xfId="39276"/>
    <cellStyle name="注释 3 11 4" xfId="39277"/>
    <cellStyle name="注释 3 11 4 2" xfId="39278"/>
    <cellStyle name="注释 3 11 5" xfId="39279"/>
    <cellStyle name="注释 3 11 6" xfId="39280"/>
    <cellStyle name="注释 3 12" xfId="39281"/>
    <cellStyle name="注释 3 12 2" xfId="39282"/>
    <cellStyle name="注释 3 12 3" xfId="39283"/>
    <cellStyle name="注释 3 13" xfId="39284"/>
    <cellStyle name="注释 3 13 2" xfId="39285"/>
    <cellStyle name="注释 3 14" xfId="39286"/>
    <cellStyle name="注释 3 2" xfId="36261"/>
    <cellStyle name="注释 3 2 10" xfId="39287"/>
    <cellStyle name="注释 3 2 10 2" xfId="39288"/>
    <cellStyle name="注释 3 2 10 2 2" xfId="123"/>
    <cellStyle name="注释 3 2 10 3" xfId="39289"/>
    <cellStyle name="注释 3 2 10 3 2" xfId="20377"/>
    <cellStyle name="注释 3 2 10 4" xfId="39290"/>
    <cellStyle name="注释 3 2 10 4 2" xfId="39291"/>
    <cellStyle name="注释 3 2 10 5" xfId="39292"/>
    <cellStyle name="注释 3 2 11" xfId="39293"/>
    <cellStyle name="注释 3 2 2" xfId="36263"/>
    <cellStyle name="注释 3 2 2 2" xfId="36265"/>
    <cellStyle name="注释 3 2 2 2 2" xfId="36267"/>
    <cellStyle name="注释 3 2 2 2 2 2" xfId="39294"/>
    <cellStyle name="注释 3 2 2 2 2 2 2" xfId="39295"/>
    <cellStyle name="注释 3 2 2 2 2 3" xfId="39296"/>
    <cellStyle name="注释 3 2 2 2 2 3 2" xfId="39297"/>
    <cellStyle name="注释 3 2 2 2 2 4" xfId="39298"/>
    <cellStyle name="注释 3 2 2 2 2 4 2" xfId="39299"/>
    <cellStyle name="注释 3 2 2 2 2 5" xfId="39300"/>
    <cellStyle name="注释 3 2 2 2 3" xfId="39301"/>
    <cellStyle name="注释 3 2 2 2 3 2" xfId="39302"/>
    <cellStyle name="注释 3 2 2 2 3 2 2" xfId="39303"/>
    <cellStyle name="注释 3 2 2 2 3 3" xfId="39304"/>
    <cellStyle name="注释 3 2 2 2 3 3 2" xfId="39305"/>
    <cellStyle name="注释 3 2 2 2 3 4" xfId="39306"/>
    <cellStyle name="注释 3 2 2 2 4" xfId="39307"/>
    <cellStyle name="注释 3 2 2 2 4 2" xfId="39308"/>
    <cellStyle name="注释 3 2 2 2 5" xfId="39309"/>
    <cellStyle name="注释 3 2 2 3" xfId="36270"/>
    <cellStyle name="注释 3 2 2 3 2" xfId="36272"/>
    <cellStyle name="注释 3 2 2 3 2 2" xfId="39310"/>
    <cellStyle name="注释 3 2 2 3 3" xfId="39311"/>
    <cellStyle name="注释 3 2 2 3 3 2" xfId="39312"/>
    <cellStyle name="注释 3 2 2 3 4" xfId="39313"/>
    <cellStyle name="注释 3 2 2 3 4 2" xfId="39314"/>
    <cellStyle name="注释 3 2 2 3 5" xfId="30277"/>
    <cellStyle name="注释 3 2 2 4" xfId="36274"/>
    <cellStyle name="注释 3 2 2 4 2" xfId="36276"/>
    <cellStyle name="注释 3 2 2 4 2 2" xfId="39315"/>
    <cellStyle name="注释 3 2 2 4 3" xfId="39316"/>
    <cellStyle name="注释 3 2 2 4 3 2" xfId="39317"/>
    <cellStyle name="注释 3 2 2 4 4" xfId="39318"/>
    <cellStyle name="注释 3 2 2 4 4 2" xfId="39319"/>
    <cellStyle name="注释 3 2 2 4 5" xfId="39320"/>
    <cellStyle name="注释 3 2 2 5" xfId="36278"/>
    <cellStyle name="注释 3 2 2 5 2" xfId="39321"/>
    <cellStyle name="注释 3 2 2 5 2 2" xfId="39322"/>
    <cellStyle name="注释 3 2 2 5 3" xfId="39323"/>
    <cellStyle name="注释 3 2 2 5 3 2" xfId="39324"/>
    <cellStyle name="注释 3 2 2 5 4" xfId="39325"/>
    <cellStyle name="注释 3 2 2 6" xfId="39326"/>
    <cellStyle name="注释 3 2 2 6 2" xfId="39327"/>
    <cellStyle name="注释 3 2 2 7" xfId="39328"/>
    <cellStyle name="注释 3 2 3" xfId="36280"/>
    <cellStyle name="注释 3 2 3 2" xfId="36282"/>
    <cellStyle name="注释 3 2 3 2 2" xfId="36284"/>
    <cellStyle name="注释 3 2 3 2 2 2" xfId="14540"/>
    <cellStyle name="注释 3 2 3 2 2 2 2" xfId="14542"/>
    <cellStyle name="注释 3 2 3 2 2 3" xfId="14544"/>
    <cellStyle name="注释 3 2 3 2 2 3 2" xfId="39329"/>
    <cellStyle name="注释 3 2 3 2 2 4" xfId="39330"/>
    <cellStyle name="注释 3 2 3 2 2 4 2" xfId="39331"/>
    <cellStyle name="注释 3 2 3 2 2 5" xfId="39332"/>
    <cellStyle name="注释 3 2 3 2 3" xfId="39333"/>
    <cellStyle name="注释 3 2 3 2 3 2" xfId="39334"/>
    <cellStyle name="注释 3 2 3 2 3 2 2" xfId="39335"/>
    <cellStyle name="注释 3 2 3 2 3 3" xfId="39336"/>
    <cellStyle name="注释 3 2 3 2 3 3 2" xfId="39337"/>
    <cellStyle name="注释 3 2 3 2 3 4" xfId="39338"/>
    <cellStyle name="注释 3 2 3 2 4" xfId="5163"/>
    <cellStyle name="注释 3 2 3 2 4 2" xfId="5271"/>
    <cellStyle name="注释 3 2 3 2 5" xfId="5281"/>
    <cellStyle name="注释 3 2 3 3" xfId="36286"/>
    <cellStyle name="注释 3 2 3 3 2" xfId="28627"/>
    <cellStyle name="注释 3 2 3 3 2 2" xfId="14750"/>
    <cellStyle name="注释 3 2 3 3 3" xfId="39339"/>
    <cellStyle name="注释 3 2 3 3 3 2" xfId="39340"/>
    <cellStyle name="注释 3 2 3 3 4" xfId="5292"/>
    <cellStyle name="注释 3 2 3 3 4 2" xfId="6023"/>
    <cellStyle name="注释 3 2 3 3 5" xfId="6028"/>
    <cellStyle name="注释 3 2 3 4" xfId="36288"/>
    <cellStyle name="注释 3 2 3 4 2" xfId="28634"/>
    <cellStyle name="注释 3 2 3 4 2 2" xfId="38792"/>
    <cellStyle name="注释 3 2 3 4 3" xfId="38794"/>
    <cellStyle name="注释 3 2 3 4 3 2" xfId="38796"/>
    <cellStyle name="注释 3 2 3 4 4" xfId="12231"/>
    <cellStyle name="注释 3 2 3 5" xfId="39341"/>
    <cellStyle name="注释 3 2 3 5 2" xfId="28641"/>
    <cellStyle name="注释 3 2 3 6" xfId="39342"/>
    <cellStyle name="注释 3 2 4" xfId="36290"/>
    <cellStyle name="注释 3 2 4 2" xfId="36292"/>
    <cellStyle name="注释 3 2 4 2 2" xfId="39343"/>
    <cellStyle name="注释 3 2 4 2 2 2" xfId="39344"/>
    <cellStyle name="注释 3 2 4 2 2 2 2" xfId="39345"/>
    <cellStyle name="注释 3 2 4 2 2 3" xfId="39346"/>
    <cellStyle name="注释 3 2 4 2 2 3 2" xfId="39347"/>
    <cellStyle name="注释 3 2 4 2 2 4" xfId="39348"/>
    <cellStyle name="注释 3 2 4 2 2 4 2" xfId="39349"/>
    <cellStyle name="注释 3 2 4 2 2 5" xfId="39350"/>
    <cellStyle name="注释 3 2 4 2 3" xfId="39351"/>
    <cellStyle name="注释 3 2 4 2 3 2" xfId="39352"/>
    <cellStyle name="注释 3 2 4 2 3 2 2" xfId="39353"/>
    <cellStyle name="注释 3 2 4 2 3 3" xfId="39354"/>
    <cellStyle name="注释 3 2 4 2 3 3 2" xfId="39355"/>
    <cellStyle name="注释 3 2 4 2 3 4" xfId="39356"/>
    <cellStyle name="注释 3 2 4 2 4" xfId="12282"/>
    <cellStyle name="注释 3 2 4 2 4 2" xfId="7183"/>
    <cellStyle name="注释 3 2 4 2 5" xfId="12285"/>
    <cellStyle name="注释 3 2 4 3" xfId="39357"/>
    <cellStyle name="注释 3 2 4 3 2" xfId="39358"/>
    <cellStyle name="注释 3 2 4 3 2 2" xfId="39359"/>
    <cellStyle name="注释 3 2 4 3 3" xfId="39360"/>
    <cellStyle name="注释 3 2 4 3 3 2" xfId="6182"/>
    <cellStyle name="注释 3 2 4 3 4" xfId="12291"/>
    <cellStyle name="注释 3 2 4 3 4 2" xfId="7136"/>
    <cellStyle name="注释 3 2 4 3 5" xfId="12294"/>
    <cellStyle name="注释 3 2 4 4" xfId="39361"/>
    <cellStyle name="注释 3 2 4 4 2" xfId="39362"/>
    <cellStyle name="注释 3 2 4 4 2 2" xfId="39363"/>
    <cellStyle name="注释 3 2 4 4 3" xfId="39364"/>
    <cellStyle name="注释 3 2 4 4 3 2" xfId="39365"/>
    <cellStyle name="注释 3 2 4 4 4" xfId="12302"/>
    <cellStyle name="注释 3 2 4 5" xfId="39366"/>
    <cellStyle name="注释 3 2 4 5 2" xfId="39367"/>
    <cellStyle name="注释 3 2 4 6" xfId="39368"/>
    <cellStyle name="注释 3 2 5" xfId="36294"/>
    <cellStyle name="注释 3 2 5 2" xfId="39369"/>
    <cellStyle name="注释 3 2 5 2 2" xfId="39370"/>
    <cellStyle name="注释 3 2 5 2 2 2" xfId="39371"/>
    <cellStyle name="注释 3 2 5 2 3" xfId="39372"/>
    <cellStyle name="注释 3 2 5 2 3 2" xfId="39373"/>
    <cellStyle name="注释 3 2 5 2 4" xfId="12353"/>
    <cellStyle name="注释 3 2 5 2 4 2" xfId="7468"/>
    <cellStyle name="注释 3 2 5 2 5" xfId="12355"/>
    <cellStyle name="注释 3 2 5 3" xfId="39374"/>
    <cellStyle name="注释 3 2 5 3 2" xfId="39375"/>
    <cellStyle name="注释 3 2 5 3 2 2" xfId="39376"/>
    <cellStyle name="注释 3 2 5 3 3" xfId="39377"/>
    <cellStyle name="注释 3 2 5 3 3 2" xfId="39378"/>
    <cellStyle name="注释 3 2 5 3 4" xfId="12362"/>
    <cellStyle name="注释 3 2 5 4" xfId="39379"/>
    <cellStyle name="注释 3 2 5 4 2" xfId="39380"/>
    <cellStyle name="注释 3 2 5 5" xfId="39381"/>
    <cellStyle name="注释 3 2 6" xfId="39382"/>
    <cellStyle name="注释 3 2 6 2" xfId="39383"/>
    <cellStyle name="注释 3 2 6 2 2" xfId="39384"/>
    <cellStyle name="注释 3 2 6 2 2 2" xfId="39385"/>
    <cellStyle name="注释 3 2 6 2 3" xfId="39386"/>
    <cellStyle name="注释 3 2 6 2 3 2" xfId="20668"/>
    <cellStyle name="注释 3 2 6 2 4" xfId="12415"/>
    <cellStyle name="注释 3 2 6 2 4 2" xfId="12417"/>
    <cellStyle name="注释 3 2 6 2 5" xfId="12420"/>
    <cellStyle name="注释 3 2 6 3" xfId="39387"/>
    <cellStyle name="注释 3 2 6 3 2" xfId="30134"/>
    <cellStyle name="注释 3 2 6 3 2 2" xfId="39388"/>
    <cellStyle name="注释 3 2 6 3 3" xfId="39389"/>
    <cellStyle name="注释 3 2 6 3 3 2" xfId="39390"/>
    <cellStyle name="注释 3 2 6 3 4" xfId="12429"/>
    <cellStyle name="注释 3 2 6 4" xfId="39391"/>
    <cellStyle name="注释 3 2 6 4 2" xfId="39392"/>
    <cellStyle name="注释 3 2 6 5" xfId="39393"/>
    <cellStyle name="注释 3 2 7" xfId="39394"/>
    <cellStyle name="注释 3 2 7 2" xfId="39395"/>
    <cellStyle name="注释 3 2 7 2 2" xfId="39396"/>
    <cellStyle name="注释 3 2 7 3" xfId="39397"/>
    <cellStyle name="注释 3 2 7 3 2" xfId="39398"/>
    <cellStyle name="注释 3 2 7 4" xfId="39399"/>
    <cellStyle name="注释 3 2 7 4 2" xfId="39400"/>
    <cellStyle name="注释 3 2 7 5" xfId="39401"/>
    <cellStyle name="注释 3 2 8" xfId="39402"/>
    <cellStyle name="注释 3 2 8 2" xfId="39403"/>
    <cellStyle name="注释 3 2 8 2 2" xfId="33571"/>
    <cellStyle name="注释 3 2 8 3" xfId="39404"/>
    <cellStyle name="注释 3 2 8 3 2" xfId="33580"/>
    <cellStyle name="注释 3 2 8 4" xfId="39405"/>
    <cellStyle name="注释 3 2 8 4 2" xfId="33588"/>
    <cellStyle name="注释 3 2 8 5" xfId="39406"/>
    <cellStyle name="注释 3 2 9" xfId="39407"/>
    <cellStyle name="注释 3 2 9 2" xfId="39408"/>
    <cellStyle name="注释 3 2 9 2 2" xfId="33599"/>
    <cellStyle name="注释 3 2 9 3" xfId="39409"/>
    <cellStyle name="注释 3 2 9 3 2" xfId="33608"/>
    <cellStyle name="注释 3 2 9 4" xfId="39410"/>
    <cellStyle name="注释 3 2 9 4 2" xfId="39411"/>
    <cellStyle name="注释 3 2 9 5" xfId="39412"/>
    <cellStyle name="注释 3 3" xfId="36296"/>
    <cellStyle name="注释 3 3 2" xfId="36298"/>
    <cellStyle name="注释 3 3 2 2" xfId="36300"/>
    <cellStyle name="注释 3 3 2 2 2" xfId="39413"/>
    <cellStyle name="注释 3 3 2 2 2 2" xfId="39149"/>
    <cellStyle name="注释 3 3 2 2 3" xfId="39414"/>
    <cellStyle name="注释 3 3 2 2 3 2" xfId="39415"/>
    <cellStyle name="注释 3 3 2 2 4" xfId="39416"/>
    <cellStyle name="注释 3 3 2 2 4 2" xfId="39417"/>
    <cellStyle name="注释 3 3 2 2 5" xfId="39418"/>
    <cellStyle name="注释 3 3 2 3" xfId="22296"/>
    <cellStyle name="注释 3 3 2 3 2" xfId="39419"/>
    <cellStyle name="注释 3 3 2 3 2 2" xfId="29234"/>
    <cellStyle name="注释 3 3 2 3 3" xfId="39420"/>
    <cellStyle name="注释 3 3 2 3 3 2" xfId="39421"/>
    <cellStyle name="注释 3 3 2 3 4" xfId="39422"/>
    <cellStyle name="注释 3 3 2 4" xfId="39423"/>
    <cellStyle name="注释 3 3 2 4 2" xfId="39424"/>
    <cellStyle name="注释 3 3 2 5" xfId="39425"/>
    <cellStyle name="注释 3 3 3" xfId="36302"/>
    <cellStyle name="注释 3 3 3 2" xfId="36304"/>
    <cellStyle name="注释 3 3 3 2 2" xfId="39426"/>
    <cellStyle name="注释 3 3 3 3" xfId="39427"/>
    <cellStyle name="注释 3 3 3 3 2" xfId="39428"/>
    <cellStyle name="注释 3 3 3 4" xfId="39429"/>
    <cellStyle name="注释 3 3 3 4 2" xfId="39430"/>
    <cellStyle name="注释 3 3 3 5" xfId="39431"/>
    <cellStyle name="注释 3 3 4" xfId="36306"/>
    <cellStyle name="注释 3 3 4 2" xfId="36308"/>
    <cellStyle name="注释 3 3 4 2 2" xfId="39432"/>
    <cellStyle name="注释 3 3 4 3" xfId="39433"/>
    <cellStyle name="注释 3 3 4 3 2" xfId="39434"/>
    <cellStyle name="注释 3 3 4 4" xfId="39435"/>
    <cellStyle name="注释 3 3 5" xfId="36310"/>
    <cellStyle name="注释 3 3 5 2" xfId="39436"/>
    <cellStyle name="注释 3 3 6" xfId="39437"/>
    <cellStyle name="注释 3 3 7" xfId="39438"/>
    <cellStyle name="注释 3 4" xfId="36312"/>
    <cellStyle name="注释 3 4 2" xfId="36314"/>
    <cellStyle name="注释 3 4 2 2" xfId="36316"/>
    <cellStyle name="注释 3 4 2 2 2" xfId="39439"/>
    <cellStyle name="注释 3 4 2 2 2 2" xfId="39440"/>
    <cellStyle name="注释 3 4 2 2 3" xfId="39441"/>
    <cellStyle name="注释 3 4 2 2 3 2" xfId="39442"/>
    <cellStyle name="注释 3 4 2 2 4" xfId="39443"/>
    <cellStyle name="注释 3 4 2 2 4 2" xfId="39444"/>
    <cellStyle name="注释 3 4 2 2 5" xfId="39445"/>
    <cellStyle name="注释 3 4 2 3" xfId="39446"/>
    <cellStyle name="注释 3 4 2 3 2" xfId="39447"/>
    <cellStyle name="注释 3 4 2 3 2 2" xfId="39448"/>
    <cellStyle name="注释 3 4 2 3 3" xfId="39449"/>
    <cellStyle name="注释 3 4 2 3 3 2" xfId="39450"/>
    <cellStyle name="注释 3 4 2 3 4" xfId="39451"/>
    <cellStyle name="注释 3 4 2 4" xfId="39452"/>
    <cellStyle name="注释 3 4 2 4 2" xfId="39453"/>
    <cellStyle name="注释 3 4 2 5" xfId="39454"/>
    <cellStyle name="注释 3 4 3" xfId="36318"/>
    <cellStyle name="注释 3 4 3 2" xfId="36320"/>
    <cellStyle name="注释 3 4 3 2 2" xfId="39455"/>
    <cellStyle name="注释 3 4 3 3" xfId="39456"/>
    <cellStyle name="注释 3 4 3 3 2" xfId="39457"/>
    <cellStyle name="注释 3 4 3 4" xfId="39458"/>
    <cellStyle name="注释 3 4 3 4 2" xfId="39459"/>
    <cellStyle name="注释 3 4 3 5" xfId="39460"/>
    <cellStyle name="注释 3 4 4" xfId="36322"/>
    <cellStyle name="注释 3 4 4 2" xfId="39461"/>
    <cellStyle name="注释 3 4 4 2 2" xfId="39462"/>
    <cellStyle name="注释 3 4 4 3" xfId="39463"/>
    <cellStyle name="注释 3 4 4 3 2" xfId="39464"/>
    <cellStyle name="注释 3 4 4 4" xfId="39465"/>
    <cellStyle name="注释 3 4 5" xfId="39466"/>
    <cellStyle name="注释 3 4 5 2" xfId="39467"/>
    <cellStyle name="注释 3 4 6" xfId="39468"/>
    <cellStyle name="注释 3 4 7" xfId="39469"/>
    <cellStyle name="注释 3 5" xfId="36324"/>
    <cellStyle name="注释 3 5 2" xfId="36326"/>
    <cellStyle name="注释 3 5 2 2" xfId="39470"/>
    <cellStyle name="注释 3 5 2 2 2" xfId="39471"/>
    <cellStyle name="注释 3 5 2 2 2 2" xfId="39472"/>
    <cellStyle name="注释 3 5 2 2 3" xfId="39473"/>
    <cellStyle name="注释 3 5 2 2 3 2" xfId="39474"/>
    <cellStyle name="注释 3 5 2 2 4" xfId="39475"/>
    <cellStyle name="注释 3 5 2 2 4 2" xfId="39476"/>
    <cellStyle name="注释 3 5 2 2 5" xfId="39477"/>
    <cellStyle name="注释 3 5 2 3" xfId="39478"/>
    <cellStyle name="注释 3 5 2 3 2" xfId="39479"/>
    <cellStyle name="注释 3 5 2 3 2 2" xfId="39480"/>
    <cellStyle name="注释 3 5 2 3 3" xfId="39481"/>
    <cellStyle name="注释 3 5 2 3 3 2" xfId="39482"/>
    <cellStyle name="注释 3 5 2 3 4" xfId="39483"/>
    <cellStyle name="注释 3 5 2 4" xfId="39484"/>
    <cellStyle name="注释 3 5 2 4 2" xfId="39485"/>
    <cellStyle name="注释 3 5 2 5" xfId="39486"/>
    <cellStyle name="注释 3 5 3" xfId="39487"/>
    <cellStyle name="注释 3 5 3 2" xfId="39488"/>
    <cellStyle name="注释 3 5 3 2 2" xfId="39489"/>
    <cellStyle name="注释 3 5 3 3" xfId="39490"/>
    <cellStyle name="注释 3 5 3 3 2" xfId="39491"/>
    <cellStyle name="注释 3 5 3 4" xfId="39492"/>
    <cellStyle name="注释 3 5 3 4 2" xfId="39493"/>
    <cellStyle name="注释 3 5 3 5" xfId="39494"/>
    <cellStyle name="注释 3 5 4" xfId="39495"/>
    <cellStyle name="注释 3 5 4 2" xfId="39496"/>
    <cellStyle name="注释 3 5 4 2 2" xfId="39497"/>
    <cellStyle name="注释 3 5 4 3" xfId="39498"/>
    <cellStyle name="注释 3 5 4 3 2" xfId="39499"/>
    <cellStyle name="注释 3 5 4 4" xfId="39500"/>
    <cellStyle name="注释 3 5 5" xfId="39501"/>
    <cellStyle name="注释 3 5 5 2" xfId="39502"/>
    <cellStyle name="注释 3 5 6" xfId="39503"/>
    <cellStyle name="注释 3 5 7" xfId="39504"/>
    <cellStyle name="注释 3 6" xfId="36328"/>
    <cellStyle name="注释 3 6 2" xfId="39505"/>
    <cellStyle name="注释 3 6 2 2" xfId="39506"/>
    <cellStyle name="注释 3 6 2 2 2" xfId="39507"/>
    <cellStyle name="注释 3 6 2 3" xfId="39508"/>
    <cellStyle name="注释 3 6 2 3 2" xfId="39509"/>
    <cellStyle name="注释 3 6 2 4" xfId="39510"/>
    <cellStyle name="注释 3 6 2 4 2" xfId="39511"/>
    <cellStyle name="注释 3 6 2 5" xfId="39512"/>
    <cellStyle name="注释 3 6 3" xfId="39513"/>
    <cellStyle name="注释 3 6 3 2" xfId="39514"/>
    <cellStyle name="注释 3 6 3 2 2" xfId="39515"/>
    <cellStyle name="注释 3 6 3 3" xfId="39516"/>
    <cellStyle name="注释 3 6 3 3 2" xfId="39517"/>
    <cellStyle name="注释 3 6 3 4" xfId="39518"/>
    <cellStyle name="注释 3 6 4" xfId="39519"/>
    <cellStyle name="注释 3 6 4 2" xfId="39520"/>
    <cellStyle name="注释 3 6 5" xfId="39521"/>
    <cellStyle name="注释 3 6 6" xfId="28594"/>
    <cellStyle name="注释 3 7" xfId="36330"/>
    <cellStyle name="注释 3 7 2" xfId="39522"/>
    <cellStyle name="注释 3 7 2 2" xfId="39523"/>
    <cellStyle name="注释 3 7 2 2 2" xfId="39524"/>
    <cellStyle name="注释 3 7 2 3" xfId="39525"/>
    <cellStyle name="注释 3 7 2 3 2" xfId="39526"/>
    <cellStyle name="注释 3 7 2 4" xfId="39527"/>
    <cellStyle name="注释 3 7 2 4 2" xfId="39528"/>
    <cellStyle name="注释 3 7 2 5" xfId="39529"/>
    <cellStyle name="注释 3 7 3" xfId="39530"/>
    <cellStyle name="注释 3 7 3 2" xfId="39531"/>
    <cellStyle name="注释 3 7 3 2 2" xfId="39532"/>
    <cellStyle name="注释 3 7 3 3" xfId="39533"/>
    <cellStyle name="注释 3 7 3 3 2" xfId="39534"/>
    <cellStyle name="注释 3 7 3 4" xfId="39535"/>
    <cellStyle name="注释 3 7 4" xfId="39536"/>
    <cellStyle name="注释 3 7 4 2" xfId="39537"/>
    <cellStyle name="注释 3 7 5" xfId="39538"/>
    <cellStyle name="注释 3 7 6" xfId="7017"/>
    <cellStyle name="注释 3 8" xfId="39539"/>
    <cellStyle name="注释 3 8 2" xfId="39540"/>
    <cellStyle name="注释 3 8 2 2" xfId="39541"/>
    <cellStyle name="注释 3 8 3" xfId="39542"/>
    <cellStyle name="注释 3 8 3 2" xfId="39543"/>
    <cellStyle name="注释 3 8 4" xfId="39544"/>
    <cellStyle name="注释 3 8 4 2" xfId="39545"/>
    <cellStyle name="注释 3 8 5" xfId="39546"/>
    <cellStyle name="注释 3 8 6" xfId="7030"/>
    <cellStyle name="注释 3 9" xfId="39547"/>
    <cellStyle name="注释 3 9 2" xfId="39548"/>
    <cellStyle name="注释 3 9 2 2" xfId="14065"/>
    <cellStyle name="注释 3 9 3" xfId="39549"/>
    <cellStyle name="注释 3 9 3 2" xfId="14254"/>
    <cellStyle name="注释 3 9 4" xfId="39550"/>
    <cellStyle name="注释 3 9 4 2" xfId="12892"/>
    <cellStyle name="注释 3 9 5" xfId="39551"/>
    <cellStyle name="注释 3 9 6" xfId="2561"/>
    <cellStyle name="注释 4" xfId="36332"/>
    <cellStyle name="注释 4 10" xfId="39552"/>
    <cellStyle name="注释 4 10 2" xfId="39553"/>
    <cellStyle name="注释 4 10 2 2" xfId="39554"/>
    <cellStyle name="注释 4 10 3" xfId="39555"/>
    <cellStyle name="注释 4 10 3 2" xfId="39556"/>
    <cellStyle name="注释 4 10 4" xfId="39557"/>
    <cellStyle name="注释 4 10 4 2" xfId="39558"/>
    <cellStyle name="注释 4 10 5" xfId="39559"/>
    <cellStyle name="注释 4 11" xfId="39560"/>
    <cellStyle name="注释 4 11 2" xfId="13074"/>
    <cellStyle name="注释 4 11 2 2" xfId="3647"/>
    <cellStyle name="注释 4 11 3" xfId="19108"/>
    <cellStyle name="注释 4 11 3 2" xfId="19113"/>
    <cellStyle name="注释 4 11 4" xfId="19119"/>
    <cellStyle name="注释 4 11 4 2" xfId="19124"/>
    <cellStyle name="注释 4 11 5" xfId="19130"/>
    <cellStyle name="注释 4 12" xfId="39561"/>
    <cellStyle name="注释 4 2" xfId="36334"/>
    <cellStyle name="注释 4 2 10" xfId="39562"/>
    <cellStyle name="注释 4 2 10 2" xfId="39563"/>
    <cellStyle name="注释 4 2 10 2 2" xfId="39564"/>
    <cellStyle name="注释 4 2 10 3" xfId="39565"/>
    <cellStyle name="注释 4 2 10 3 2" xfId="39566"/>
    <cellStyle name="注释 4 2 10 4" xfId="39567"/>
    <cellStyle name="注释 4 2 10 4 2" xfId="39568"/>
    <cellStyle name="注释 4 2 10 5" xfId="39569"/>
    <cellStyle name="注释 4 2 11" xfId="39570"/>
    <cellStyle name="注释 4 2 2" xfId="36336"/>
    <cellStyle name="注释 4 2 2 2" xfId="36338"/>
    <cellStyle name="注释 4 2 2 2 2" xfId="36340"/>
    <cellStyle name="注释 4 2 2 2 2 2" xfId="17717"/>
    <cellStyle name="注释 4 2 2 2 2 2 2" xfId="39571"/>
    <cellStyle name="注释 4 2 2 2 2 3" xfId="39572"/>
    <cellStyle name="注释 4 2 2 2 2 3 2" xfId="39573"/>
    <cellStyle name="注释 4 2 2 2 2 4" xfId="39574"/>
    <cellStyle name="注释 4 2 2 2 2 4 2" xfId="39575"/>
    <cellStyle name="注释 4 2 2 2 2 5" xfId="39576"/>
    <cellStyle name="注释 4 2 2 2 3" xfId="39577"/>
    <cellStyle name="注释 4 2 2 2 3 2" xfId="39578"/>
    <cellStyle name="注释 4 2 2 2 3 2 2" xfId="39579"/>
    <cellStyle name="注释 4 2 2 2 3 3" xfId="39580"/>
    <cellStyle name="注释 4 2 2 2 3 3 2" xfId="39581"/>
    <cellStyle name="注释 4 2 2 2 3 4" xfId="39582"/>
    <cellStyle name="注释 4 2 2 2 4" xfId="39583"/>
    <cellStyle name="注释 4 2 2 2 4 2" xfId="39584"/>
    <cellStyle name="注释 4 2 2 2 5" xfId="39585"/>
    <cellStyle name="注释 4 2 2 3" xfId="36342"/>
    <cellStyle name="注释 4 2 2 3 2" xfId="36344"/>
    <cellStyle name="注释 4 2 2 3 2 2" xfId="39586"/>
    <cellStyle name="注释 4 2 2 3 3" xfId="39587"/>
    <cellStyle name="注释 4 2 2 3 3 2" xfId="39588"/>
    <cellStyle name="注释 4 2 2 3 4" xfId="39589"/>
    <cellStyle name="注释 4 2 2 3 4 2" xfId="39590"/>
    <cellStyle name="注释 4 2 2 3 5" xfId="39591"/>
    <cellStyle name="注释 4 2 2 4" xfId="36346"/>
    <cellStyle name="注释 4 2 2 4 2" xfId="36348"/>
    <cellStyle name="注释 4 2 2 4 2 2" xfId="39592"/>
    <cellStyle name="注释 4 2 2 4 3" xfId="39593"/>
    <cellStyle name="注释 4 2 2 4 3 2" xfId="39594"/>
    <cellStyle name="注释 4 2 2 4 4" xfId="39595"/>
    <cellStyle name="注释 4 2 2 4 4 2" xfId="39596"/>
    <cellStyle name="注释 4 2 2 4 5" xfId="39597"/>
    <cellStyle name="注释 4 2 2 5" xfId="36350"/>
    <cellStyle name="注释 4 2 2 5 2" xfId="39598"/>
    <cellStyle name="注释 4 2 2 5 2 2" xfId="39599"/>
    <cellStyle name="注释 4 2 2 5 3" xfId="39600"/>
    <cellStyle name="注释 4 2 2 5 3 2" xfId="39601"/>
    <cellStyle name="注释 4 2 2 5 4" xfId="39602"/>
    <cellStyle name="注释 4 2 2 6" xfId="39603"/>
    <cellStyle name="注释 4 2 2 6 2" xfId="39604"/>
    <cellStyle name="注释 4 2 2 7" xfId="39605"/>
    <cellStyle name="注释 4 2 3" xfId="10296"/>
    <cellStyle name="注释 4 2 3 2" xfId="36352"/>
    <cellStyle name="注释 4 2 3 2 2" xfId="36354"/>
    <cellStyle name="注释 4 2 3 2 2 2" xfId="12043"/>
    <cellStyle name="注释 4 2 3 2 2 2 2" xfId="39606"/>
    <cellStyle name="注释 4 2 3 2 2 3" xfId="39607"/>
    <cellStyle name="注释 4 2 3 2 2 3 2" xfId="39608"/>
    <cellStyle name="注释 4 2 3 2 2 4" xfId="39609"/>
    <cellStyle name="注释 4 2 3 2 2 4 2" xfId="39610"/>
    <cellStyle name="注释 4 2 3 2 2 5" xfId="39611"/>
    <cellStyle name="注释 4 2 3 2 3" xfId="39612"/>
    <cellStyle name="注释 4 2 3 2 3 2" xfId="39613"/>
    <cellStyle name="注释 4 2 3 2 3 2 2" xfId="39614"/>
    <cellStyle name="注释 4 2 3 2 3 3" xfId="39615"/>
    <cellStyle name="注释 4 2 3 2 3 3 2" xfId="39616"/>
    <cellStyle name="注释 4 2 3 2 3 4" xfId="39617"/>
    <cellStyle name="注释 4 2 3 2 4" xfId="39618"/>
    <cellStyle name="注释 4 2 3 2 4 2" xfId="39619"/>
    <cellStyle name="注释 4 2 3 2 5" xfId="39620"/>
    <cellStyle name="注释 4 2 3 3" xfId="36356"/>
    <cellStyle name="注释 4 2 3 3 2" xfId="36358"/>
    <cellStyle name="注释 4 2 3 3 2 2" xfId="39621"/>
    <cellStyle name="注释 4 2 3 3 3" xfId="39622"/>
    <cellStyle name="注释 4 2 3 3 3 2" xfId="39623"/>
    <cellStyle name="注释 4 2 3 3 4" xfId="39624"/>
    <cellStyle name="注释 4 2 3 3 4 2" xfId="39625"/>
    <cellStyle name="注释 4 2 3 3 5" xfId="39626"/>
    <cellStyle name="注释 4 2 3 4" xfId="36360"/>
    <cellStyle name="注释 4 2 3 4 2" xfId="39627"/>
    <cellStyle name="注释 4 2 3 4 2 2" xfId="39628"/>
    <cellStyle name="注释 4 2 3 4 3" xfId="39629"/>
    <cellStyle name="注释 4 2 3 4 3 2" xfId="39630"/>
    <cellStyle name="注释 4 2 3 4 4" xfId="39631"/>
    <cellStyle name="注释 4 2 3 5" xfId="39632"/>
    <cellStyle name="注释 4 2 3 5 2" xfId="1429"/>
    <cellStyle name="注释 4 2 3 6" xfId="39633"/>
    <cellStyle name="注释 4 2 4" xfId="36362"/>
    <cellStyle name="注释 4 2 4 2" xfId="36364"/>
    <cellStyle name="注释 4 2 4 2 2" xfId="39634"/>
    <cellStyle name="注释 4 2 4 2 2 2" xfId="39635"/>
    <cellStyle name="注释 4 2 4 2 2 2 2" xfId="39636"/>
    <cellStyle name="注释 4 2 4 2 2 3" xfId="39637"/>
    <cellStyle name="注释 4 2 4 2 2 3 2" xfId="39638"/>
    <cellStyle name="注释 4 2 4 2 2 4" xfId="39639"/>
    <cellStyle name="注释 4 2 4 2 2 4 2" xfId="39640"/>
    <cellStyle name="注释 4 2 4 2 2 5" xfId="39641"/>
    <cellStyle name="注释 4 2 4 2 3" xfId="39642"/>
    <cellStyle name="注释 4 2 4 2 3 2" xfId="39643"/>
    <cellStyle name="注释 4 2 4 2 3 2 2" xfId="39644"/>
    <cellStyle name="注释 4 2 4 2 3 3" xfId="39645"/>
    <cellStyle name="注释 4 2 4 2 3 3 2" xfId="39646"/>
    <cellStyle name="注释 4 2 4 2 3 4" xfId="39647"/>
    <cellStyle name="注释 4 2 4 2 4" xfId="39648"/>
    <cellStyle name="注释 4 2 4 2 4 2" xfId="39649"/>
    <cellStyle name="注释 4 2 4 2 5" xfId="39650"/>
    <cellStyle name="注释 4 2 4 3" xfId="39651"/>
    <cellStyle name="注释 4 2 4 3 2" xfId="39652"/>
    <cellStyle name="注释 4 2 4 3 2 2" xfId="39653"/>
    <cellStyle name="注释 4 2 4 3 3" xfId="39654"/>
    <cellStyle name="注释 4 2 4 3 3 2" xfId="39655"/>
    <cellStyle name="注释 4 2 4 3 4" xfId="39656"/>
    <cellStyle name="注释 4 2 4 3 4 2" xfId="39657"/>
    <cellStyle name="注释 4 2 4 3 5" xfId="39658"/>
    <cellStyle name="注释 4 2 4 4" xfId="39659"/>
    <cellStyle name="注释 4 2 4 4 2" xfId="39660"/>
    <cellStyle name="注释 4 2 4 4 2 2" xfId="39661"/>
    <cellStyle name="注释 4 2 4 4 3" xfId="39662"/>
    <cellStyle name="注释 4 2 4 4 3 2" xfId="39663"/>
    <cellStyle name="注释 4 2 4 4 4" xfId="39664"/>
    <cellStyle name="注释 4 2 4 5" xfId="39665"/>
    <cellStyle name="注释 4 2 4 5 2" xfId="39666"/>
    <cellStyle name="注释 4 2 4 6" xfId="39667"/>
    <cellStyle name="注释 4 2 5" xfId="36366"/>
    <cellStyle name="注释 4 2 5 2" xfId="39668"/>
    <cellStyle name="注释 4 2 5 2 2" xfId="39669"/>
    <cellStyle name="注释 4 2 5 2 2 2" xfId="39670"/>
    <cellStyle name="注释 4 2 5 2 3" xfId="39671"/>
    <cellStyle name="注释 4 2 5 2 3 2" xfId="39672"/>
    <cellStyle name="注释 4 2 5 2 4" xfId="32670"/>
    <cellStyle name="注释 4 2 5 2 4 2" xfId="39673"/>
    <cellStyle name="注释 4 2 5 2 5" xfId="39674"/>
    <cellStyle name="注释 4 2 5 3" xfId="39675"/>
    <cellStyle name="注释 4 2 5 3 2" xfId="39676"/>
    <cellStyle name="注释 4 2 5 3 2 2" xfId="39677"/>
    <cellStyle name="注释 4 2 5 3 3" xfId="39678"/>
    <cellStyle name="注释 4 2 5 3 3 2" xfId="39679"/>
    <cellStyle name="注释 4 2 5 3 4" xfId="32673"/>
    <cellStyle name="注释 4 2 5 4" xfId="39680"/>
    <cellStyle name="注释 4 2 5 4 2" xfId="39681"/>
    <cellStyle name="注释 4 2 5 5" xfId="39682"/>
    <cellStyle name="注释 4 2 6" xfId="28807"/>
    <cellStyle name="注释 4 2 6 2" xfId="39683"/>
    <cellStyle name="注释 4 2 6 2 2" xfId="39684"/>
    <cellStyle name="注释 4 2 6 2 2 2" xfId="39685"/>
    <cellStyle name="注释 4 2 6 2 3" xfId="39686"/>
    <cellStyle name="注释 4 2 6 2 3 2" xfId="39687"/>
    <cellStyle name="注释 4 2 6 2 4" xfId="32679"/>
    <cellStyle name="注释 4 2 6 2 4 2" xfId="39688"/>
    <cellStyle name="注释 4 2 6 2 5" xfId="39689"/>
    <cellStyle name="注释 4 2 6 3" xfId="39690"/>
    <cellStyle name="注释 4 2 6 3 2" xfId="39691"/>
    <cellStyle name="注释 4 2 6 3 2 2" xfId="39692"/>
    <cellStyle name="注释 4 2 6 3 3" xfId="39693"/>
    <cellStyle name="注释 4 2 6 3 3 2" xfId="39694"/>
    <cellStyle name="注释 4 2 6 3 4" xfId="39695"/>
    <cellStyle name="注释 4 2 6 4" xfId="39696"/>
    <cellStyle name="注释 4 2 6 4 2" xfId="39697"/>
    <cellStyle name="注释 4 2 6 5" xfId="39698"/>
    <cellStyle name="注释 4 2 7" xfId="28809"/>
    <cellStyle name="注释 4 2 7 2" xfId="39699"/>
    <cellStyle name="注释 4 2 7 2 2" xfId="39700"/>
    <cellStyle name="注释 4 2 7 3" xfId="39701"/>
    <cellStyle name="注释 4 2 7 3 2" xfId="39702"/>
    <cellStyle name="注释 4 2 7 4" xfId="39703"/>
    <cellStyle name="注释 4 2 7 4 2" xfId="39704"/>
    <cellStyle name="注释 4 2 7 5" xfId="39705"/>
    <cellStyle name="注释 4 2 8" xfId="39706"/>
    <cellStyle name="注释 4 2 8 2" xfId="39707"/>
    <cellStyle name="注释 4 2 8 2 2" xfId="39708"/>
    <cellStyle name="注释 4 2 8 3" xfId="39709"/>
    <cellStyle name="注释 4 2 8 3 2" xfId="39710"/>
    <cellStyle name="注释 4 2 8 4" xfId="39711"/>
    <cellStyle name="注释 4 2 8 4 2" xfId="39712"/>
    <cellStyle name="注释 4 2 8 5" xfId="39713"/>
    <cellStyle name="注释 4 2 9" xfId="39714"/>
    <cellStyle name="注释 4 2 9 2" xfId="39715"/>
    <cellStyle name="注释 4 2 9 2 2" xfId="39716"/>
    <cellStyle name="注释 4 2 9 3" xfId="39717"/>
    <cellStyle name="注释 4 2 9 3 2" xfId="39718"/>
    <cellStyle name="注释 4 2 9 4" xfId="39719"/>
    <cellStyle name="注释 4 2 9 4 2" xfId="39720"/>
    <cellStyle name="注释 4 2 9 5" xfId="39721"/>
    <cellStyle name="注释 4 3" xfId="36368"/>
    <cellStyle name="注释 4 3 2" xfId="36370"/>
    <cellStyle name="注释 4 3 2 2" xfId="36372"/>
    <cellStyle name="注释 4 3 2 2 2" xfId="39722"/>
    <cellStyle name="注释 4 3 2 2 2 2" xfId="32600"/>
    <cellStyle name="注释 4 3 2 2 3" xfId="39723"/>
    <cellStyle name="注释 4 3 2 2 3 2" xfId="39724"/>
    <cellStyle name="注释 4 3 2 2 4" xfId="39725"/>
    <cellStyle name="注释 4 3 2 2 4 2" xfId="39726"/>
    <cellStyle name="注释 4 3 2 2 5" xfId="39727"/>
    <cellStyle name="注释 4 3 2 3" xfId="39728"/>
    <cellStyle name="注释 4 3 2 3 2" xfId="39729"/>
    <cellStyle name="注释 4 3 2 3 2 2" xfId="39730"/>
    <cellStyle name="注释 4 3 2 3 3" xfId="39731"/>
    <cellStyle name="注释 4 3 2 3 3 2" xfId="39732"/>
    <cellStyle name="注释 4 3 2 3 4" xfId="39733"/>
    <cellStyle name="注释 4 3 2 4" xfId="39734"/>
    <cellStyle name="注释 4 3 2 4 2" xfId="39735"/>
    <cellStyle name="注释 4 3 2 5" xfId="39736"/>
    <cellStyle name="注释 4 3 3" xfId="10300"/>
    <cellStyle name="注释 4 3 3 2" xfId="36374"/>
    <cellStyle name="注释 4 3 3 2 2" xfId="39737"/>
    <cellStyle name="注释 4 3 3 3" xfId="39738"/>
    <cellStyle name="注释 4 3 3 3 2" xfId="39739"/>
    <cellStyle name="注释 4 3 3 4" xfId="39740"/>
    <cellStyle name="注释 4 3 3 4 2" xfId="39741"/>
    <cellStyle name="注释 4 3 3 5" xfId="39742"/>
    <cellStyle name="注释 4 3 4" xfId="36376"/>
    <cellStyle name="注释 4 3 4 2" xfId="36378"/>
    <cellStyle name="注释 4 3 4 2 2" xfId="39743"/>
    <cellStyle name="注释 4 3 4 3" xfId="39744"/>
    <cellStyle name="注释 4 3 4 3 2" xfId="39745"/>
    <cellStyle name="注释 4 3 4 4" xfId="39746"/>
    <cellStyle name="注释 4 3 5" xfId="36380"/>
    <cellStyle name="注释 4 3 5 2" xfId="39747"/>
    <cellStyle name="注释 4 3 6" xfId="28813"/>
    <cellStyle name="注释 4 3 7" xfId="28815"/>
    <cellStyle name="注释 4 4" xfId="36382"/>
    <cellStyle name="注释 4 4 2" xfId="1788"/>
    <cellStyle name="注释 4 4 2 2" xfId="36384"/>
    <cellStyle name="注释 4 4 2 2 2" xfId="39748"/>
    <cellStyle name="注释 4 4 2 2 2 2" xfId="1265"/>
    <cellStyle name="注释 4 4 2 2 3" xfId="39749"/>
    <cellStyle name="注释 4 4 2 2 3 2" xfId="39750"/>
    <cellStyle name="注释 4 4 2 2 4" xfId="39751"/>
    <cellStyle name="注释 4 4 2 2 4 2" xfId="39752"/>
    <cellStyle name="注释 4 4 2 2 5" xfId="39753"/>
    <cellStyle name="注释 4 4 2 3" xfId="39754"/>
    <cellStyle name="注释 4 4 2 3 2" xfId="39755"/>
    <cellStyle name="注释 4 4 2 3 2 2" xfId="1009"/>
    <cellStyle name="注释 4 4 2 3 3" xfId="39756"/>
    <cellStyle name="注释 4 4 2 3 3 2" xfId="39757"/>
    <cellStyle name="注释 4 4 2 3 4" xfId="39758"/>
    <cellStyle name="注释 4 4 2 4" xfId="39759"/>
    <cellStyle name="注释 4 4 2 4 2" xfId="39760"/>
    <cellStyle name="注释 4 4 2 5" xfId="39761"/>
    <cellStyle name="注释 4 4 3" xfId="16400"/>
    <cellStyle name="注释 4 4 3 2" xfId="36386"/>
    <cellStyle name="注释 4 4 3 2 2" xfId="39762"/>
    <cellStyle name="注释 4 4 3 3" xfId="39763"/>
    <cellStyle name="注释 4 4 3 3 2" xfId="39764"/>
    <cellStyle name="注释 4 4 3 4" xfId="39765"/>
    <cellStyle name="注释 4 4 3 4 2" xfId="39766"/>
    <cellStyle name="注释 4 4 3 5" xfId="39767"/>
    <cellStyle name="注释 4 4 4" xfId="12159"/>
    <cellStyle name="注释 4 4 4 2" xfId="39768"/>
    <cellStyle name="注释 4 4 4 2 2" xfId="39769"/>
    <cellStyle name="注释 4 4 4 3" xfId="39770"/>
    <cellStyle name="注释 4 4 4 3 2" xfId="39771"/>
    <cellStyle name="注释 4 4 4 4" xfId="39772"/>
    <cellStyle name="注释 4 4 5" xfId="16427"/>
    <cellStyle name="注释 4 4 5 2" xfId="39773"/>
    <cellStyle name="注释 4 4 6" xfId="16432"/>
    <cellStyle name="注释 4 5" xfId="36388"/>
    <cellStyle name="注释 4 5 2" xfId="36390"/>
    <cellStyle name="注释 4 5 2 2" xfId="39774"/>
    <cellStyle name="注释 4 5 2 2 2" xfId="39775"/>
    <cellStyle name="注释 4 5 2 2 2 2" xfId="9623"/>
    <cellStyle name="注释 4 5 2 2 3" xfId="39776"/>
    <cellStyle name="注释 4 5 2 2 3 2" xfId="39777"/>
    <cellStyle name="注释 4 5 2 2 4" xfId="39778"/>
    <cellStyle name="注释 4 5 2 2 4 2" xfId="39779"/>
    <cellStyle name="注释 4 5 2 2 5" xfId="39780"/>
    <cellStyle name="注释 4 5 2 3" xfId="39781"/>
    <cellStyle name="注释 4 5 2 3 2" xfId="39782"/>
    <cellStyle name="注释 4 5 2 3 2 2" xfId="9648"/>
    <cellStyle name="注释 4 5 2 3 3" xfId="39783"/>
    <cellStyle name="注释 4 5 2 3 3 2" xfId="39784"/>
    <cellStyle name="注释 4 5 2 3 4" xfId="39785"/>
    <cellStyle name="注释 4 5 2 4" xfId="39786"/>
    <cellStyle name="注释 4 5 2 4 2" xfId="39787"/>
    <cellStyle name="注释 4 5 2 5" xfId="39788"/>
    <cellStyle name="注释 4 5 3" xfId="39789"/>
    <cellStyle name="注释 4 5 3 2" xfId="39790"/>
    <cellStyle name="注释 4 5 3 2 2" xfId="39791"/>
    <cellStyle name="注释 4 5 3 3" xfId="39792"/>
    <cellStyle name="注释 4 5 3 3 2" xfId="39793"/>
    <cellStyle name="注释 4 5 3 4" xfId="39794"/>
    <cellStyle name="注释 4 5 3 4 2" xfId="39795"/>
    <cellStyle name="注释 4 5 3 5" xfId="39796"/>
    <cellStyle name="注释 4 5 4" xfId="39797"/>
    <cellStyle name="注释 4 5 4 2" xfId="39798"/>
    <cellStyle name="注释 4 5 4 2 2" xfId="39799"/>
    <cellStyle name="注释 4 5 4 3" xfId="39800"/>
    <cellStyle name="注释 4 5 4 3 2" xfId="39801"/>
    <cellStyle name="注释 4 5 4 4" xfId="39802"/>
    <cellStyle name="注释 4 5 5" xfId="39803"/>
    <cellStyle name="注释 4 5 5 2" xfId="39804"/>
    <cellStyle name="注释 4 5 6" xfId="16446"/>
    <cellStyle name="注释 4 6" xfId="36392"/>
    <cellStyle name="注释 4 6 2" xfId="39805"/>
    <cellStyle name="注释 4 6 2 2" xfId="39806"/>
    <cellStyle name="注释 4 6 2 2 2" xfId="31440"/>
    <cellStyle name="注释 4 6 2 3" xfId="39807"/>
    <cellStyle name="注释 4 6 2 3 2" xfId="39808"/>
    <cellStyle name="注释 4 6 2 4" xfId="20740"/>
    <cellStyle name="注释 4 6 2 4 2" xfId="39809"/>
    <cellStyle name="注释 4 6 2 5" xfId="39810"/>
    <cellStyle name="注释 4 6 3" xfId="39811"/>
    <cellStyle name="注释 4 6 3 2" xfId="39812"/>
    <cellStyle name="注释 4 6 3 2 2" xfId="31549"/>
    <cellStyle name="注释 4 6 3 3" xfId="39813"/>
    <cellStyle name="注释 4 6 3 3 2" xfId="39814"/>
    <cellStyle name="注释 4 6 3 4" xfId="20742"/>
    <cellStyle name="注释 4 6 4" xfId="39815"/>
    <cellStyle name="注释 4 6 4 2" xfId="39816"/>
    <cellStyle name="注释 4 6 5" xfId="39817"/>
    <cellStyle name="注释 4 7" xfId="36394"/>
    <cellStyle name="注释 4 7 2" xfId="39818"/>
    <cellStyle name="注释 4 7 2 2" xfId="39819"/>
    <cellStyle name="注释 4 7 2 2 2" xfId="39820"/>
    <cellStyle name="注释 4 7 2 3" xfId="39821"/>
    <cellStyle name="注释 4 7 2 3 2" xfId="39822"/>
    <cellStyle name="注释 4 7 2 4" xfId="39823"/>
    <cellStyle name="注释 4 7 2 4 2" xfId="39824"/>
    <cellStyle name="注释 4 7 2 5" xfId="39825"/>
    <cellStyle name="注释 4 7 3" xfId="39826"/>
    <cellStyle name="注释 4 7 3 2" xfId="39827"/>
    <cellStyle name="注释 4 7 3 2 2" xfId="39828"/>
    <cellStyle name="注释 4 7 3 3" xfId="39829"/>
    <cellStyle name="注释 4 7 3 3 2" xfId="39830"/>
    <cellStyle name="注释 4 7 3 4" xfId="39831"/>
    <cellStyle name="注释 4 7 4" xfId="39832"/>
    <cellStyle name="注释 4 7 4 2" xfId="39833"/>
    <cellStyle name="注释 4 7 5" xfId="39834"/>
    <cellStyle name="注释 4 8" xfId="39835"/>
    <cellStyle name="注释 4 8 2" xfId="39836"/>
    <cellStyle name="注释 4 8 2 2" xfId="39837"/>
    <cellStyle name="注释 4 8 3" xfId="39838"/>
    <cellStyle name="注释 4 8 3 2" xfId="39839"/>
    <cellStyle name="注释 4 8 4" xfId="39840"/>
    <cellStyle name="注释 4 8 4 2" xfId="39841"/>
    <cellStyle name="注释 4 8 5" xfId="39842"/>
    <cellStyle name="注释 4 9" xfId="39843"/>
    <cellStyle name="注释 4 9 2" xfId="39844"/>
    <cellStyle name="注释 4 9 2 2" xfId="39845"/>
    <cellStyle name="注释 4 9 3" xfId="39846"/>
    <cellStyle name="注释 4 9 3 2" xfId="39847"/>
    <cellStyle name="注释 4 9 4" xfId="39848"/>
    <cellStyle name="注释 4 9 4 2" xfId="39849"/>
    <cellStyle name="注释 4 9 5" xfId="39850"/>
    <cellStyle name="注释 5" xfId="36396"/>
    <cellStyle name="注释 5 10" xfId="39851"/>
    <cellStyle name="注释 5 10 2" xfId="39852"/>
    <cellStyle name="注释 5 10 2 2" xfId="39853"/>
    <cellStyle name="注释 5 10 3" xfId="39854"/>
    <cellStyle name="注释 5 10 3 2" xfId="39855"/>
    <cellStyle name="注释 5 10 4" xfId="39856"/>
    <cellStyle name="注释 5 10 4 2" xfId="39857"/>
    <cellStyle name="注释 5 10 5" xfId="10688"/>
    <cellStyle name="注释 5 11" xfId="39858"/>
    <cellStyle name="注释 5 11 2" xfId="39859"/>
    <cellStyle name="注释 5 11 2 2" xfId="17857"/>
    <cellStyle name="注释 5 11 3" xfId="39860"/>
    <cellStyle name="注释 5 11 3 2" xfId="39861"/>
    <cellStyle name="注释 5 11 4" xfId="39862"/>
    <cellStyle name="注释 5 11 4 2" xfId="39863"/>
    <cellStyle name="注释 5 11 5" xfId="10461"/>
    <cellStyle name="注释 5 12" xfId="39864"/>
    <cellStyle name="注释 5 2" xfId="36398"/>
    <cellStyle name="注释 5 2 10" xfId="39865"/>
    <cellStyle name="注释 5 2 10 2" xfId="39866"/>
    <cellStyle name="注释 5 2 10 2 2" xfId="39867"/>
    <cellStyle name="注释 5 2 10 3" xfId="39868"/>
    <cellStyle name="注释 5 2 10 3 2" xfId="39869"/>
    <cellStyle name="注释 5 2 10 4" xfId="39870"/>
    <cellStyle name="注释 5 2 10 4 2" xfId="39871"/>
    <cellStyle name="注释 5 2 10 5" xfId="39872"/>
    <cellStyle name="注释 5 2 11" xfId="39873"/>
    <cellStyle name="注释 5 2 2" xfId="36400"/>
    <cellStyle name="注释 5 2 2 2" xfId="36402"/>
    <cellStyle name="注释 5 2 2 2 2" xfId="39874"/>
    <cellStyle name="注释 5 2 2 2 2 2" xfId="39875"/>
    <cellStyle name="注释 5 2 2 2 2 2 2" xfId="39876"/>
    <cellStyle name="注释 5 2 2 2 2 3" xfId="39877"/>
    <cellStyle name="注释 5 2 2 2 2 3 2" xfId="39878"/>
    <cellStyle name="注释 5 2 2 2 2 4" xfId="39879"/>
    <cellStyle name="注释 5 2 2 2 2 4 2" xfId="39880"/>
    <cellStyle name="注释 5 2 2 2 2 5" xfId="39881"/>
    <cellStyle name="注释 5 2 2 2 3" xfId="39882"/>
    <cellStyle name="注释 5 2 2 2 3 2" xfId="39883"/>
    <cellStyle name="注释 5 2 2 2 3 2 2" xfId="39884"/>
    <cellStyle name="注释 5 2 2 2 3 3" xfId="39885"/>
    <cellStyle name="注释 5 2 2 2 3 3 2" xfId="39886"/>
    <cellStyle name="注释 5 2 2 2 3 4" xfId="39887"/>
    <cellStyle name="注释 5 2 2 2 4" xfId="39888"/>
    <cellStyle name="注释 5 2 2 2 4 2" xfId="39889"/>
    <cellStyle name="注释 5 2 2 2 5" xfId="39890"/>
    <cellStyle name="注释 5 2 2 3" xfId="39891"/>
    <cellStyle name="注释 5 2 2 3 2" xfId="39892"/>
    <cellStyle name="注释 5 2 2 3 2 2" xfId="39893"/>
    <cellStyle name="注释 5 2 2 3 3" xfId="39894"/>
    <cellStyle name="注释 5 2 2 3 3 2" xfId="39895"/>
    <cellStyle name="注释 5 2 2 3 4" xfId="3121"/>
    <cellStyle name="注释 5 2 2 3 4 2" xfId="39896"/>
    <cellStyle name="注释 5 2 2 3 5" xfId="39897"/>
    <cellStyle name="注释 5 2 2 4" xfId="39898"/>
    <cellStyle name="注释 5 2 2 4 2" xfId="39899"/>
    <cellStyle name="注释 5 2 2 4 2 2" xfId="39900"/>
    <cellStyle name="注释 5 2 2 4 3" xfId="39901"/>
    <cellStyle name="注释 5 2 2 4 3 2" xfId="39902"/>
    <cellStyle name="注释 5 2 2 4 4" xfId="3134"/>
    <cellStyle name="注释 5 2 2 4 4 2" xfId="39903"/>
    <cellStyle name="注释 5 2 2 4 5" xfId="39904"/>
    <cellStyle name="注释 5 2 2 5" xfId="39905"/>
    <cellStyle name="注释 5 2 2 5 2" xfId="39906"/>
    <cellStyle name="注释 5 2 2 5 2 2" xfId="39907"/>
    <cellStyle name="注释 5 2 2 5 3" xfId="39908"/>
    <cellStyle name="注释 5 2 2 5 3 2" xfId="39909"/>
    <cellStyle name="注释 5 2 2 5 4" xfId="16122"/>
    <cellStyle name="注释 5 2 2 6" xfId="39910"/>
    <cellStyle name="注释 5 2 2 6 2" xfId="39911"/>
    <cellStyle name="注释 5 2 2 7" xfId="39912"/>
    <cellStyle name="注释 5 2 3" xfId="10314"/>
    <cellStyle name="注释 5 2 3 2" xfId="36404"/>
    <cellStyle name="注释 5 2 3 2 2" xfId="39913"/>
    <cellStyle name="注释 5 2 3 2 2 2" xfId="39914"/>
    <cellStyle name="注释 5 2 3 2 2 2 2" xfId="39915"/>
    <cellStyle name="注释 5 2 3 2 2 3" xfId="39916"/>
    <cellStyle name="注释 5 2 3 2 2 3 2" xfId="39917"/>
    <cellStyle name="注释 5 2 3 2 2 4" xfId="39918"/>
    <cellStyle name="注释 5 2 3 2 2 4 2" xfId="39919"/>
    <cellStyle name="注释 5 2 3 2 2 5" xfId="39920"/>
    <cellStyle name="注释 5 2 3 2 3" xfId="6403"/>
    <cellStyle name="注释 5 2 3 2 3 2" xfId="39921"/>
    <cellStyle name="注释 5 2 3 2 3 2 2" xfId="39922"/>
    <cellStyle name="注释 5 2 3 2 3 3" xfId="39923"/>
    <cellStyle name="注释 5 2 3 2 3 3 2" xfId="39924"/>
    <cellStyle name="注释 5 2 3 2 3 4" xfId="39925"/>
    <cellStyle name="注释 5 2 3 2 4" xfId="39926"/>
    <cellStyle name="注释 5 2 3 2 4 2" xfId="39927"/>
    <cellStyle name="注释 5 2 3 2 5" xfId="39928"/>
    <cellStyle name="注释 5 2 3 3" xfId="39929"/>
    <cellStyle name="注释 5 2 3 3 2" xfId="39930"/>
    <cellStyle name="注释 5 2 3 3 2 2" xfId="39931"/>
    <cellStyle name="注释 5 2 3 3 3" xfId="39932"/>
    <cellStyle name="注释 5 2 3 3 3 2" xfId="39933"/>
    <cellStyle name="注释 5 2 3 3 4" xfId="3152"/>
    <cellStyle name="注释 5 2 3 3 4 2" xfId="39934"/>
    <cellStyle name="注释 5 2 3 3 5" xfId="39935"/>
    <cellStyle name="注释 5 2 3 4" xfId="39936"/>
    <cellStyle name="注释 5 2 3 4 2" xfId="39937"/>
    <cellStyle name="注释 5 2 3 4 2 2" xfId="39938"/>
    <cellStyle name="注释 5 2 3 4 3" xfId="39939"/>
    <cellStyle name="注释 5 2 3 4 3 2" xfId="39940"/>
    <cellStyle name="注释 5 2 3 4 4" xfId="3160"/>
    <cellStyle name="注释 5 2 3 5" xfId="39941"/>
    <cellStyle name="注释 5 2 3 5 2" xfId="39942"/>
    <cellStyle name="注释 5 2 3 6" xfId="39943"/>
    <cellStyle name="注释 5 2 4" xfId="36406"/>
    <cellStyle name="注释 5 2 4 2" xfId="36408"/>
    <cellStyle name="注释 5 2 4 2 2" xfId="5013"/>
    <cellStyle name="注释 5 2 4 2 2 2" xfId="29813"/>
    <cellStyle name="注释 5 2 4 2 2 2 2" xfId="39944"/>
    <cellStyle name="注释 5 2 4 2 2 3" xfId="39945"/>
    <cellStyle name="注释 5 2 4 2 2 3 2" xfId="39946"/>
    <cellStyle name="注释 5 2 4 2 2 4" xfId="39947"/>
    <cellStyle name="注释 5 2 4 2 2 4 2" xfId="39948"/>
    <cellStyle name="注释 5 2 4 2 2 5" xfId="39949"/>
    <cellStyle name="注释 5 2 4 2 3" xfId="3016"/>
    <cellStyle name="注释 5 2 4 2 3 2" xfId="30735"/>
    <cellStyle name="注释 5 2 4 2 3 2 2" xfId="39950"/>
    <cellStyle name="注释 5 2 4 2 3 3" xfId="39951"/>
    <cellStyle name="注释 5 2 4 2 3 3 2" xfId="39952"/>
    <cellStyle name="注释 5 2 4 2 3 4" xfId="39953"/>
    <cellStyle name="注释 5 2 4 2 4" xfId="3168"/>
    <cellStyle name="注释 5 2 4 2 4 2" xfId="4846"/>
    <cellStyle name="注释 5 2 4 2 5" xfId="4858"/>
    <cellStyle name="注释 5 2 4 3" xfId="39954"/>
    <cellStyle name="注释 5 2 4 3 2" xfId="39955"/>
    <cellStyle name="注释 5 2 4 3 2 2" xfId="39956"/>
    <cellStyle name="注释 5 2 4 3 3" xfId="39957"/>
    <cellStyle name="注释 5 2 4 3 3 2" xfId="39958"/>
    <cellStyle name="注释 5 2 4 3 4" xfId="3178"/>
    <cellStyle name="注释 5 2 4 3 4 2" xfId="39959"/>
    <cellStyle name="注释 5 2 4 3 5" xfId="39960"/>
    <cellStyle name="注释 5 2 4 4" xfId="39961"/>
    <cellStyle name="注释 5 2 4 4 2" xfId="39962"/>
    <cellStyle name="注释 5 2 4 4 2 2" xfId="39963"/>
    <cellStyle name="注释 5 2 4 4 3" xfId="39964"/>
    <cellStyle name="注释 5 2 4 4 3 2" xfId="39965"/>
    <cellStyle name="注释 5 2 4 4 4" xfId="3190"/>
    <cellStyle name="注释 5 2 4 5" xfId="39966"/>
    <cellStyle name="注释 5 2 4 5 2" xfId="39967"/>
    <cellStyle name="注释 5 2 4 6" xfId="39968"/>
    <cellStyle name="注释 5 2 5" xfId="36410"/>
    <cellStyle name="注释 5 2 5 2" xfId="39969"/>
    <cellStyle name="注释 5 2 5 2 2" xfId="5028"/>
    <cellStyle name="注释 5 2 5 2 2 2" xfId="39970"/>
    <cellStyle name="注释 5 2 5 2 3" xfId="39971"/>
    <cellStyle name="注释 5 2 5 2 3 2" xfId="39972"/>
    <cellStyle name="注释 5 2 5 2 4" xfId="39973"/>
    <cellStyle name="注释 5 2 5 2 4 2" xfId="39974"/>
    <cellStyle name="注释 5 2 5 2 5" xfId="39975"/>
    <cellStyle name="注释 5 2 5 3" xfId="39976"/>
    <cellStyle name="注释 5 2 5 3 2" xfId="39977"/>
    <cellStyle name="注释 5 2 5 3 2 2" xfId="39978"/>
    <cellStyle name="注释 5 2 5 3 3" xfId="39979"/>
    <cellStyle name="注释 5 2 5 3 3 2" xfId="39980"/>
    <cellStyle name="注释 5 2 5 3 4" xfId="39981"/>
    <cellStyle name="注释 5 2 5 4" xfId="39982"/>
    <cellStyle name="注释 5 2 5 4 2" xfId="39983"/>
    <cellStyle name="注释 5 2 5 5" xfId="39984"/>
    <cellStyle name="注释 5 2 6" xfId="39985"/>
    <cellStyle name="注释 5 2 6 2" xfId="39986"/>
    <cellStyle name="注释 5 2 6 2 2" xfId="39987"/>
    <cellStyle name="注释 5 2 6 2 2 2" xfId="39988"/>
    <cellStyle name="注释 5 2 6 2 3" xfId="39989"/>
    <cellStyle name="注释 5 2 6 2 3 2" xfId="39990"/>
    <cellStyle name="注释 5 2 6 2 4" xfId="39991"/>
    <cellStyle name="注释 5 2 6 2 4 2" xfId="39992"/>
    <cellStyle name="注释 5 2 6 2 5" xfId="39993"/>
    <cellStyle name="注释 5 2 6 3" xfId="39994"/>
    <cellStyle name="注释 5 2 6 3 2" xfId="39995"/>
    <cellStyle name="注释 5 2 6 3 2 2" xfId="39996"/>
    <cellStyle name="注释 5 2 6 3 3" xfId="39997"/>
    <cellStyle name="注释 5 2 6 3 3 2" xfId="39998"/>
    <cellStyle name="注释 5 2 6 3 4" xfId="39999"/>
    <cellStyle name="注释 5 2 6 4" xfId="40000"/>
    <cellStyle name="注释 5 2 6 4 2" xfId="40001"/>
    <cellStyle name="注释 5 2 6 5" xfId="40002"/>
    <cellStyle name="注释 5 2 7" xfId="40003"/>
    <cellStyle name="注释 5 2 7 2" xfId="40004"/>
    <cellStyle name="注释 5 2 7 2 2" xfId="32225"/>
    <cellStyle name="注释 5 2 7 3" xfId="40005"/>
    <cellStyle name="注释 5 2 7 3 2" xfId="40006"/>
    <cellStyle name="注释 5 2 7 4" xfId="40007"/>
    <cellStyle name="注释 5 2 7 4 2" xfId="40008"/>
    <cellStyle name="注释 5 2 7 5" xfId="40009"/>
    <cellStyle name="注释 5 2 8" xfId="40010"/>
    <cellStyle name="注释 5 2 8 2" xfId="40011"/>
    <cellStyle name="注释 5 2 8 2 2" xfId="40012"/>
    <cellStyle name="注释 5 2 8 3" xfId="40013"/>
    <cellStyle name="注释 5 2 8 3 2" xfId="40014"/>
    <cellStyle name="注释 5 2 8 4" xfId="40015"/>
    <cellStyle name="注释 5 2 8 4 2" xfId="40016"/>
    <cellStyle name="注释 5 2 8 5" xfId="40017"/>
    <cellStyle name="注释 5 2 9" xfId="24048"/>
    <cellStyle name="注释 5 2 9 2" xfId="40018"/>
    <cellStyle name="注释 5 2 9 2 2" xfId="40019"/>
    <cellStyle name="注释 5 2 9 3" xfId="40020"/>
    <cellStyle name="注释 5 2 9 3 2" xfId="40021"/>
    <cellStyle name="注释 5 2 9 4" xfId="40022"/>
    <cellStyle name="注释 5 2 9 4 2" xfId="40023"/>
    <cellStyle name="注释 5 2 9 5" xfId="40024"/>
    <cellStyle name="注释 5 3" xfId="36412"/>
    <cellStyle name="注释 5 3 2" xfId="36414"/>
    <cellStyle name="注释 5 3 2 2" xfId="36416"/>
    <cellStyle name="注释 5 3 2 2 2" xfId="40025"/>
    <cellStyle name="注释 5 3 2 2 2 2" xfId="40026"/>
    <cellStyle name="注释 5 3 2 2 3" xfId="40027"/>
    <cellStyle name="注释 5 3 2 2 3 2" xfId="40028"/>
    <cellStyle name="注释 5 3 2 2 4" xfId="40029"/>
    <cellStyle name="注释 5 3 2 2 4 2" xfId="40030"/>
    <cellStyle name="注释 5 3 2 2 5" xfId="40031"/>
    <cellStyle name="注释 5 3 2 3" xfId="40032"/>
    <cellStyle name="注释 5 3 2 3 2" xfId="40033"/>
    <cellStyle name="注释 5 3 2 3 2 2" xfId="40034"/>
    <cellStyle name="注释 5 3 2 3 3" xfId="40035"/>
    <cellStyle name="注释 5 3 2 3 3 2" xfId="40036"/>
    <cellStyle name="注释 5 3 2 3 4" xfId="3467"/>
    <cellStyle name="注释 5 3 2 4" xfId="40037"/>
    <cellStyle name="注释 5 3 2 4 2" xfId="40038"/>
    <cellStyle name="注释 5 3 2 5" xfId="40039"/>
    <cellStyle name="注释 5 3 3" xfId="36418"/>
    <cellStyle name="注释 5 3 3 2" xfId="36420"/>
    <cellStyle name="注释 5 3 3 2 2" xfId="40040"/>
    <cellStyle name="注释 5 3 3 3" xfId="40041"/>
    <cellStyle name="注释 5 3 3 3 2" xfId="40042"/>
    <cellStyle name="注释 5 3 3 4" xfId="40043"/>
    <cellStyle name="注释 5 3 3 4 2" xfId="40044"/>
    <cellStyle name="注释 5 3 3 5" xfId="30596"/>
    <cellStyle name="注释 5 3 4" xfId="36422"/>
    <cellStyle name="注释 5 3 4 2" xfId="40045"/>
    <cellStyle name="注释 5 3 4 2 2" xfId="40046"/>
    <cellStyle name="注释 5 3 4 3" xfId="40047"/>
    <cellStyle name="注释 5 3 4 3 2" xfId="40048"/>
    <cellStyle name="注释 5 3 4 4" xfId="40049"/>
    <cellStyle name="注释 5 3 5" xfId="40050"/>
    <cellStyle name="注释 5 3 5 2" xfId="40051"/>
    <cellStyle name="注释 5 3 6" xfId="40052"/>
    <cellStyle name="注释 5 3 7" xfId="40053"/>
    <cellStyle name="注释 5 4" xfId="36424"/>
    <cellStyle name="注释 5 4 2" xfId="36426"/>
    <cellStyle name="注释 5 4 2 2" xfId="40054"/>
    <cellStyle name="注释 5 4 2 2 2" xfId="40055"/>
    <cellStyle name="注释 5 4 2 2 2 2" xfId="40056"/>
    <cellStyle name="注释 5 4 2 2 3" xfId="40057"/>
    <cellStyle name="注释 5 4 2 2 3 2" xfId="40058"/>
    <cellStyle name="注释 5 4 2 2 4" xfId="40059"/>
    <cellStyle name="注释 5 4 2 2 4 2" xfId="40060"/>
    <cellStyle name="注释 5 4 2 2 5" xfId="40061"/>
    <cellStyle name="注释 5 4 2 3" xfId="40062"/>
    <cellStyle name="注释 5 4 2 3 2" xfId="40063"/>
    <cellStyle name="注释 5 4 2 3 2 2" xfId="40064"/>
    <cellStyle name="注释 5 4 2 3 3" xfId="40065"/>
    <cellStyle name="注释 5 4 2 3 3 2" xfId="40066"/>
    <cellStyle name="注释 5 4 2 3 4" xfId="19427"/>
    <cellStyle name="注释 5 4 2 4" xfId="40067"/>
    <cellStyle name="注释 5 4 2 4 2" xfId="40068"/>
    <cellStyle name="注释 5 4 2 5" xfId="40069"/>
    <cellStyle name="注释 5 4 3" xfId="40070"/>
    <cellStyle name="注释 5 4 3 2" xfId="40071"/>
    <cellStyle name="注释 5 4 3 2 2" xfId="40072"/>
    <cellStyle name="注释 5 4 3 3" xfId="40073"/>
    <cellStyle name="注释 5 4 3 3 2" xfId="40074"/>
    <cellStyle name="注释 5 4 3 4" xfId="40075"/>
    <cellStyle name="注释 5 4 3 4 2" xfId="40076"/>
    <cellStyle name="注释 5 4 3 5" xfId="40077"/>
    <cellStyle name="注释 5 4 4" xfId="40078"/>
    <cellStyle name="注释 5 4 4 2" xfId="40079"/>
    <cellStyle name="注释 5 4 4 2 2" xfId="40080"/>
    <cellStyle name="注释 5 4 4 3" xfId="40081"/>
    <cellStyle name="注释 5 4 4 3 2" xfId="40082"/>
    <cellStyle name="注释 5 4 4 4" xfId="40083"/>
    <cellStyle name="注释 5 4 5" xfId="40084"/>
    <cellStyle name="注释 5 4 5 2" xfId="40085"/>
    <cellStyle name="注释 5 4 6" xfId="40086"/>
    <cellStyle name="注释 5 5" xfId="36428"/>
    <cellStyle name="注释 5 5 2" xfId="40087"/>
    <cellStyle name="注释 5 5 2 2" xfId="40088"/>
    <cellStyle name="注释 5 5 2 2 2" xfId="40089"/>
    <cellStyle name="注释 5 5 2 2 2 2" xfId="11991"/>
    <cellStyle name="注释 5 5 2 2 3" xfId="40090"/>
    <cellStyle name="注释 5 5 2 2 3 2" xfId="40091"/>
    <cellStyle name="注释 5 5 2 2 4" xfId="22178"/>
    <cellStyle name="注释 5 5 2 2 4 2" xfId="40092"/>
    <cellStyle name="注释 5 5 2 2 5" xfId="40093"/>
    <cellStyle name="注释 5 5 2 3" xfId="40094"/>
    <cellStyle name="注释 5 5 2 3 2" xfId="40095"/>
    <cellStyle name="注释 5 5 2 3 2 2" xfId="40096"/>
    <cellStyle name="注释 5 5 2 3 3" xfId="40097"/>
    <cellStyle name="注释 5 5 2 3 3 2" xfId="40098"/>
    <cellStyle name="注释 5 5 2 3 4" xfId="32870"/>
    <cellStyle name="注释 5 5 2 4" xfId="40099"/>
    <cellStyle name="注释 5 5 2 4 2" xfId="40100"/>
    <cellStyle name="注释 5 5 2 5" xfId="40101"/>
    <cellStyle name="注释 5 5 3" xfId="40102"/>
    <cellStyle name="注释 5 5 3 2" xfId="40103"/>
    <cellStyle name="注释 5 5 3 2 2" xfId="40104"/>
    <cellStyle name="注释 5 5 3 3" xfId="40105"/>
    <cellStyle name="注释 5 5 3 3 2" xfId="40106"/>
    <cellStyle name="注释 5 5 3 4" xfId="40107"/>
    <cellStyle name="注释 5 5 3 4 2" xfId="40108"/>
    <cellStyle name="注释 5 5 3 5" xfId="40109"/>
    <cellStyle name="注释 5 5 4" xfId="40110"/>
    <cellStyle name="注释 5 5 4 2" xfId="3980"/>
    <cellStyle name="注释 5 5 4 2 2" xfId="22180"/>
    <cellStyle name="注释 5 5 4 3" xfId="30293"/>
    <cellStyle name="注释 5 5 4 3 2" xfId="30295"/>
    <cellStyle name="注释 5 5 4 4" xfId="30297"/>
    <cellStyle name="注释 5 5 5" xfId="40111"/>
    <cellStyle name="注释 5 5 5 2" xfId="40112"/>
    <cellStyle name="注释 5 5 6" xfId="40113"/>
    <cellStyle name="注释 5 6" xfId="40114"/>
    <cellStyle name="注释 5 6 2" xfId="40115"/>
    <cellStyle name="注释 5 6 2 2" xfId="40116"/>
    <cellStyle name="注释 5 6 2 2 2" xfId="40117"/>
    <cellStyle name="注释 5 6 2 3" xfId="40118"/>
    <cellStyle name="注释 5 6 2 3 2" xfId="40119"/>
    <cellStyle name="注释 5 6 2 4" xfId="40120"/>
    <cellStyle name="注释 5 6 2 4 2" xfId="40121"/>
    <cellStyle name="注释 5 6 2 5" xfId="40122"/>
    <cellStyle name="注释 5 6 3" xfId="40123"/>
    <cellStyle name="注释 5 6 3 2" xfId="40124"/>
    <cellStyle name="注释 5 6 3 2 2" xfId="40125"/>
    <cellStyle name="注释 5 6 3 3" xfId="40126"/>
    <cellStyle name="注释 5 6 3 3 2" xfId="40127"/>
    <cellStyle name="注释 5 6 3 4" xfId="40128"/>
    <cellStyle name="注释 5 6 4" xfId="40129"/>
    <cellStyle name="注释 5 6 4 2" xfId="40130"/>
    <cellStyle name="注释 5 6 5" xfId="40131"/>
    <cellStyle name="注释 5 7" xfId="40132"/>
    <cellStyle name="注释 5 7 2" xfId="40133"/>
    <cellStyle name="注释 5 7 2 2" xfId="40134"/>
    <cellStyle name="注释 5 7 2 2 2" xfId="40135"/>
    <cellStyle name="注释 5 7 2 3" xfId="40136"/>
    <cellStyle name="注释 5 7 2 3 2" xfId="40137"/>
    <cellStyle name="注释 5 7 2 4" xfId="40138"/>
    <cellStyle name="注释 5 7 2 4 2" xfId="40139"/>
    <cellStyle name="注释 5 7 2 5" xfId="40140"/>
    <cellStyle name="注释 5 7 3" xfId="40141"/>
    <cellStyle name="注释 5 7 3 2" xfId="40142"/>
    <cellStyle name="注释 5 7 3 2 2" xfId="40143"/>
    <cellStyle name="注释 5 7 3 3" xfId="40144"/>
    <cellStyle name="注释 5 7 3 3 2" xfId="40145"/>
    <cellStyle name="注释 5 7 3 4" xfId="40146"/>
    <cellStyle name="注释 5 7 4" xfId="40147"/>
    <cellStyle name="注释 5 7 4 2" xfId="40148"/>
    <cellStyle name="注释 5 7 5" xfId="40149"/>
    <cellStyle name="注释 5 8" xfId="40150"/>
    <cellStyle name="注释 5 8 2" xfId="40151"/>
    <cellStyle name="注释 5 8 2 2" xfId="40152"/>
    <cellStyle name="注释 5 8 3" xfId="40153"/>
    <cellStyle name="注释 5 8 3 2" xfId="40154"/>
    <cellStyle name="注释 5 8 4" xfId="40155"/>
    <cellStyle name="注释 5 8 4 2" xfId="40156"/>
    <cellStyle name="注释 5 8 5" xfId="40157"/>
    <cellStyle name="注释 5 9" xfId="40158"/>
    <cellStyle name="注释 5 9 2" xfId="40159"/>
    <cellStyle name="注释 5 9 2 2" xfId="40160"/>
    <cellStyle name="注释 5 9 3" xfId="21013"/>
    <cellStyle name="注释 5 9 3 2" xfId="40161"/>
    <cellStyle name="注释 5 9 4" xfId="6583"/>
    <cellStyle name="注释 5 9 4 2" xfId="14014"/>
    <cellStyle name="注释 5 9 5" xfId="40162"/>
    <cellStyle name="注释 6" xfId="36430"/>
    <cellStyle name="注释 6 10" xfId="40163"/>
    <cellStyle name="注释 6 10 2" xfId="40164"/>
    <cellStyle name="注释 6 10 2 2" xfId="40165"/>
    <cellStyle name="注释 6 10 3" xfId="40166"/>
    <cellStyle name="注释 6 10 3 2" xfId="40167"/>
    <cellStyle name="注释 6 10 4" xfId="40168"/>
    <cellStyle name="注释 6 10 4 2" xfId="40169"/>
    <cellStyle name="注释 6 10 5" xfId="6852"/>
    <cellStyle name="注释 6 11" xfId="40170"/>
    <cellStyle name="注释 6 11 2" xfId="40171"/>
    <cellStyle name="注释 6 11 2 2" xfId="40172"/>
    <cellStyle name="注释 6 11 3" xfId="40173"/>
    <cellStyle name="注释 6 11 3 2" xfId="40174"/>
    <cellStyle name="注释 6 11 4" xfId="40175"/>
    <cellStyle name="注释 6 11 4 2" xfId="40176"/>
    <cellStyle name="注释 6 11 5" xfId="6863"/>
    <cellStyle name="注释 6 12" xfId="40177"/>
    <cellStyle name="注释 6 2" xfId="36432"/>
    <cellStyle name="注释 6 2 10" xfId="40178"/>
    <cellStyle name="注释 6 2 10 2" xfId="40179"/>
    <cellStyle name="注释 6 2 10 2 2" xfId="40180"/>
    <cellStyle name="注释 6 2 10 3" xfId="40181"/>
    <cellStyle name="注释 6 2 10 3 2" xfId="40182"/>
    <cellStyle name="注释 6 2 10 4" xfId="40183"/>
    <cellStyle name="注释 6 2 10 4 2" xfId="40184"/>
    <cellStyle name="注释 6 2 10 5" xfId="40185"/>
    <cellStyle name="注释 6 2 11" xfId="40186"/>
    <cellStyle name="注释 6 2 2" xfId="36434"/>
    <cellStyle name="注释 6 2 2 2" xfId="36436"/>
    <cellStyle name="注释 6 2 2 2 2" xfId="40187"/>
    <cellStyle name="注释 6 2 2 2 2 2" xfId="40188"/>
    <cellStyle name="注释 6 2 2 2 2 2 2" xfId="40189"/>
    <cellStyle name="注释 6 2 2 2 2 3" xfId="40190"/>
    <cellStyle name="注释 6 2 2 2 2 3 2" xfId="40191"/>
    <cellStyle name="注释 6 2 2 2 2 4" xfId="40192"/>
    <cellStyle name="注释 6 2 2 2 2 4 2" xfId="40193"/>
    <cellStyle name="注释 6 2 2 2 2 5" xfId="40194"/>
    <cellStyle name="注释 6 2 2 2 3" xfId="40195"/>
    <cellStyle name="注释 6 2 2 2 3 2" xfId="40196"/>
    <cellStyle name="注释 6 2 2 2 3 2 2" xfId="40197"/>
    <cellStyle name="注释 6 2 2 2 3 3" xfId="40198"/>
    <cellStyle name="注释 6 2 2 2 3 3 2" xfId="27377"/>
    <cellStyle name="注释 6 2 2 2 3 4" xfId="20453"/>
    <cellStyle name="注释 6 2 2 2 4" xfId="17449"/>
    <cellStyle name="注释 6 2 2 2 4 2" xfId="40199"/>
    <cellStyle name="注释 6 2 2 2 5" xfId="40200"/>
    <cellStyle name="注释 6 2 2 3" xfId="40201"/>
    <cellStyle name="注释 6 2 2 3 2" xfId="40202"/>
    <cellStyle name="注释 6 2 2 3 2 2" xfId="40203"/>
    <cellStyle name="注释 6 2 2 3 3" xfId="40204"/>
    <cellStyle name="注释 6 2 2 3 3 2" xfId="40205"/>
    <cellStyle name="注释 6 2 2 3 4" xfId="40206"/>
    <cellStyle name="注释 6 2 2 3 4 2" xfId="40207"/>
    <cellStyle name="注释 6 2 2 3 5" xfId="40208"/>
    <cellStyle name="注释 6 2 2 4" xfId="40209"/>
    <cellStyle name="注释 6 2 2 4 2" xfId="40210"/>
    <cellStyle name="注释 6 2 2 4 2 2" xfId="40211"/>
    <cellStyle name="注释 6 2 2 4 3" xfId="40212"/>
    <cellStyle name="注释 6 2 2 4 3 2" xfId="40213"/>
    <cellStyle name="注释 6 2 2 4 4" xfId="40214"/>
    <cellStyle name="注释 6 2 2 4 4 2" xfId="40215"/>
    <cellStyle name="注释 6 2 2 4 5" xfId="40216"/>
    <cellStyle name="注释 6 2 2 5" xfId="40217"/>
    <cellStyle name="注释 6 2 2 5 2" xfId="40218"/>
    <cellStyle name="注释 6 2 2 5 2 2" xfId="40219"/>
    <cellStyle name="注释 6 2 2 5 3" xfId="40220"/>
    <cellStyle name="注释 6 2 2 5 3 2" xfId="40221"/>
    <cellStyle name="注释 6 2 2 5 4" xfId="40222"/>
    <cellStyle name="注释 6 2 2 6" xfId="40223"/>
    <cellStyle name="注释 6 2 2 6 2" xfId="40224"/>
    <cellStyle name="注释 6 2 2 7" xfId="40225"/>
    <cellStyle name="注释 6 2 3" xfId="36438"/>
    <cellStyle name="注释 6 2 3 2" xfId="36440"/>
    <cellStyle name="注释 6 2 3 2 2" xfId="40226"/>
    <cellStyle name="注释 6 2 3 2 2 2" xfId="40227"/>
    <cellStyle name="注释 6 2 3 2 2 2 2" xfId="40228"/>
    <cellStyle name="注释 6 2 3 2 2 3" xfId="40229"/>
    <cellStyle name="注释 6 2 3 2 2 3 2" xfId="18709"/>
    <cellStyle name="注释 6 2 3 2 2 4" xfId="40230"/>
    <cellStyle name="注释 6 2 3 2 2 4 2" xfId="40231"/>
    <cellStyle name="注释 6 2 3 2 2 5" xfId="40232"/>
    <cellStyle name="注释 6 2 3 2 3" xfId="40233"/>
    <cellStyle name="注释 6 2 3 2 3 2" xfId="40234"/>
    <cellStyle name="注释 6 2 3 2 3 2 2" xfId="40235"/>
    <cellStyle name="注释 6 2 3 2 3 3" xfId="40236"/>
    <cellStyle name="注释 6 2 3 2 3 3 2" xfId="40237"/>
    <cellStyle name="注释 6 2 3 2 3 4" xfId="40238"/>
    <cellStyle name="注释 6 2 3 2 4" xfId="40239"/>
    <cellStyle name="注释 6 2 3 2 4 2" xfId="40240"/>
    <cellStyle name="注释 6 2 3 2 5" xfId="40241"/>
    <cellStyle name="注释 6 2 3 3" xfId="40242"/>
    <cellStyle name="注释 6 2 3 3 2" xfId="40243"/>
    <cellStyle name="注释 6 2 3 3 2 2" xfId="40244"/>
    <cellStyle name="注释 6 2 3 3 3" xfId="40245"/>
    <cellStyle name="注释 6 2 3 3 3 2" xfId="40246"/>
    <cellStyle name="注释 6 2 3 3 4" xfId="40247"/>
    <cellStyle name="注释 6 2 3 3 4 2" xfId="40248"/>
    <cellStyle name="注释 6 2 3 3 5" xfId="40249"/>
    <cellStyle name="注释 6 2 3 4" xfId="40250"/>
    <cellStyle name="注释 6 2 3 4 2" xfId="40251"/>
    <cellStyle name="注释 6 2 3 4 2 2" xfId="40252"/>
    <cellStyle name="注释 6 2 3 4 3" xfId="40253"/>
    <cellStyle name="注释 6 2 3 4 3 2" xfId="40254"/>
    <cellStyle name="注释 6 2 3 4 4" xfId="40255"/>
    <cellStyle name="注释 6 2 3 5" xfId="40256"/>
    <cellStyle name="注释 6 2 3 5 2" xfId="40257"/>
    <cellStyle name="注释 6 2 3 6" xfId="40258"/>
    <cellStyle name="注释 6 2 4" xfId="36442"/>
    <cellStyle name="注释 6 2 4 2" xfId="36444"/>
    <cellStyle name="注释 6 2 4 2 2" xfId="40259"/>
    <cellStyle name="注释 6 2 4 2 2 2" xfId="40260"/>
    <cellStyle name="注释 6 2 4 2 2 2 2" xfId="40261"/>
    <cellStyle name="注释 6 2 4 2 2 3" xfId="40262"/>
    <cellStyle name="注释 6 2 4 2 2 3 2" xfId="40263"/>
    <cellStyle name="注释 6 2 4 2 2 4" xfId="40264"/>
    <cellStyle name="注释 6 2 4 2 2 4 2" xfId="40265"/>
    <cellStyle name="注释 6 2 4 2 2 5" xfId="40266"/>
    <cellStyle name="注释 6 2 4 2 3" xfId="40267"/>
    <cellStyle name="注释 6 2 4 2 3 2" xfId="32989"/>
    <cellStyle name="注释 6 2 4 2 3 2 2" xfId="40268"/>
    <cellStyle name="注释 6 2 4 2 3 3" xfId="32991"/>
    <cellStyle name="注释 6 2 4 2 3 3 2" xfId="40269"/>
    <cellStyle name="注释 6 2 4 2 3 4" xfId="32478"/>
    <cellStyle name="注释 6 2 4 2 4" xfId="40270"/>
    <cellStyle name="注释 6 2 4 2 4 2" xfId="40271"/>
    <cellStyle name="注释 6 2 4 2 5" xfId="40272"/>
    <cellStyle name="注释 6 2 4 3" xfId="40273"/>
    <cellStyle name="注释 6 2 4 3 2" xfId="40274"/>
    <cellStyle name="注释 6 2 4 3 2 2" xfId="40275"/>
    <cellStyle name="注释 6 2 4 3 3" xfId="40276"/>
    <cellStyle name="注释 6 2 4 3 3 2" xfId="40277"/>
    <cellStyle name="注释 6 2 4 3 4" xfId="40278"/>
    <cellStyle name="注释 6 2 4 3 4 2" xfId="40279"/>
    <cellStyle name="注释 6 2 4 3 5" xfId="30976"/>
    <cellStyle name="注释 6 2 4 4" xfId="40280"/>
    <cellStyle name="注释 6 2 4 4 2" xfId="40281"/>
    <cellStyle name="注释 6 2 4 4 2 2" xfId="40282"/>
    <cellStyle name="注释 6 2 4 4 3" xfId="40283"/>
    <cellStyle name="注释 6 2 4 4 3 2" xfId="40284"/>
    <cellStyle name="注释 6 2 4 4 4" xfId="40285"/>
    <cellStyle name="注释 6 2 4 5" xfId="40286"/>
    <cellStyle name="注释 6 2 4 5 2" xfId="28395"/>
    <cellStyle name="注释 6 2 4 6" xfId="40287"/>
    <cellStyle name="注释 6 2 5" xfId="36446"/>
    <cellStyle name="注释 6 2 5 2" xfId="40288"/>
    <cellStyle name="注释 6 2 5 2 2" xfId="40289"/>
    <cellStyle name="注释 6 2 5 2 2 2" xfId="40290"/>
    <cellStyle name="注释 6 2 5 2 3" xfId="40291"/>
    <cellStyle name="注释 6 2 5 2 3 2" xfId="40292"/>
    <cellStyle name="注释 6 2 5 2 4" xfId="40293"/>
    <cellStyle name="注释 6 2 5 2 4 2" xfId="40294"/>
    <cellStyle name="注释 6 2 5 2 5" xfId="40295"/>
    <cellStyle name="注释 6 2 5 3" xfId="40296"/>
    <cellStyle name="注释 6 2 5 3 2" xfId="40297"/>
    <cellStyle name="注释 6 2 5 3 2 2" xfId="17780"/>
    <cellStyle name="注释 6 2 5 3 3" xfId="40298"/>
    <cellStyle name="注释 6 2 5 3 3 2" xfId="14160"/>
    <cellStyle name="注释 6 2 5 3 4" xfId="40299"/>
    <cellStyle name="注释 6 2 5 4" xfId="40300"/>
    <cellStyle name="注释 6 2 5 4 2" xfId="40301"/>
    <cellStyle name="注释 6 2 5 5" xfId="40302"/>
    <cellStyle name="注释 6 2 6" xfId="40303"/>
    <cellStyle name="注释 6 2 6 2" xfId="40304"/>
    <cellStyle name="注释 6 2 6 2 2" xfId="40305"/>
    <cellStyle name="注释 6 2 6 2 2 2" xfId="40306"/>
    <cellStyle name="注释 6 2 6 2 3" xfId="40307"/>
    <cellStyle name="注释 6 2 6 2 3 2" xfId="40308"/>
    <cellStyle name="注释 6 2 6 2 4" xfId="40309"/>
    <cellStyle name="注释 6 2 6 2 4 2" xfId="40310"/>
    <cellStyle name="注释 6 2 6 2 5" xfId="40311"/>
    <cellStyle name="注释 6 2 6 3" xfId="40312"/>
    <cellStyle name="注释 6 2 6 3 2" xfId="40313"/>
    <cellStyle name="注释 6 2 6 3 2 2" xfId="40314"/>
    <cellStyle name="注释 6 2 6 3 3" xfId="40315"/>
    <cellStyle name="注释 6 2 6 3 3 2" xfId="40316"/>
    <cellStyle name="注释 6 2 6 3 4" xfId="40317"/>
    <cellStyle name="注释 6 2 6 4" xfId="40318"/>
    <cellStyle name="注释 6 2 6 4 2" xfId="40319"/>
    <cellStyle name="注释 6 2 6 5" xfId="40320"/>
    <cellStyle name="注释 6 2 7" xfId="40321"/>
    <cellStyle name="注释 6 2 7 2" xfId="40322"/>
    <cellStyle name="注释 6 2 7 2 2" xfId="40323"/>
    <cellStyle name="注释 6 2 7 3" xfId="40324"/>
    <cellStyle name="注释 6 2 7 3 2" xfId="40325"/>
    <cellStyle name="注释 6 2 7 4" xfId="40326"/>
    <cellStyle name="注释 6 2 7 4 2" xfId="40327"/>
    <cellStyle name="注释 6 2 7 5" xfId="40328"/>
    <cellStyle name="注释 6 2 8" xfId="40329"/>
    <cellStyle name="注释 6 2 8 2" xfId="40330"/>
    <cellStyle name="注释 6 2 8 2 2" xfId="40331"/>
    <cellStyle name="注释 6 2 8 3" xfId="40332"/>
    <cellStyle name="注释 6 2 8 3 2" xfId="40333"/>
    <cellStyle name="注释 6 2 8 4" xfId="40334"/>
    <cellStyle name="注释 6 2 8 4 2" xfId="40335"/>
    <cellStyle name="注释 6 2 8 5" xfId="40336"/>
    <cellStyle name="注释 6 2 9" xfId="3236"/>
    <cellStyle name="注释 6 2 9 2" xfId="40337"/>
    <cellStyle name="注释 6 2 9 2 2" xfId="40338"/>
    <cellStyle name="注释 6 2 9 3" xfId="40339"/>
    <cellStyle name="注释 6 2 9 3 2" xfId="40340"/>
    <cellStyle name="注释 6 2 9 4" xfId="40341"/>
    <cellStyle name="注释 6 2 9 4 2" xfId="40342"/>
    <cellStyle name="注释 6 2 9 5" xfId="40343"/>
    <cellStyle name="注释 6 3" xfId="36448"/>
    <cellStyle name="注释 6 3 2" xfId="36450"/>
    <cellStyle name="注释 6 3 2 2" xfId="36452"/>
    <cellStyle name="注释 6 3 2 2 2" xfId="40344"/>
    <cellStyle name="注释 6 3 2 2 2 2" xfId="40345"/>
    <cellStyle name="注释 6 3 2 2 3" xfId="40346"/>
    <cellStyle name="注释 6 3 2 2 3 2" xfId="2034"/>
    <cellStyle name="注释 6 3 2 2 4" xfId="40347"/>
    <cellStyle name="注释 6 3 2 2 4 2" xfId="40348"/>
    <cellStyle name="注释 6 3 2 2 5" xfId="40349"/>
    <cellStyle name="注释 6 3 2 3" xfId="40350"/>
    <cellStyle name="注释 6 3 2 3 2" xfId="40351"/>
    <cellStyle name="注释 6 3 2 3 2 2" xfId="40352"/>
    <cellStyle name="注释 6 3 2 3 3" xfId="40353"/>
    <cellStyle name="注释 6 3 2 3 3 2" xfId="40354"/>
    <cellStyle name="注释 6 3 2 3 4" xfId="40355"/>
    <cellStyle name="注释 6 3 2 4" xfId="40356"/>
    <cellStyle name="注释 6 3 2 4 2" xfId="40357"/>
    <cellStyle name="注释 6 3 2 5" xfId="40358"/>
    <cellStyle name="注释 6 3 3" xfId="36454"/>
    <cellStyle name="注释 6 3 3 2" xfId="36456"/>
    <cellStyle name="注释 6 3 3 2 2" xfId="40359"/>
    <cellStyle name="注释 6 3 3 3" xfId="40360"/>
    <cellStyle name="注释 6 3 3 3 2" xfId="40361"/>
    <cellStyle name="注释 6 3 3 4" xfId="40362"/>
    <cellStyle name="注释 6 3 3 4 2" xfId="40363"/>
    <cellStyle name="注释 6 3 3 5" xfId="40364"/>
    <cellStyle name="注释 6 3 4" xfId="36458"/>
    <cellStyle name="注释 6 3 4 2" xfId="40365"/>
    <cellStyle name="注释 6 3 4 2 2" xfId="40366"/>
    <cellStyle name="注释 6 3 4 3" xfId="40367"/>
    <cellStyle name="注释 6 3 4 3 2" xfId="40368"/>
    <cellStyle name="注释 6 3 4 4" xfId="40369"/>
    <cellStyle name="注释 6 3 5" xfId="40370"/>
    <cellStyle name="注释 6 3 5 2" xfId="40371"/>
    <cellStyle name="注释 6 3 6" xfId="40372"/>
    <cellStyle name="注释 6 3 7" xfId="40373"/>
    <cellStyle name="注释 6 4" xfId="36460"/>
    <cellStyle name="注释 6 4 2" xfId="36462"/>
    <cellStyle name="注释 6 4 2 2" xfId="40374"/>
    <cellStyle name="注释 6 4 2 2 2" xfId="40375"/>
    <cellStyle name="注释 6 4 2 2 2 2" xfId="40376"/>
    <cellStyle name="注释 6 4 2 2 3" xfId="40377"/>
    <cellStyle name="注释 6 4 2 2 3 2" xfId="40378"/>
    <cellStyle name="注释 6 4 2 2 4" xfId="40379"/>
    <cellStyle name="注释 6 4 2 2 4 2" xfId="13663"/>
    <cellStyle name="注释 6 4 2 2 5" xfId="40380"/>
    <cellStyle name="注释 6 4 2 3" xfId="40381"/>
    <cellStyle name="注释 6 4 2 3 2" xfId="40382"/>
    <cellStyle name="注释 6 4 2 3 2 2" xfId="40383"/>
    <cellStyle name="注释 6 4 2 3 3" xfId="40384"/>
    <cellStyle name="注释 6 4 2 3 3 2" xfId="40385"/>
    <cellStyle name="注释 6 4 2 3 4" xfId="40386"/>
    <cellStyle name="注释 6 4 2 4" xfId="40387"/>
    <cellStyle name="注释 6 4 2 4 2" xfId="40388"/>
    <cellStyle name="注释 6 4 2 5" xfId="40389"/>
    <cellStyle name="注释 6 4 3" xfId="40390"/>
    <cellStyle name="注释 6 4 3 2" xfId="40391"/>
    <cellStyle name="注释 6 4 3 2 2" xfId="40392"/>
    <cellStyle name="注释 6 4 3 3" xfId="40393"/>
    <cellStyle name="注释 6 4 3 3 2" xfId="40394"/>
    <cellStyle name="注释 6 4 3 4" xfId="40395"/>
    <cellStyle name="注释 6 4 3 4 2" xfId="40396"/>
    <cellStyle name="注释 6 4 3 5" xfId="40397"/>
    <cellStyle name="注释 6 4 4" xfId="40398"/>
    <cellStyle name="注释 6 4 4 2" xfId="40399"/>
    <cellStyle name="注释 6 4 4 2 2" xfId="40400"/>
    <cellStyle name="注释 6 4 4 3" xfId="40401"/>
    <cellStyle name="注释 6 4 4 3 2" xfId="40402"/>
    <cellStyle name="注释 6 4 4 4" xfId="40403"/>
    <cellStyle name="注释 6 4 5" xfId="40404"/>
    <cellStyle name="注释 6 4 5 2" xfId="40405"/>
    <cellStyle name="注释 6 4 6" xfId="40406"/>
    <cellStyle name="注释 6 5" xfId="36464"/>
    <cellStyle name="注释 6 5 2" xfId="40407"/>
    <cellStyle name="注释 6 5 2 2" xfId="40408"/>
    <cellStyle name="注释 6 5 2 2 2" xfId="40409"/>
    <cellStyle name="注释 6 5 2 2 2 2" xfId="40410"/>
    <cellStyle name="注释 6 5 2 2 3" xfId="40411"/>
    <cellStyle name="注释 6 5 2 2 3 2" xfId="40412"/>
    <cellStyle name="注释 6 5 2 2 4" xfId="40413"/>
    <cellStyle name="注释 6 5 2 2 4 2" xfId="40414"/>
    <cellStyle name="注释 6 5 2 2 5" xfId="40415"/>
    <cellStyle name="注释 6 5 2 3" xfId="40416"/>
    <cellStyle name="注释 6 5 2 3 2" xfId="40417"/>
    <cellStyle name="注释 6 5 2 3 2 2" xfId="40418"/>
    <cellStyle name="注释 6 5 2 3 3" xfId="40420"/>
    <cellStyle name="注释 6 5 2 3 3 2" xfId="19831"/>
    <cellStyle name="注释 6 5 2 3 4" xfId="40421"/>
    <cellStyle name="注释 6 5 2 4" xfId="40422"/>
    <cellStyle name="注释 6 5 2 4 2" xfId="40423"/>
    <cellStyle name="注释 6 5 2 5" xfId="40424"/>
    <cellStyle name="注释 6 5 3" xfId="40425"/>
    <cellStyle name="注释 6 5 3 2" xfId="16535"/>
    <cellStyle name="注释 6 5 3 2 2" xfId="40426"/>
    <cellStyle name="注释 6 5 3 3" xfId="40427"/>
    <cellStyle name="注释 6 5 3 3 2" xfId="40428"/>
    <cellStyle name="注释 6 5 3 4" xfId="40429"/>
    <cellStyle name="注释 6 5 3 4 2" xfId="40430"/>
    <cellStyle name="注释 6 5 3 5" xfId="40431"/>
    <cellStyle name="注释 6 5 4" xfId="40432"/>
    <cellStyle name="注释 6 5 4 2" xfId="40433"/>
    <cellStyle name="注释 6 5 4 2 2" xfId="40434"/>
    <cellStyle name="注释 6 5 4 3" xfId="40435"/>
    <cellStyle name="注释 6 5 4 3 2" xfId="40436"/>
    <cellStyle name="注释 6 5 4 4" xfId="40437"/>
    <cellStyle name="注释 6 5 5" xfId="40438"/>
    <cellStyle name="注释 6 5 5 2" xfId="40439"/>
    <cellStyle name="注释 6 5 6" xfId="40440"/>
    <cellStyle name="注释 6 6" xfId="40441"/>
    <cellStyle name="注释 6 6 2" xfId="40442"/>
    <cellStyle name="注释 6 6 2 2" xfId="40443"/>
    <cellStyle name="注释 6 6 2 2 2" xfId="40444"/>
    <cellStyle name="注释 6 6 2 3" xfId="40445"/>
    <cellStyle name="注释 6 6 2 3 2" xfId="40446"/>
    <cellStyle name="注释 6 6 2 4" xfId="40447"/>
    <cellStyle name="注释 6 6 2 4 2" xfId="40448"/>
    <cellStyle name="注释 6 6 2 5" xfId="40449"/>
    <cellStyle name="注释 6 6 3" xfId="40450"/>
    <cellStyle name="注释 6 6 3 2" xfId="40451"/>
    <cellStyle name="注释 6 6 3 2 2" xfId="40452"/>
    <cellStyle name="注释 6 6 3 3" xfId="40453"/>
    <cellStyle name="注释 6 6 3 3 2" xfId="40454"/>
    <cellStyle name="注释 6 6 3 4" xfId="40455"/>
    <cellStyle name="注释 6 6 4" xfId="40456"/>
    <cellStyle name="注释 6 6 4 2" xfId="40457"/>
    <cellStyle name="注释 6 6 5" xfId="40458"/>
    <cellStyle name="注释 6 7" xfId="40459"/>
    <cellStyle name="注释 6 7 2" xfId="23192"/>
    <cellStyle name="注释 6 7 2 2" xfId="40460"/>
    <cellStyle name="注释 6 7 2 2 2" xfId="40461"/>
    <cellStyle name="注释 6 7 2 3" xfId="40462"/>
    <cellStyle name="注释 6 7 2 3 2" xfId="40463"/>
    <cellStyle name="注释 6 7 2 4" xfId="40464"/>
    <cellStyle name="注释 6 7 2 4 2" xfId="40465"/>
    <cellStyle name="注释 6 7 2 5" xfId="40466"/>
    <cellStyle name="注释 6 7 3" xfId="40467"/>
    <cellStyle name="注释 6 7 3 2" xfId="40468"/>
    <cellStyle name="注释 6 7 3 2 2" xfId="40469"/>
    <cellStyle name="注释 6 7 3 3" xfId="40470"/>
    <cellStyle name="注释 6 7 3 3 2" xfId="40471"/>
    <cellStyle name="注释 6 7 3 4" xfId="40472"/>
    <cellStyle name="注释 6 7 4" xfId="40473"/>
    <cellStyle name="注释 6 7 4 2" xfId="40474"/>
    <cellStyle name="注释 6 7 5" xfId="40475"/>
    <cellStyle name="注释 6 8" xfId="40476"/>
    <cellStyle name="注释 6 8 2" xfId="40477"/>
    <cellStyle name="注释 6 8 2 2" xfId="40478"/>
    <cellStyle name="注释 6 8 3" xfId="40479"/>
    <cellStyle name="注释 6 8 3 2" xfId="40480"/>
    <cellStyle name="注释 6 8 4" xfId="40481"/>
    <cellStyle name="注释 6 8 4 2" xfId="40482"/>
    <cellStyle name="注释 6 8 5" xfId="40483"/>
    <cellStyle name="注释 6 9" xfId="40484"/>
    <cellStyle name="注释 6 9 2" xfId="40485"/>
    <cellStyle name="注释 6 9 2 2" xfId="40486"/>
    <cellStyle name="注释 6 9 3" xfId="40487"/>
    <cellStyle name="注释 6 9 3 2" xfId="40488"/>
    <cellStyle name="注释 6 9 4" xfId="40489"/>
    <cellStyle name="注释 6 9 4 2" xfId="40490"/>
    <cellStyle name="注释 6 9 5" xfId="40491"/>
    <cellStyle name="注释 7" xfId="36466"/>
    <cellStyle name="注释 7 10" xfId="40492"/>
    <cellStyle name="注释 7 10 2" xfId="33014"/>
    <cellStyle name="注释 7 10 2 2" xfId="33016"/>
    <cellStyle name="注释 7 10 3" xfId="33019"/>
    <cellStyle name="注释 7 10 3 2" xfId="40493"/>
    <cellStyle name="注释 7 10 4" xfId="33021"/>
    <cellStyle name="注释 7 10 4 2" xfId="33023"/>
    <cellStyle name="注释 7 10 5" xfId="33025"/>
    <cellStyle name="注释 7 11" xfId="40494"/>
    <cellStyle name="注释 7 11 2" xfId="40495"/>
    <cellStyle name="注释 7 11 2 2" xfId="40496"/>
    <cellStyle name="注释 7 11 3" xfId="40497"/>
    <cellStyle name="注释 7 11 3 2" xfId="40498"/>
    <cellStyle name="注释 7 11 4" xfId="40499"/>
    <cellStyle name="注释 7 11 4 2" xfId="40500"/>
    <cellStyle name="注释 7 11 5" xfId="40501"/>
    <cellStyle name="注释 7 12" xfId="40502"/>
    <cellStyle name="注释 7 2" xfId="36468"/>
    <cellStyle name="注释 7 2 10" xfId="40503"/>
    <cellStyle name="注释 7 2 10 2" xfId="40504"/>
    <cellStyle name="注释 7 2 10 2 2" xfId="40505"/>
    <cellStyle name="注释 7 2 10 3" xfId="40506"/>
    <cellStyle name="注释 7 2 10 3 2" xfId="40507"/>
    <cellStyle name="注释 7 2 10 4" xfId="40508"/>
    <cellStyle name="注释 7 2 10 4 2" xfId="40509"/>
    <cellStyle name="注释 7 2 10 5" xfId="40510"/>
    <cellStyle name="注释 7 2 11" xfId="40511"/>
    <cellStyle name="注释 7 2 2" xfId="36470"/>
    <cellStyle name="注释 7 2 2 2" xfId="40512"/>
    <cellStyle name="注释 7 2 2 2 2" xfId="40513"/>
    <cellStyle name="注释 7 2 2 2 2 2" xfId="40514"/>
    <cellStyle name="注释 7 2 2 2 2 2 2" xfId="40515"/>
    <cellStyle name="注释 7 2 2 2 2 3" xfId="40516"/>
    <cellStyle name="注释 7 2 2 2 2 3 2" xfId="40517"/>
    <cellStyle name="注释 7 2 2 2 2 4" xfId="40518"/>
    <cellStyle name="注释 7 2 2 2 2 4 2" xfId="40519"/>
    <cellStyle name="注释 7 2 2 2 2 5" xfId="40520"/>
    <cellStyle name="注释 7 2 2 2 3" xfId="40521"/>
    <cellStyle name="注释 7 2 2 2 3 2" xfId="40522"/>
    <cellStyle name="注释 7 2 2 2 3 2 2" xfId="40523"/>
    <cellStyle name="注释 7 2 2 2 3 3" xfId="40524"/>
    <cellStyle name="注释 7 2 2 2 3 3 2" xfId="40525"/>
    <cellStyle name="注释 7 2 2 2 3 4" xfId="40526"/>
    <cellStyle name="注释 7 2 2 2 4" xfId="32128"/>
    <cellStyle name="注释 7 2 2 2 4 2" xfId="40527"/>
    <cellStyle name="注释 7 2 2 2 5" xfId="40528"/>
    <cellStyle name="注释 7 2 2 3" xfId="40529"/>
    <cellStyle name="注释 7 2 2 3 2" xfId="40530"/>
    <cellStyle name="注释 7 2 2 3 2 2" xfId="40531"/>
    <cellStyle name="注释 7 2 2 3 3" xfId="40532"/>
    <cellStyle name="注释 7 2 2 3 3 2" xfId="40533"/>
    <cellStyle name="注释 7 2 2 3 4" xfId="40534"/>
    <cellStyle name="注释 7 2 2 3 4 2" xfId="40535"/>
    <cellStyle name="注释 7 2 2 3 5" xfId="40536"/>
    <cellStyle name="注释 7 2 2 4" xfId="40537"/>
    <cellStyle name="注释 7 2 2 4 2" xfId="40538"/>
    <cellStyle name="注释 7 2 2 4 2 2" xfId="40539"/>
    <cellStyle name="注释 7 2 2 4 3" xfId="40540"/>
    <cellStyle name="注释 7 2 2 4 3 2" xfId="40541"/>
    <cellStyle name="注释 7 2 2 4 4" xfId="40542"/>
    <cellStyle name="注释 7 2 2 4 4 2" xfId="40543"/>
    <cellStyle name="注释 7 2 2 4 5" xfId="40544"/>
    <cellStyle name="注释 7 2 2 5" xfId="40545"/>
    <cellStyle name="注释 7 2 2 5 2" xfId="40546"/>
    <cellStyle name="注释 7 2 2 5 2 2" xfId="40547"/>
    <cellStyle name="注释 7 2 2 5 3" xfId="40548"/>
    <cellStyle name="注释 7 2 2 5 3 2" xfId="40549"/>
    <cellStyle name="注释 7 2 2 5 4" xfId="40550"/>
    <cellStyle name="注释 7 2 2 6" xfId="40551"/>
    <cellStyle name="注释 7 2 2 6 2" xfId="40552"/>
    <cellStyle name="注释 7 2 2 7" xfId="40553"/>
    <cellStyle name="注释 7 2 3" xfId="19769"/>
    <cellStyle name="注释 7 2 3 2" xfId="40554"/>
    <cellStyle name="注释 7 2 3 2 2" xfId="40555"/>
    <cellStyle name="注释 7 2 3 2 2 2" xfId="40556"/>
    <cellStyle name="注释 7 2 3 2 2 2 2" xfId="40557"/>
    <cellStyle name="注释 7 2 3 2 2 3" xfId="40558"/>
    <cellStyle name="注释 7 2 3 2 2 3 2" xfId="40559"/>
    <cellStyle name="注释 7 2 3 2 2 4" xfId="40560"/>
    <cellStyle name="注释 7 2 3 2 2 4 2" xfId="40561"/>
    <cellStyle name="注释 7 2 3 2 2 5" xfId="40562"/>
    <cellStyle name="注释 7 2 3 2 3" xfId="40563"/>
    <cellStyle name="注释 7 2 3 2 3 2" xfId="40564"/>
    <cellStyle name="注释 7 2 3 2 3 2 2" xfId="40565"/>
    <cellStyle name="注释 7 2 3 2 3 3" xfId="40566"/>
    <cellStyle name="注释 7 2 3 2 3 3 2" xfId="40567"/>
    <cellStyle name="注释 7 2 3 2 3 4" xfId="40568"/>
    <cellStyle name="注释 7 2 3 2 4" xfId="40569"/>
    <cellStyle name="注释 7 2 3 2 4 2" xfId="40570"/>
    <cellStyle name="注释 7 2 3 2 5" xfId="40571"/>
    <cellStyle name="注释 7 2 3 3" xfId="40572"/>
    <cellStyle name="注释 7 2 3 3 2" xfId="40573"/>
    <cellStyle name="注释 7 2 3 3 2 2" xfId="40574"/>
    <cellStyle name="注释 7 2 3 3 3" xfId="40575"/>
    <cellStyle name="注释 7 2 3 3 3 2" xfId="40576"/>
    <cellStyle name="注释 7 2 3 3 4" xfId="40577"/>
    <cellStyle name="注释 7 2 3 3 4 2" xfId="40578"/>
    <cellStyle name="注释 7 2 3 3 5" xfId="40579"/>
    <cellStyle name="注释 7 2 3 4" xfId="40580"/>
    <cellStyle name="注释 7 2 3 4 2" xfId="40581"/>
    <cellStyle name="注释 7 2 3 4 2 2" xfId="40582"/>
    <cellStyle name="注释 7 2 3 4 3" xfId="40583"/>
    <cellStyle name="注释 7 2 3 4 3 2" xfId="40584"/>
    <cellStyle name="注释 7 2 3 4 4" xfId="40585"/>
    <cellStyle name="注释 7 2 3 5" xfId="27559"/>
    <cellStyle name="注释 7 2 3 5 2" xfId="40586"/>
    <cellStyle name="注释 7 2 3 6" xfId="40587"/>
    <cellStyle name="注释 7 2 4" xfId="40588"/>
    <cellStyle name="注释 7 2 4 2" xfId="40589"/>
    <cellStyle name="注释 7 2 4 2 2" xfId="4298"/>
    <cellStyle name="注释 7 2 4 2 2 2" xfId="1662"/>
    <cellStyle name="注释 7 2 4 2 2 2 2" xfId="40590"/>
    <cellStyle name="注释 7 2 4 2 2 3" xfId="40591"/>
    <cellStyle name="注释 7 2 4 2 2 3 2" xfId="40592"/>
    <cellStyle name="注释 7 2 4 2 2 4" xfId="40593"/>
    <cellStyle name="注释 7 2 4 2 2 4 2" xfId="40594"/>
    <cellStyle name="注释 7 2 4 2 2 5" xfId="40595"/>
    <cellStyle name="注释 7 2 4 2 3" xfId="4321"/>
    <cellStyle name="注释 7 2 4 2 3 2" xfId="40596"/>
    <cellStyle name="注释 7 2 4 2 3 2 2" xfId="40597"/>
    <cellStyle name="注释 7 2 4 2 3 3" xfId="40598"/>
    <cellStyle name="注释 7 2 4 2 3 3 2" xfId="40599"/>
    <cellStyle name="注释 7 2 4 2 3 4" xfId="40600"/>
    <cellStyle name="注释 7 2 4 2 4" xfId="4336"/>
    <cellStyle name="注释 7 2 4 2 4 2" xfId="40601"/>
    <cellStyle name="注释 7 2 4 2 5" xfId="40602"/>
    <cellStyle name="注释 7 2 4 3" xfId="40603"/>
    <cellStyle name="注释 7 2 4 3 2" xfId="4355"/>
    <cellStyle name="注释 7 2 4 3 2 2" xfId="1727"/>
    <cellStyle name="注释 7 2 4 3 3" xfId="1883"/>
    <cellStyle name="注释 7 2 4 3 3 2" xfId="40604"/>
    <cellStyle name="注释 7 2 4 3 4" xfId="4367"/>
    <cellStyle name="注释 7 2 4 3 4 2" xfId="40605"/>
    <cellStyle name="注释 7 2 4 3 5" xfId="40606"/>
    <cellStyle name="注释 7 2 4 4" xfId="40607"/>
    <cellStyle name="注释 7 2 4 4 2" xfId="4381"/>
    <cellStyle name="注释 7 2 4 4 2 2" xfId="1754"/>
    <cellStyle name="注释 7 2 4 4 3" xfId="1893"/>
    <cellStyle name="注释 7 2 4 4 3 2" xfId="40608"/>
    <cellStyle name="注释 7 2 4 4 4" xfId="4399"/>
    <cellStyle name="注释 7 2 4 5" xfId="4414"/>
    <cellStyle name="注释 7 2 4 5 2" xfId="4419"/>
    <cellStyle name="注释 7 2 4 6" xfId="40609"/>
    <cellStyle name="注释 7 2 5" xfId="40610"/>
    <cellStyle name="注释 7 2 5 2" xfId="40611"/>
    <cellStyle name="注释 7 2 5 2 2" xfId="40612"/>
    <cellStyle name="注释 7 2 5 2 2 2" xfId="40613"/>
    <cellStyle name="注释 7 2 5 2 3" xfId="40614"/>
    <cellStyle name="注释 7 2 5 2 3 2" xfId="40615"/>
    <cellStyle name="注释 7 2 5 2 4" xfId="40616"/>
    <cellStyle name="注释 7 2 5 2 4 2" xfId="40617"/>
    <cellStyle name="注释 7 2 5 2 5" xfId="40618"/>
    <cellStyle name="注释 7 2 5 3" xfId="40619"/>
    <cellStyle name="注释 7 2 5 3 2" xfId="40620"/>
    <cellStyle name="注释 7 2 5 3 2 2" xfId="40621"/>
    <cellStyle name="注释 7 2 5 3 3" xfId="40622"/>
    <cellStyle name="注释 7 2 5 3 3 2" xfId="40623"/>
    <cellStyle name="注释 7 2 5 3 4" xfId="40624"/>
    <cellStyle name="注释 7 2 5 4" xfId="40625"/>
    <cellStyle name="注释 7 2 5 4 2" xfId="40626"/>
    <cellStyle name="注释 7 2 5 5" xfId="2488"/>
    <cellStyle name="注释 7 2 6" xfId="40627"/>
    <cellStyle name="注释 7 2 6 2" xfId="40628"/>
    <cellStyle name="注释 7 2 6 2 2" xfId="40629"/>
    <cellStyle name="注释 7 2 6 2 2 2" xfId="40630"/>
    <cellStyle name="注释 7 2 6 2 3" xfId="40631"/>
    <cellStyle name="注释 7 2 6 2 3 2" xfId="40632"/>
    <cellStyle name="注释 7 2 6 2 4" xfId="40633"/>
    <cellStyle name="注释 7 2 6 2 4 2" xfId="40634"/>
    <cellStyle name="注释 7 2 6 2 5" xfId="40635"/>
    <cellStyle name="注释 7 2 6 3" xfId="40636"/>
    <cellStyle name="注释 7 2 6 3 2" xfId="40637"/>
    <cellStyle name="注释 7 2 6 3 2 2" xfId="40638"/>
    <cellStyle name="注释 7 2 6 3 3" xfId="40639"/>
    <cellStyle name="注释 7 2 6 3 3 2" xfId="40640"/>
    <cellStyle name="注释 7 2 6 3 4" xfId="40641"/>
    <cellStyle name="注释 7 2 6 4" xfId="40642"/>
    <cellStyle name="注释 7 2 6 4 2" xfId="40643"/>
    <cellStyle name="注释 7 2 6 5" xfId="2501"/>
    <cellStyle name="注释 7 2 7" xfId="40644"/>
    <cellStyle name="注释 7 2 7 2" xfId="40645"/>
    <cellStyle name="注释 7 2 7 2 2" xfId="40646"/>
    <cellStyle name="注释 7 2 7 3" xfId="40647"/>
    <cellStyle name="注释 7 2 7 3 2" xfId="40648"/>
    <cellStyle name="注释 7 2 7 4" xfId="40649"/>
    <cellStyle name="注释 7 2 7 4 2" xfId="40650"/>
    <cellStyle name="注释 7 2 7 5" xfId="40651"/>
    <cellStyle name="注释 7 2 8" xfId="40652"/>
    <cellStyle name="注释 7 2 8 2" xfId="40653"/>
    <cellStyle name="注释 7 2 8 2 2" xfId="40654"/>
    <cellStyle name="注释 7 2 8 3" xfId="40655"/>
    <cellStyle name="注释 7 2 8 3 2" xfId="40656"/>
    <cellStyle name="注释 7 2 8 4" xfId="40657"/>
    <cellStyle name="注释 7 2 8 4 2" xfId="40658"/>
    <cellStyle name="注释 7 2 8 5" xfId="40659"/>
    <cellStyle name="注释 7 2 9" xfId="3249"/>
    <cellStyle name="注释 7 2 9 2" xfId="40660"/>
    <cellStyle name="注释 7 2 9 2 2" xfId="40661"/>
    <cellStyle name="注释 7 2 9 3" xfId="40662"/>
    <cellStyle name="注释 7 2 9 3 2" xfId="40663"/>
    <cellStyle name="注释 7 2 9 4" xfId="40664"/>
    <cellStyle name="注释 7 2 9 4 2" xfId="40665"/>
    <cellStyle name="注释 7 2 9 5" xfId="40666"/>
    <cellStyle name="注释 7 3" xfId="36472"/>
    <cellStyle name="注释 7 3 2" xfId="36474"/>
    <cellStyle name="注释 7 3 2 2" xfId="40667"/>
    <cellStyle name="注释 7 3 2 2 2" xfId="40668"/>
    <cellStyle name="注释 7 3 2 2 2 2" xfId="40669"/>
    <cellStyle name="注释 7 3 2 2 3" xfId="40670"/>
    <cellStyle name="注释 7 3 2 2 3 2" xfId="33009"/>
    <cellStyle name="注释 7 3 2 2 4" xfId="40671"/>
    <cellStyle name="注释 7 3 2 2 4 2" xfId="40672"/>
    <cellStyle name="注释 7 3 2 2 5" xfId="40673"/>
    <cellStyle name="注释 7 3 2 3" xfId="40674"/>
    <cellStyle name="注释 7 3 2 3 2" xfId="40675"/>
    <cellStyle name="注释 7 3 2 3 2 2" xfId="40676"/>
    <cellStyle name="注释 7 3 2 3 3" xfId="40677"/>
    <cellStyle name="注释 7 3 2 3 3 2" xfId="40678"/>
    <cellStyle name="注释 7 3 2 3 4" xfId="40679"/>
    <cellStyle name="注释 7 3 2 4" xfId="40680"/>
    <cellStyle name="注释 7 3 2 4 2" xfId="40681"/>
    <cellStyle name="注释 7 3 2 5" xfId="40682"/>
    <cellStyle name="注释 7 3 3" xfId="40683"/>
    <cellStyle name="注释 7 3 3 2" xfId="40684"/>
    <cellStyle name="注释 7 3 3 2 2" xfId="40685"/>
    <cellStyle name="注释 7 3 3 3" xfId="40686"/>
    <cellStyle name="注释 7 3 3 3 2" xfId="22369"/>
    <cellStyle name="注释 7 3 3 4" xfId="40687"/>
    <cellStyle name="注释 7 3 3 4 2" xfId="40688"/>
    <cellStyle name="注释 7 3 3 5" xfId="40689"/>
    <cellStyle name="注释 7 3 4" xfId="40690"/>
    <cellStyle name="注释 7 3 4 2" xfId="40691"/>
    <cellStyle name="注释 7 3 4 2 2" xfId="40692"/>
    <cellStyle name="注释 7 3 4 3" xfId="40693"/>
    <cellStyle name="注释 7 3 4 3 2" xfId="40694"/>
    <cellStyle name="注释 7 3 4 4" xfId="40695"/>
    <cellStyle name="注释 7 3 5" xfId="40696"/>
    <cellStyle name="注释 7 3 5 2" xfId="40697"/>
    <cellStyle name="注释 7 3 6" xfId="40698"/>
    <cellStyle name="注释 7 3 7" xfId="40699"/>
    <cellStyle name="注释 7 4" xfId="36476"/>
    <cellStyle name="注释 7 4 2" xfId="36478"/>
    <cellStyle name="注释 7 4 2 2" xfId="40700"/>
    <cellStyle name="注释 7 4 2 2 2" xfId="40701"/>
    <cellStyle name="注释 7 4 2 2 2 2" xfId="40702"/>
    <cellStyle name="注释 7 4 2 2 3" xfId="40703"/>
    <cellStyle name="注释 7 4 2 2 3 2" xfId="40704"/>
    <cellStyle name="注释 7 4 2 2 4" xfId="40705"/>
    <cellStyle name="注释 7 4 2 2 4 2" xfId="40706"/>
    <cellStyle name="注释 7 4 2 2 5" xfId="40707"/>
    <cellStyle name="注释 7 4 2 3" xfId="40708"/>
    <cellStyle name="注释 7 4 2 3 2" xfId="40709"/>
    <cellStyle name="注释 7 4 2 3 2 2" xfId="40710"/>
    <cellStyle name="注释 7 4 2 3 3" xfId="40711"/>
    <cellStyle name="注释 7 4 2 3 3 2" xfId="40712"/>
    <cellStyle name="注释 7 4 2 3 4" xfId="40713"/>
    <cellStyle name="注释 7 4 2 4" xfId="40714"/>
    <cellStyle name="注释 7 4 2 4 2" xfId="40715"/>
    <cellStyle name="注释 7 4 2 5" xfId="40716"/>
    <cellStyle name="注释 7 4 3" xfId="40717"/>
    <cellStyle name="注释 7 4 3 2" xfId="40718"/>
    <cellStyle name="注释 7 4 3 2 2" xfId="40719"/>
    <cellStyle name="注释 7 4 3 3" xfId="40720"/>
    <cellStyle name="注释 7 4 3 3 2" xfId="40721"/>
    <cellStyle name="注释 7 4 3 4" xfId="40722"/>
    <cellStyle name="注释 7 4 3 4 2" xfId="40723"/>
    <cellStyle name="注释 7 4 3 5" xfId="40724"/>
    <cellStyle name="注释 7 4 4" xfId="40725"/>
    <cellStyle name="注释 7 4 4 2" xfId="40726"/>
    <cellStyle name="注释 7 4 4 2 2" xfId="16930"/>
    <cellStyle name="注释 7 4 4 3" xfId="40727"/>
    <cellStyle name="注释 7 4 4 3 2" xfId="40728"/>
    <cellStyle name="注释 7 4 4 4" xfId="40729"/>
    <cellStyle name="注释 7 4 5" xfId="40730"/>
    <cellStyle name="注释 7 4 5 2" xfId="40731"/>
    <cellStyle name="注释 7 4 6" xfId="40732"/>
    <cellStyle name="注释 7 5" xfId="36480"/>
    <cellStyle name="注释 7 5 2" xfId="40733"/>
    <cellStyle name="注释 7 5 2 2" xfId="40734"/>
    <cellStyle name="注释 7 5 2 2 2" xfId="40735"/>
    <cellStyle name="注释 7 5 2 2 2 2" xfId="40736"/>
    <cellStyle name="注释 7 5 2 2 3" xfId="40737"/>
    <cellStyle name="注释 7 5 2 2 3 2" xfId="40738"/>
    <cellStyle name="注释 7 5 2 2 4" xfId="40739"/>
    <cellStyle name="注释 7 5 2 2 4 2" xfId="40740"/>
    <cellStyle name="注释 7 5 2 2 5" xfId="40741"/>
    <cellStyle name="注释 7 5 2 3" xfId="40742"/>
    <cellStyle name="注释 7 5 2 3 2" xfId="40743"/>
    <cellStyle name="注释 7 5 2 3 2 2" xfId="40744"/>
    <cellStyle name="注释 7 5 2 3 3" xfId="40746"/>
    <cellStyle name="注释 7 5 2 3 3 2" xfId="40747"/>
    <cellStyle name="注释 7 5 2 3 4" xfId="40748"/>
    <cellStyle name="注释 7 5 2 4" xfId="40749"/>
    <cellStyle name="注释 7 5 2 4 2" xfId="40750"/>
    <cellStyle name="注释 7 5 2 5" xfId="40751"/>
    <cellStyle name="注释 7 5 3" xfId="40752"/>
    <cellStyle name="注释 7 5 3 2" xfId="40753"/>
    <cellStyle name="注释 7 5 3 2 2" xfId="40754"/>
    <cellStyle name="注释 7 5 3 3" xfId="40755"/>
    <cellStyle name="注释 7 5 3 3 2" xfId="40756"/>
    <cellStyle name="注释 7 5 3 4" xfId="40757"/>
    <cellStyle name="注释 7 5 3 4 2" xfId="40758"/>
    <cellStyle name="注释 7 5 3 5" xfId="40759"/>
    <cellStyle name="注释 7 5 4" xfId="40760"/>
    <cellStyle name="注释 7 5 4 2" xfId="40761"/>
    <cellStyle name="注释 7 5 4 2 2" xfId="18077"/>
    <cellStyle name="注释 7 5 4 3" xfId="40762"/>
    <cellStyle name="注释 7 5 4 3 2" xfId="40763"/>
    <cellStyle name="注释 7 5 4 4" xfId="40764"/>
    <cellStyle name="注释 7 5 5" xfId="40765"/>
    <cellStyle name="注释 7 5 5 2" xfId="40766"/>
    <cellStyle name="注释 7 5 6" xfId="40767"/>
    <cellStyle name="注释 7 6" xfId="40768"/>
    <cellStyle name="注释 7 6 2" xfId="40769"/>
    <cellStyle name="注释 7 6 2 2" xfId="40770"/>
    <cellStyle name="注释 7 6 2 2 2" xfId="40771"/>
    <cellStyle name="注释 7 6 2 3" xfId="40772"/>
    <cellStyle name="注释 7 6 2 3 2" xfId="40773"/>
    <cellStyle name="注释 7 6 2 4" xfId="40774"/>
    <cellStyle name="注释 7 6 2 4 2" xfId="40775"/>
    <cellStyle name="注释 7 6 2 5" xfId="40776"/>
    <cellStyle name="注释 7 6 3" xfId="40777"/>
    <cellStyle name="注释 7 6 3 2" xfId="40778"/>
    <cellStyle name="注释 7 6 3 2 2" xfId="40779"/>
    <cellStyle name="注释 7 6 3 3" xfId="40780"/>
    <cellStyle name="注释 7 6 3 3 2" xfId="40781"/>
    <cellStyle name="注释 7 6 3 4" xfId="40782"/>
    <cellStyle name="注释 7 6 4" xfId="40783"/>
    <cellStyle name="注释 7 6 4 2" xfId="40784"/>
    <cellStyle name="注释 7 6 5" xfId="40785"/>
    <cellStyle name="注释 7 7" xfId="40786"/>
    <cellStyle name="注释 7 7 2" xfId="40787"/>
    <cellStyle name="注释 7 7 2 2" xfId="40788"/>
    <cellStyle name="注释 7 7 2 2 2" xfId="40789"/>
    <cellStyle name="注释 7 7 2 3" xfId="10543"/>
    <cellStyle name="注释 7 7 2 3 2" xfId="40790"/>
    <cellStyle name="注释 7 7 2 4" xfId="40791"/>
    <cellStyle name="注释 7 7 2 4 2" xfId="40792"/>
    <cellStyle name="注释 7 7 2 5" xfId="40793"/>
    <cellStyle name="注释 7 7 3" xfId="40794"/>
    <cellStyle name="注释 7 7 3 2" xfId="40795"/>
    <cellStyle name="注释 7 7 3 2 2" xfId="40796"/>
    <cellStyle name="注释 7 7 3 3" xfId="40797"/>
    <cellStyle name="注释 7 7 3 3 2" xfId="40798"/>
    <cellStyle name="注释 7 7 3 4" xfId="40799"/>
    <cellStyle name="注释 7 7 4" xfId="40800"/>
    <cellStyle name="注释 7 7 4 2" xfId="40801"/>
    <cellStyle name="注释 7 7 5" xfId="40802"/>
    <cellStyle name="注释 7 8" xfId="40803"/>
    <cellStyle name="注释 7 8 2" xfId="40804"/>
    <cellStyle name="注释 7 8 2 2" xfId="40805"/>
    <cellStyle name="注释 7 8 3" xfId="40806"/>
    <cellStyle name="注释 7 8 3 2" xfId="40807"/>
    <cellStyle name="注释 7 8 4" xfId="40808"/>
    <cellStyle name="注释 7 8 4 2" xfId="40809"/>
    <cellStyle name="注释 7 8 5" xfId="40810"/>
    <cellStyle name="注释 7 9" xfId="40811"/>
    <cellStyle name="注释 7 9 2" xfId="40812"/>
    <cellStyle name="注释 7 9 2 2" xfId="40813"/>
    <cellStyle name="注释 7 9 3" xfId="40814"/>
    <cellStyle name="注释 7 9 3 2" xfId="40815"/>
    <cellStyle name="注释 7 9 4" xfId="40816"/>
    <cellStyle name="注释 7 9 4 2" xfId="40817"/>
    <cellStyle name="注释 7 9 5" xfId="40818"/>
    <cellStyle name="注释 8" xfId="36482"/>
    <cellStyle name="注释 8 10" xfId="29773"/>
    <cellStyle name="注释 8 10 2" xfId="40819"/>
    <cellStyle name="注释 8 10 2 2" xfId="40820"/>
    <cellStyle name="注释 8 10 3" xfId="40821"/>
    <cellStyle name="注释 8 10 3 2" xfId="40822"/>
    <cellStyle name="注释 8 10 4" xfId="40823"/>
    <cellStyle name="注释 8 10 4 2" xfId="40824"/>
    <cellStyle name="注释 8 10 5" xfId="40825"/>
    <cellStyle name="注释 8 11" xfId="40826"/>
    <cellStyle name="注释 8 11 2" xfId="40827"/>
    <cellStyle name="注释 8 11 2 2" xfId="40828"/>
    <cellStyle name="注释 8 11 3" xfId="40829"/>
    <cellStyle name="注释 8 11 3 2" xfId="40830"/>
    <cellStyle name="注释 8 11 4" xfId="40831"/>
    <cellStyle name="注释 8 11 4 2" xfId="40832"/>
    <cellStyle name="注释 8 11 5" xfId="40833"/>
    <cellStyle name="注释 8 12" xfId="40834"/>
    <cellStyle name="注释 8 2" xfId="36484"/>
    <cellStyle name="注释 8 2 10" xfId="40835"/>
    <cellStyle name="注释 8 2 10 2" xfId="40836"/>
    <cellStyle name="注释 8 2 10 2 2" xfId="40837"/>
    <cellStyle name="注释 8 2 10 3" xfId="40838"/>
    <cellStyle name="注释 8 2 10 3 2" xfId="40839"/>
    <cellStyle name="注释 8 2 10 4" xfId="40840"/>
    <cellStyle name="注释 8 2 10 4 2" xfId="40841"/>
    <cellStyle name="注释 8 2 10 5" xfId="40842"/>
    <cellStyle name="注释 8 2 11" xfId="40843"/>
    <cellStyle name="注释 8 2 2" xfId="36486"/>
    <cellStyle name="注释 8 2 2 2" xfId="40844"/>
    <cellStyle name="注释 8 2 2 2 2" xfId="40845"/>
    <cellStyle name="注释 8 2 2 2 2 2" xfId="40846"/>
    <cellStyle name="注释 8 2 2 2 2 2 2" xfId="40847"/>
    <cellStyle name="注释 8 2 2 2 2 3" xfId="40848"/>
    <cellStyle name="注释 8 2 2 2 2 3 2" xfId="40849"/>
    <cellStyle name="注释 8 2 2 2 2 4" xfId="40850"/>
    <cellStyle name="注释 8 2 2 2 2 4 2" xfId="40851"/>
    <cellStyle name="注释 8 2 2 2 2 5" xfId="40852"/>
    <cellStyle name="注释 8 2 2 2 3" xfId="40853"/>
    <cellStyle name="注释 8 2 2 2 3 2" xfId="40854"/>
    <cellStyle name="注释 8 2 2 2 3 2 2" xfId="40855"/>
    <cellStyle name="注释 8 2 2 2 3 3" xfId="40856"/>
    <cellStyle name="注释 8 2 2 2 3 3 2" xfId="40857"/>
    <cellStyle name="注释 8 2 2 2 3 4" xfId="40858"/>
    <cellStyle name="注释 8 2 2 2 4" xfId="40859"/>
    <cellStyle name="注释 8 2 2 2 4 2" xfId="40860"/>
    <cellStyle name="注释 8 2 2 2 5" xfId="40861"/>
    <cellStyle name="注释 8 2 2 3" xfId="40862"/>
    <cellStyle name="注释 8 2 2 3 2" xfId="18700"/>
    <cellStyle name="注释 8 2 2 3 2 2" xfId="40419"/>
    <cellStyle name="注释 8 2 2 3 3" xfId="18706"/>
    <cellStyle name="注释 8 2 2 3 3 2" xfId="40863"/>
    <cellStyle name="注释 8 2 2 3 4" xfId="40864"/>
    <cellStyle name="注释 8 2 2 3 4 2" xfId="40865"/>
    <cellStyle name="注释 8 2 2 3 5" xfId="40866"/>
    <cellStyle name="注释 8 2 2 4" xfId="40867"/>
    <cellStyle name="注释 8 2 2 4 2" xfId="40868"/>
    <cellStyle name="注释 8 2 2 4 2 2" xfId="40869"/>
    <cellStyle name="注释 8 2 2 4 3" xfId="40870"/>
    <cellStyle name="注释 8 2 2 4 3 2" xfId="40871"/>
    <cellStyle name="注释 8 2 2 4 4" xfId="40872"/>
    <cellStyle name="注释 8 2 2 4 4 2" xfId="40873"/>
    <cellStyle name="注释 8 2 2 4 5" xfId="40874"/>
    <cellStyle name="注释 8 2 2 5" xfId="40875"/>
    <cellStyle name="注释 8 2 2 5 2" xfId="18759"/>
    <cellStyle name="注释 8 2 2 5 2 2" xfId="18763"/>
    <cellStyle name="注释 8 2 2 5 3" xfId="18769"/>
    <cellStyle name="注释 8 2 2 5 3 2" xfId="18773"/>
    <cellStyle name="注释 8 2 2 5 4" xfId="8747"/>
    <cellStyle name="注释 8 2 2 6" xfId="40876"/>
    <cellStyle name="注释 8 2 2 6 2" xfId="40877"/>
    <cellStyle name="注释 8 2 2 7" xfId="40878"/>
    <cellStyle name="注释 8 2 3" xfId="40879"/>
    <cellStyle name="注释 8 2 3 2" xfId="40880"/>
    <cellStyle name="注释 8 2 3 2 2" xfId="40881"/>
    <cellStyle name="注释 8 2 3 2 2 2" xfId="40882"/>
    <cellStyle name="注释 8 2 3 2 2 2 2" xfId="40883"/>
    <cellStyle name="注释 8 2 3 2 2 3" xfId="40884"/>
    <cellStyle name="注释 8 2 3 2 2 3 2" xfId="40885"/>
    <cellStyle name="注释 8 2 3 2 2 4" xfId="40886"/>
    <cellStyle name="注释 8 2 3 2 2 4 2" xfId="40887"/>
    <cellStyle name="注释 8 2 3 2 2 5" xfId="40888"/>
    <cellStyle name="注释 8 2 3 2 3" xfId="40889"/>
    <cellStyle name="注释 8 2 3 2 3 2" xfId="40890"/>
    <cellStyle name="注释 8 2 3 2 3 2 2" xfId="40891"/>
    <cellStyle name="注释 8 2 3 2 3 3" xfId="40892"/>
    <cellStyle name="注释 8 2 3 2 3 3 2" xfId="40893"/>
    <cellStyle name="注释 8 2 3 2 3 4" xfId="40894"/>
    <cellStyle name="注释 8 2 3 2 4" xfId="40895"/>
    <cellStyle name="注释 8 2 3 2 4 2" xfId="19505"/>
    <cellStyle name="注释 8 2 3 2 5" xfId="40896"/>
    <cellStyle name="注释 8 2 3 3" xfId="40897"/>
    <cellStyle name="注释 8 2 3 3 2" xfId="40898"/>
    <cellStyle name="注释 8 2 3 3 2 2" xfId="40899"/>
    <cellStyle name="注释 8 2 3 3 3" xfId="40900"/>
    <cellStyle name="注释 8 2 3 3 3 2" xfId="40901"/>
    <cellStyle name="注释 8 2 3 3 4" xfId="40902"/>
    <cellStyle name="注释 8 2 3 3 4 2" xfId="40903"/>
    <cellStyle name="注释 8 2 3 3 5" xfId="40904"/>
    <cellStyle name="注释 8 2 3 4" xfId="40905"/>
    <cellStyle name="注释 8 2 3 4 2" xfId="40906"/>
    <cellStyle name="注释 8 2 3 4 2 2" xfId="40907"/>
    <cellStyle name="注释 8 2 3 4 3" xfId="40908"/>
    <cellStyle name="注释 8 2 3 4 3 2" xfId="40909"/>
    <cellStyle name="注释 8 2 3 4 4" xfId="40910"/>
    <cellStyle name="注释 8 2 3 5" xfId="40911"/>
    <cellStyle name="注释 8 2 3 5 2" xfId="40912"/>
    <cellStyle name="注释 8 2 3 6" xfId="40913"/>
    <cellStyle name="注释 8 2 4" xfId="40914"/>
    <cellStyle name="注释 8 2 4 2" xfId="40915"/>
    <cellStyle name="注释 8 2 4 2 2" xfId="40916"/>
    <cellStyle name="注释 8 2 4 2 2 2" xfId="40917"/>
    <cellStyle name="注释 8 2 4 2 2 2 2" xfId="40918"/>
    <cellStyle name="注释 8 2 4 2 2 3" xfId="40919"/>
    <cellStyle name="注释 8 2 4 2 2 3 2" xfId="40920"/>
    <cellStyle name="注释 8 2 4 2 2 4" xfId="40921"/>
    <cellStyle name="注释 8 2 4 2 2 4 2" xfId="40922"/>
    <cellStyle name="注释 8 2 4 2 2 5" xfId="40923"/>
    <cellStyle name="注释 8 2 4 2 3" xfId="40924"/>
    <cellStyle name="注释 8 2 4 2 3 2" xfId="40925"/>
    <cellStyle name="注释 8 2 4 2 3 2 2" xfId="40926"/>
    <cellStyle name="注释 8 2 4 2 3 3" xfId="40927"/>
    <cellStyle name="注释 8 2 4 2 3 3 2" xfId="40928"/>
    <cellStyle name="注释 8 2 4 2 3 4" xfId="40929"/>
    <cellStyle name="注释 8 2 4 2 4" xfId="40930"/>
    <cellStyle name="注释 8 2 4 2 4 2" xfId="40931"/>
    <cellStyle name="注释 8 2 4 2 5" xfId="40932"/>
    <cellStyle name="注释 8 2 4 3" xfId="40933"/>
    <cellStyle name="注释 8 2 4 3 2" xfId="40934"/>
    <cellStyle name="注释 8 2 4 3 2 2" xfId="40935"/>
    <cellStyle name="注释 8 2 4 3 3" xfId="40936"/>
    <cellStyle name="注释 8 2 4 3 3 2" xfId="40937"/>
    <cellStyle name="注释 8 2 4 3 4" xfId="40938"/>
    <cellStyle name="注释 8 2 4 3 4 2" xfId="40939"/>
    <cellStyle name="注释 8 2 4 3 5" xfId="40940"/>
    <cellStyle name="注释 8 2 4 4" xfId="40941"/>
    <cellStyle name="注释 8 2 4 4 2" xfId="40942"/>
    <cellStyle name="注释 8 2 4 4 2 2" xfId="40943"/>
    <cellStyle name="注释 8 2 4 4 3" xfId="40944"/>
    <cellStyle name="注释 8 2 4 4 3 2" xfId="40945"/>
    <cellStyle name="注释 8 2 4 4 4" xfId="40946"/>
    <cellStyle name="注释 8 2 4 5" xfId="40947"/>
    <cellStyle name="注释 8 2 4 5 2" xfId="40948"/>
    <cellStyle name="注释 8 2 4 6" xfId="40949"/>
    <cellStyle name="注释 8 2 5" xfId="40950"/>
    <cellStyle name="注释 8 2 5 2" xfId="40951"/>
    <cellStyle name="注释 8 2 5 2 2" xfId="40952"/>
    <cellStyle name="注释 8 2 5 2 2 2" xfId="40953"/>
    <cellStyle name="注释 8 2 5 2 3" xfId="40954"/>
    <cellStyle name="注释 8 2 5 2 3 2" xfId="40955"/>
    <cellStyle name="注释 8 2 5 2 4" xfId="40956"/>
    <cellStyle name="注释 8 2 5 2 4 2" xfId="40957"/>
    <cellStyle name="注释 8 2 5 2 5" xfId="40958"/>
    <cellStyle name="注释 8 2 5 3" xfId="40959"/>
    <cellStyle name="注释 8 2 5 3 2" xfId="40960"/>
    <cellStyle name="注释 8 2 5 3 2 2" xfId="40961"/>
    <cellStyle name="注释 8 2 5 3 3" xfId="40962"/>
    <cellStyle name="注释 8 2 5 3 3 2" xfId="40963"/>
    <cellStyle name="注释 8 2 5 3 4" xfId="40964"/>
    <cellStyle name="注释 8 2 5 4" xfId="40965"/>
    <cellStyle name="注释 8 2 5 4 2" xfId="40966"/>
    <cellStyle name="注释 8 2 5 5" xfId="40967"/>
    <cellStyle name="注释 8 2 6" xfId="40968"/>
    <cellStyle name="注释 8 2 6 2" xfId="40969"/>
    <cellStyle name="注释 8 2 6 2 2" xfId="40970"/>
    <cellStyle name="注释 8 2 6 2 2 2" xfId="40971"/>
    <cellStyle name="注释 8 2 6 2 3" xfId="40972"/>
    <cellStyle name="注释 8 2 6 2 3 2" xfId="40973"/>
    <cellStyle name="注释 8 2 6 2 4" xfId="40974"/>
    <cellStyle name="注释 8 2 6 2 4 2" xfId="40975"/>
    <cellStyle name="注释 8 2 6 2 5" xfId="40976"/>
    <cellStyle name="注释 8 2 6 3" xfId="40977"/>
    <cellStyle name="注释 8 2 6 3 2" xfId="40978"/>
    <cellStyle name="注释 8 2 6 3 2 2" xfId="40979"/>
    <cellStyle name="注释 8 2 6 3 3" xfId="40980"/>
    <cellStyle name="注释 8 2 6 3 3 2" xfId="40981"/>
    <cellStyle name="注释 8 2 6 3 4" xfId="40982"/>
    <cellStyle name="注释 8 2 6 4" xfId="40983"/>
    <cellStyle name="注释 8 2 6 4 2" xfId="40984"/>
    <cellStyle name="注释 8 2 6 5" xfId="40985"/>
    <cellStyle name="注释 8 2 7" xfId="40986"/>
    <cellStyle name="注释 8 2 7 2" xfId="40987"/>
    <cellStyle name="注释 8 2 7 2 2" xfId="40988"/>
    <cellStyle name="注释 8 2 7 3" xfId="40989"/>
    <cellStyle name="注释 8 2 7 3 2" xfId="40990"/>
    <cellStyle name="注释 8 2 7 4" xfId="40991"/>
    <cellStyle name="注释 8 2 7 4 2" xfId="40992"/>
    <cellStyle name="注释 8 2 7 5" xfId="40993"/>
    <cellStyle name="注释 8 2 8" xfId="40994"/>
    <cellStyle name="注释 8 2 8 2" xfId="40995"/>
    <cellStyle name="注释 8 2 8 2 2" xfId="40996"/>
    <cellStyle name="注释 8 2 8 3" xfId="40997"/>
    <cellStyle name="注释 8 2 8 3 2" xfId="40998"/>
    <cellStyle name="注释 8 2 8 4" xfId="40999"/>
    <cellStyle name="注释 8 2 8 4 2" xfId="41000"/>
    <cellStyle name="注释 8 2 8 5" xfId="9852"/>
    <cellStyle name="注释 8 2 9" xfId="41001"/>
    <cellStyle name="注释 8 2 9 2" xfId="41002"/>
    <cellStyle name="注释 8 2 9 2 2" xfId="41003"/>
    <cellStyle name="注释 8 2 9 3" xfId="41004"/>
    <cellStyle name="注释 8 2 9 3 2" xfId="41005"/>
    <cellStyle name="注释 8 2 9 4" xfId="41006"/>
    <cellStyle name="注释 8 2 9 4 2" xfId="41007"/>
    <cellStyle name="注释 8 2 9 5" xfId="9857"/>
    <cellStyle name="注释 8 3" xfId="36488"/>
    <cellStyle name="注释 8 3 2" xfId="36490"/>
    <cellStyle name="注释 8 3 2 2" xfId="41008"/>
    <cellStyle name="注释 8 3 2 2 2" xfId="41009"/>
    <cellStyle name="注释 8 3 2 2 2 2" xfId="41010"/>
    <cellStyle name="注释 8 3 2 2 3" xfId="41011"/>
    <cellStyle name="注释 8 3 2 2 3 2" xfId="41012"/>
    <cellStyle name="注释 8 3 2 2 4" xfId="41013"/>
    <cellStyle name="注释 8 3 2 2 4 2" xfId="41014"/>
    <cellStyle name="注释 8 3 2 2 5" xfId="41015"/>
    <cellStyle name="注释 8 3 2 3" xfId="41016"/>
    <cellStyle name="注释 8 3 2 3 2" xfId="41017"/>
    <cellStyle name="注释 8 3 2 3 2 2" xfId="40745"/>
    <cellStyle name="注释 8 3 2 3 3" xfId="41018"/>
    <cellStyle name="注释 8 3 2 3 3 2" xfId="41019"/>
    <cellStyle name="注释 8 3 2 3 4" xfId="41020"/>
    <cellStyle name="注释 8 3 2 4" xfId="41021"/>
    <cellStyle name="注释 8 3 2 4 2" xfId="41022"/>
    <cellStyle name="注释 8 3 2 5" xfId="41023"/>
    <cellStyle name="注释 8 3 3" xfId="41024"/>
    <cellStyle name="注释 8 3 3 2" xfId="41025"/>
    <cellStyle name="注释 8 3 3 2 2" xfId="41026"/>
    <cellStyle name="注释 8 3 3 3" xfId="41027"/>
    <cellStyle name="注释 8 3 3 3 2" xfId="41028"/>
    <cellStyle name="注释 8 3 3 4" xfId="41029"/>
    <cellStyle name="注释 8 3 3 4 2" xfId="41030"/>
    <cellStyle name="注释 8 3 3 5" xfId="41031"/>
    <cellStyle name="注释 8 3 4" xfId="41032"/>
    <cellStyle name="注释 8 3 4 2" xfId="41033"/>
    <cellStyle name="注释 8 3 4 2 2" xfId="41034"/>
    <cellStyle name="注释 8 3 4 3" xfId="41035"/>
    <cellStyle name="注释 8 3 4 3 2" xfId="41036"/>
    <cellStyle name="注释 8 3 4 4" xfId="41037"/>
    <cellStyle name="注释 8 3 5" xfId="41038"/>
    <cellStyle name="注释 8 3 5 2" xfId="41039"/>
    <cellStyle name="注释 8 3 6" xfId="41040"/>
    <cellStyle name="注释 8 4" xfId="36492"/>
    <cellStyle name="注释 8 4 2" xfId="36494"/>
    <cellStyle name="注释 8 4 2 2" xfId="41041"/>
    <cellStyle name="注释 8 4 2 2 2" xfId="41042"/>
    <cellStyle name="注释 8 4 2 2 2 2" xfId="41043"/>
    <cellStyle name="注释 8 4 2 2 3" xfId="41044"/>
    <cellStyle name="注释 8 4 2 2 3 2" xfId="41045"/>
    <cellStyle name="注释 8 4 2 2 4" xfId="41046"/>
    <cellStyle name="注释 8 4 2 2 4 2" xfId="41047"/>
    <cellStyle name="注释 8 4 2 2 5" xfId="41048"/>
    <cellStyle name="注释 8 4 2 3" xfId="41049"/>
    <cellStyle name="注释 8 4 2 3 2" xfId="41050"/>
    <cellStyle name="注释 8 4 2 3 2 2" xfId="41052"/>
    <cellStyle name="注释 8 4 2 3 3" xfId="41053"/>
    <cellStyle name="注释 8 4 2 3 3 2" xfId="41054"/>
    <cellStyle name="注释 8 4 2 3 4" xfId="41055"/>
    <cellStyle name="注释 8 4 2 4" xfId="41056"/>
    <cellStyle name="注释 8 4 2 4 2" xfId="41057"/>
    <cellStyle name="注释 8 4 2 5" xfId="41058"/>
    <cellStyle name="注释 8 4 3" xfId="41059"/>
    <cellStyle name="注释 8 4 3 2" xfId="41060"/>
    <cellStyle name="注释 8 4 3 2 2" xfId="41061"/>
    <cellStyle name="注释 8 4 3 3" xfId="41062"/>
    <cellStyle name="注释 8 4 3 3 2" xfId="41063"/>
    <cellStyle name="注释 8 4 3 4" xfId="41064"/>
    <cellStyle name="注释 8 4 3 4 2" xfId="41065"/>
    <cellStyle name="注释 8 4 3 5" xfId="41066"/>
    <cellStyle name="注释 8 4 4" xfId="41067"/>
    <cellStyle name="注释 8 4 4 2" xfId="41068"/>
    <cellStyle name="注释 8 4 4 2 2" xfId="41069"/>
    <cellStyle name="注释 8 4 4 3" xfId="41070"/>
    <cellStyle name="注释 8 4 4 3 2" xfId="41071"/>
    <cellStyle name="注释 8 4 4 4" xfId="41072"/>
    <cellStyle name="注释 8 4 5" xfId="41073"/>
    <cellStyle name="注释 8 4 5 2" xfId="41074"/>
    <cellStyle name="注释 8 4 6" xfId="41075"/>
    <cellStyle name="注释 8 5" xfId="36496"/>
    <cellStyle name="注释 8 5 2" xfId="41076"/>
    <cellStyle name="注释 8 5 2 2" xfId="41077"/>
    <cellStyle name="注释 8 5 2 2 2" xfId="41078"/>
    <cellStyle name="注释 8 5 2 2 2 2" xfId="41079"/>
    <cellStyle name="注释 8 5 2 2 3" xfId="41080"/>
    <cellStyle name="注释 8 5 2 2 3 2" xfId="41081"/>
    <cellStyle name="注释 8 5 2 2 4" xfId="20138"/>
    <cellStyle name="注释 8 5 2 2 4 2" xfId="41082"/>
    <cellStyle name="注释 8 5 2 2 5" xfId="41083"/>
    <cellStyle name="注释 8 5 2 3" xfId="41084"/>
    <cellStyle name="注释 8 5 2 3 2" xfId="41085"/>
    <cellStyle name="注释 8 5 2 3 2 2" xfId="41086"/>
    <cellStyle name="注释 8 5 2 3 3" xfId="41051"/>
    <cellStyle name="注释 8 5 2 3 3 2" xfId="41087"/>
    <cellStyle name="注释 8 5 2 3 4" xfId="41088"/>
    <cellStyle name="注释 8 5 2 4" xfId="41089"/>
    <cellStyle name="注释 8 5 2 4 2" xfId="41090"/>
    <cellStyle name="注释 8 5 2 5" xfId="41091"/>
    <cellStyle name="注释 8 5 3" xfId="41092"/>
    <cellStyle name="注释 8 5 3 2" xfId="41093"/>
    <cellStyle name="注释 8 5 3 2 2" xfId="41094"/>
    <cellStyle name="注释 8 5 3 3" xfId="41095"/>
    <cellStyle name="注释 8 5 3 3 2" xfId="41096"/>
    <cellStyle name="注释 8 5 3 4" xfId="41097"/>
    <cellStyle name="注释 8 5 3 4 2" xfId="41098"/>
    <cellStyle name="注释 8 5 3 5" xfId="41099"/>
    <cellStyle name="注释 8 5 4" xfId="41100"/>
    <cellStyle name="注释 8 5 4 2" xfId="41101"/>
    <cellStyle name="注释 8 5 4 2 2" xfId="41102"/>
    <cellStyle name="注释 8 5 4 3" xfId="41103"/>
    <cellStyle name="注释 8 5 4 3 2" xfId="41104"/>
    <cellStyle name="注释 8 5 4 4" xfId="41105"/>
    <cellStyle name="注释 8 5 5" xfId="41106"/>
    <cellStyle name="注释 8 5 5 2" xfId="41107"/>
    <cellStyle name="注释 8 5 6" xfId="41108"/>
    <cellStyle name="注释 8 6" xfId="41109"/>
    <cellStyle name="注释 8 6 2" xfId="41110"/>
    <cellStyle name="注释 8 6 2 2" xfId="41111"/>
    <cellStyle name="注释 8 6 2 2 2" xfId="41112"/>
    <cellStyle name="注释 8 6 2 3" xfId="41113"/>
    <cellStyle name="注释 8 6 2 3 2" xfId="41114"/>
    <cellStyle name="注释 8 6 2 4" xfId="41115"/>
    <cellStyle name="注释 8 6 2 4 2" xfId="41116"/>
    <cellStyle name="注释 8 6 2 5" xfId="41117"/>
    <cellStyle name="注释 8 6 3" xfId="41118"/>
    <cellStyle name="注释 8 6 3 2" xfId="41119"/>
    <cellStyle name="注释 8 6 3 2 2" xfId="41120"/>
    <cellStyle name="注释 8 6 3 3" xfId="41121"/>
    <cellStyle name="注释 8 6 3 3 2" xfId="41122"/>
    <cellStyle name="注释 8 6 3 4" xfId="41123"/>
    <cellStyle name="注释 8 6 4" xfId="41124"/>
    <cellStyle name="注释 8 6 4 2" xfId="41125"/>
    <cellStyle name="注释 8 6 5" xfId="41126"/>
    <cellStyle name="注释 8 7" xfId="41127"/>
    <cellStyle name="注释 8 7 2" xfId="41128"/>
    <cellStyle name="注释 8 7 2 2" xfId="41129"/>
    <cellStyle name="注释 8 7 2 2 2" xfId="41130"/>
    <cellStyle name="注释 8 7 2 3" xfId="41131"/>
    <cellStyle name="注释 8 7 2 3 2" xfId="41132"/>
    <cellStyle name="注释 8 7 2 4" xfId="41133"/>
    <cellStyle name="注释 8 7 2 4 2" xfId="36981"/>
    <cellStyle name="注释 8 7 2 5" xfId="41134"/>
    <cellStyle name="注释 8 7 3" xfId="41135"/>
    <cellStyle name="注释 8 7 3 2" xfId="41136"/>
    <cellStyle name="注释 8 7 3 2 2" xfId="41137"/>
    <cellStyle name="注释 8 7 3 3" xfId="41138"/>
    <cellStyle name="注释 8 7 3 3 2" xfId="41139"/>
    <cellStyle name="注释 8 7 3 4" xfId="41140"/>
    <cellStyle name="注释 8 7 4" xfId="41141"/>
    <cellStyle name="注释 8 7 4 2" xfId="41142"/>
    <cellStyle name="注释 8 7 5" xfId="41143"/>
    <cellStyle name="注释 8 8" xfId="41144"/>
    <cellStyle name="注释 8 8 2" xfId="41145"/>
    <cellStyle name="注释 8 8 2 2" xfId="41146"/>
    <cellStyle name="注释 8 8 3" xfId="41147"/>
    <cellStyle name="注释 8 8 3 2" xfId="41148"/>
    <cellStyle name="注释 8 8 4" xfId="41149"/>
    <cellStyle name="注释 8 8 4 2" xfId="41150"/>
    <cellStyle name="注释 8 8 5" xfId="41151"/>
    <cellStyle name="注释 8 9" xfId="41152"/>
    <cellStyle name="注释 8 9 2" xfId="41153"/>
    <cellStyle name="注释 8 9 2 2" xfId="41154"/>
    <cellStyle name="注释 8 9 3" xfId="41155"/>
    <cellStyle name="注释 8 9 3 2" xfId="41156"/>
    <cellStyle name="注释 8 9 4" xfId="41157"/>
    <cellStyle name="注释 8 9 4 2" xfId="41158"/>
    <cellStyle name="注释 8 9 5" xfId="41159"/>
  </cellStyles>
  <dxfs count="34">
    <dxf>
      <font>
        <b val="0"/>
        <i val="0"/>
        <color indexed="20"/>
      </font>
      <fill>
        <patternFill>
          <fgColor indexed="10"/>
          <bgColor indexed="45"/>
        </patternFill>
      </fill>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3" Type="http://schemas.openxmlformats.org/officeDocument/2006/relationships/image" Target="../media/image17.png"/><Relationship Id="rId18" Type="http://schemas.openxmlformats.org/officeDocument/2006/relationships/image" Target="../media/image22.png"/><Relationship Id="rId26" Type="http://schemas.openxmlformats.org/officeDocument/2006/relationships/image" Target="../media/image30.png"/><Relationship Id="rId39" Type="http://schemas.openxmlformats.org/officeDocument/2006/relationships/image" Target="../media/image43.png"/><Relationship Id="rId21" Type="http://schemas.openxmlformats.org/officeDocument/2006/relationships/image" Target="../media/image25.png"/><Relationship Id="rId34" Type="http://schemas.openxmlformats.org/officeDocument/2006/relationships/image" Target="../media/image38.png"/><Relationship Id="rId42" Type="http://schemas.openxmlformats.org/officeDocument/2006/relationships/image" Target="../media/image46.png"/><Relationship Id="rId7" Type="http://schemas.openxmlformats.org/officeDocument/2006/relationships/image" Target="../media/image11.png"/><Relationship Id="rId2" Type="http://schemas.openxmlformats.org/officeDocument/2006/relationships/image" Target="../media/image6.png"/><Relationship Id="rId16" Type="http://schemas.openxmlformats.org/officeDocument/2006/relationships/image" Target="../media/image20.jpeg"/><Relationship Id="rId20" Type="http://schemas.openxmlformats.org/officeDocument/2006/relationships/image" Target="../media/image24.png"/><Relationship Id="rId29" Type="http://schemas.openxmlformats.org/officeDocument/2006/relationships/image" Target="../media/image33.png"/><Relationship Id="rId41" Type="http://schemas.openxmlformats.org/officeDocument/2006/relationships/image" Target="../media/image45.png"/><Relationship Id="rId1" Type="http://schemas.openxmlformats.org/officeDocument/2006/relationships/image" Target="../media/image5.jpeg"/><Relationship Id="rId6" Type="http://schemas.openxmlformats.org/officeDocument/2006/relationships/image" Target="../media/image10.png"/><Relationship Id="rId11" Type="http://schemas.openxmlformats.org/officeDocument/2006/relationships/image" Target="../media/image15.png"/><Relationship Id="rId24" Type="http://schemas.openxmlformats.org/officeDocument/2006/relationships/image" Target="../media/image28.png"/><Relationship Id="rId32" Type="http://schemas.openxmlformats.org/officeDocument/2006/relationships/image" Target="../media/image36.png"/><Relationship Id="rId37" Type="http://schemas.openxmlformats.org/officeDocument/2006/relationships/image" Target="../media/image41.png"/><Relationship Id="rId40" Type="http://schemas.openxmlformats.org/officeDocument/2006/relationships/image" Target="../media/image44.png"/><Relationship Id="rId5" Type="http://schemas.openxmlformats.org/officeDocument/2006/relationships/image" Target="../media/image9.png"/><Relationship Id="rId15" Type="http://schemas.openxmlformats.org/officeDocument/2006/relationships/image" Target="../media/image19.png"/><Relationship Id="rId23" Type="http://schemas.openxmlformats.org/officeDocument/2006/relationships/image" Target="../media/image27.png"/><Relationship Id="rId28" Type="http://schemas.openxmlformats.org/officeDocument/2006/relationships/image" Target="../media/image32.png"/><Relationship Id="rId36" Type="http://schemas.openxmlformats.org/officeDocument/2006/relationships/image" Target="../media/image40.png"/><Relationship Id="rId10" Type="http://schemas.openxmlformats.org/officeDocument/2006/relationships/image" Target="../media/image14.png"/><Relationship Id="rId19" Type="http://schemas.openxmlformats.org/officeDocument/2006/relationships/image" Target="../media/image23.png"/><Relationship Id="rId31" Type="http://schemas.openxmlformats.org/officeDocument/2006/relationships/image" Target="../media/image35.png"/><Relationship Id="rId44" Type="http://schemas.openxmlformats.org/officeDocument/2006/relationships/image" Target="../media/image48.png"/><Relationship Id="rId4" Type="http://schemas.openxmlformats.org/officeDocument/2006/relationships/image" Target="../media/image8.png"/><Relationship Id="rId9" Type="http://schemas.openxmlformats.org/officeDocument/2006/relationships/image" Target="../media/image13.png"/><Relationship Id="rId14" Type="http://schemas.openxmlformats.org/officeDocument/2006/relationships/image" Target="../media/image18.png"/><Relationship Id="rId22" Type="http://schemas.openxmlformats.org/officeDocument/2006/relationships/image" Target="../media/image26.png"/><Relationship Id="rId27" Type="http://schemas.openxmlformats.org/officeDocument/2006/relationships/image" Target="../media/image31.png"/><Relationship Id="rId30" Type="http://schemas.openxmlformats.org/officeDocument/2006/relationships/image" Target="../media/image34.png"/><Relationship Id="rId35" Type="http://schemas.openxmlformats.org/officeDocument/2006/relationships/image" Target="../media/image39.png"/><Relationship Id="rId43" Type="http://schemas.openxmlformats.org/officeDocument/2006/relationships/image" Target="../media/image47.png"/><Relationship Id="rId8" Type="http://schemas.openxmlformats.org/officeDocument/2006/relationships/image" Target="../media/image12.png"/><Relationship Id="rId3" Type="http://schemas.openxmlformats.org/officeDocument/2006/relationships/image" Target="../media/image7.png"/><Relationship Id="rId12" Type="http://schemas.openxmlformats.org/officeDocument/2006/relationships/image" Target="../media/image16.png"/><Relationship Id="rId17" Type="http://schemas.openxmlformats.org/officeDocument/2006/relationships/image" Target="../media/image21.png"/><Relationship Id="rId25" Type="http://schemas.openxmlformats.org/officeDocument/2006/relationships/image" Target="../media/image29.png"/><Relationship Id="rId33" Type="http://schemas.openxmlformats.org/officeDocument/2006/relationships/image" Target="../media/image37.png"/><Relationship Id="rId38" Type="http://schemas.openxmlformats.org/officeDocument/2006/relationships/image" Target="../media/image42.png"/></Relationships>
</file>

<file path=xl/drawings/_rels/drawing4.xml.rels><?xml version="1.0" encoding="UTF-8" standalone="yes"?>
<Relationships xmlns="http://schemas.openxmlformats.org/package/2006/relationships"><Relationship Id="rId8" Type="http://schemas.openxmlformats.org/officeDocument/2006/relationships/image" Target="../media/image56.png"/><Relationship Id="rId13" Type="http://schemas.openxmlformats.org/officeDocument/2006/relationships/image" Target="../media/image61.png"/><Relationship Id="rId3" Type="http://schemas.openxmlformats.org/officeDocument/2006/relationships/image" Target="../media/image51.png"/><Relationship Id="rId7" Type="http://schemas.openxmlformats.org/officeDocument/2006/relationships/image" Target="../media/image55.png"/><Relationship Id="rId12" Type="http://schemas.openxmlformats.org/officeDocument/2006/relationships/image" Target="../media/image60.png"/><Relationship Id="rId17" Type="http://schemas.openxmlformats.org/officeDocument/2006/relationships/image" Target="../media/image65.png"/><Relationship Id="rId2" Type="http://schemas.openxmlformats.org/officeDocument/2006/relationships/image" Target="../media/image50.png"/><Relationship Id="rId16" Type="http://schemas.openxmlformats.org/officeDocument/2006/relationships/image" Target="../media/image64.png"/><Relationship Id="rId1" Type="http://schemas.openxmlformats.org/officeDocument/2006/relationships/image" Target="../media/image49.png"/><Relationship Id="rId6" Type="http://schemas.openxmlformats.org/officeDocument/2006/relationships/image" Target="../media/image54.png"/><Relationship Id="rId11" Type="http://schemas.openxmlformats.org/officeDocument/2006/relationships/image" Target="../media/image59.png"/><Relationship Id="rId5" Type="http://schemas.openxmlformats.org/officeDocument/2006/relationships/image" Target="../media/image53.png"/><Relationship Id="rId15" Type="http://schemas.openxmlformats.org/officeDocument/2006/relationships/image" Target="../media/image63.png"/><Relationship Id="rId10" Type="http://schemas.openxmlformats.org/officeDocument/2006/relationships/image" Target="../media/image58.png"/><Relationship Id="rId4" Type="http://schemas.openxmlformats.org/officeDocument/2006/relationships/image" Target="../media/image52.png"/><Relationship Id="rId9" Type="http://schemas.openxmlformats.org/officeDocument/2006/relationships/image" Target="../media/image57.png"/><Relationship Id="rId14"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editAs="oneCell">
    <xdr:from>
      <xdr:col>19</xdr:col>
      <xdr:colOff>85725</xdr:colOff>
      <xdr:row>13</xdr:row>
      <xdr:rowOff>171450</xdr:rowOff>
    </xdr:from>
    <xdr:to>
      <xdr:col>23</xdr:col>
      <xdr:colOff>304800</xdr:colOff>
      <xdr:row>19</xdr:row>
      <xdr:rowOff>114300</xdr:rowOff>
    </xdr:to>
    <xdr:pic>
      <xdr:nvPicPr>
        <xdr:cNvPr id="2049" name="图片 1" descr="rId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877800" y="3705225"/>
          <a:ext cx="3000375" cy="1476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23</xdr:col>
      <xdr:colOff>228600</xdr:colOff>
      <xdr:row>14</xdr:row>
      <xdr:rowOff>76200</xdr:rowOff>
    </xdr:from>
    <xdr:to>
      <xdr:col>24</xdr:col>
      <xdr:colOff>400050</xdr:colOff>
      <xdr:row>17</xdr:row>
      <xdr:rowOff>38100</xdr:rowOff>
    </xdr:to>
    <xdr:pic>
      <xdr:nvPicPr>
        <xdr:cNvPr id="2050" name="图片 2" descr="rId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801975" y="3905250"/>
          <a:ext cx="866775"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123825</xdr:colOff>
      <xdr:row>33</xdr:row>
      <xdr:rowOff>114300</xdr:rowOff>
    </xdr:from>
    <xdr:to>
      <xdr:col>5</xdr:col>
      <xdr:colOff>476250</xdr:colOff>
      <xdr:row>47</xdr:row>
      <xdr:rowOff>133350</xdr:rowOff>
    </xdr:to>
    <xdr:pic>
      <xdr:nvPicPr>
        <xdr:cNvPr id="2051" name="图片 3" descr="rId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0050" y="8934450"/>
          <a:ext cx="3133725" cy="2552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34</xdr:row>
      <xdr:rowOff>0</xdr:rowOff>
    </xdr:from>
    <xdr:to>
      <xdr:col>10</xdr:col>
      <xdr:colOff>314325</xdr:colOff>
      <xdr:row>47</xdr:row>
      <xdr:rowOff>133350</xdr:rowOff>
    </xdr:to>
    <xdr:pic>
      <xdr:nvPicPr>
        <xdr:cNvPr id="2052" name="图片 4" descr="rId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52850" y="9001125"/>
          <a:ext cx="3095625" cy="2486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733425</xdr:colOff>
          <xdr:row>0</xdr:row>
          <xdr:rowOff>38100</xdr:rowOff>
        </xdr:from>
        <xdr:to>
          <xdr:col>2</xdr:col>
          <xdr:colOff>1285875</xdr:colOff>
          <xdr:row>1</xdr:row>
          <xdr:rowOff>190500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计算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790575</xdr:colOff>
      <xdr:row>96</xdr:row>
      <xdr:rowOff>400050</xdr:rowOff>
    </xdr:from>
    <xdr:to>
      <xdr:col>2</xdr:col>
      <xdr:colOff>1628775</xdr:colOff>
      <xdr:row>96</xdr:row>
      <xdr:rowOff>847725</xdr:rowOff>
    </xdr:to>
    <xdr:pic>
      <xdr:nvPicPr>
        <xdr:cNvPr id="16385" name="图片 1" descr="rId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19275" y="76704825"/>
          <a:ext cx="83820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847725</xdr:colOff>
      <xdr:row>72</xdr:row>
      <xdr:rowOff>342900</xdr:rowOff>
    </xdr:from>
    <xdr:to>
      <xdr:col>2</xdr:col>
      <xdr:colOff>1685925</xdr:colOff>
      <xdr:row>72</xdr:row>
      <xdr:rowOff>1104900</xdr:rowOff>
    </xdr:to>
    <xdr:pic>
      <xdr:nvPicPr>
        <xdr:cNvPr id="16386" name="图片 5" descr="rId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5" y="52406550"/>
          <a:ext cx="83820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866775</xdr:colOff>
      <xdr:row>73</xdr:row>
      <xdr:rowOff>381000</xdr:rowOff>
    </xdr:from>
    <xdr:to>
      <xdr:col>2</xdr:col>
      <xdr:colOff>1619250</xdr:colOff>
      <xdr:row>73</xdr:row>
      <xdr:rowOff>1085850</xdr:rowOff>
    </xdr:to>
    <xdr:pic>
      <xdr:nvPicPr>
        <xdr:cNvPr id="16387" name="图片 6" descr="rId3"/>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895475" y="53644800"/>
          <a:ext cx="752475" cy="704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781050</xdr:colOff>
      <xdr:row>81</xdr:row>
      <xdr:rowOff>304800</xdr:rowOff>
    </xdr:from>
    <xdr:to>
      <xdr:col>2</xdr:col>
      <xdr:colOff>1581150</xdr:colOff>
      <xdr:row>81</xdr:row>
      <xdr:rowOff>1000125</xdr:rowOff>
    </xdr:to>
    <xdr:pic>
      <xdr:nvPicPr>
        <xdr:cNvPr id="16388" name="图片 7" descr="rId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09750" y="60979050"/>
          <a:ext cx="800100"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981075</xdr:colOff>
      <xdr:row>84</xdr:row>
      <xdr:rowOff>381000</xdr:rowOff>
    </xdr:from>
    <xdr:to>
      <xdr:col>2</xdr:col>
      <xdr:colOff>1562100</xdr:colOff>
      <xdr:row>84</xdr:row>
      <xdr:rowOff>942975</xdr:rowOff>
    </xdr:to>
    <xdr:pic>
      <xdr:nvPicPr>
        <xdr:cNvPr id="16389" name="图片 8" descr="rId5"/>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009775" y="64217550"/>
          <a:ext cx="58102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1028700</xdr:colOff>
      <xdr:row>85</xdr:row>
      <xdr:rowOff>447675</xdr:rowOff>
    </xdr:from>
    <xdr:to>
      <xdr:col>2</xdr:col>
      <xdr:colOff>1590675</xdr:colOff>
      <xdr:row>85</xdr:row>
      <xdr:rowOff>1162050</xdr:rowOff>
    </xdr:to>
    <xdr:pic>
      <xdr:nvPicPr>
        <xdr:cNvPr id="16390" name="图片 9" descr="rId6"/>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057400" y="65503425"/>
          <a:ext cx="56197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895350</xdr:colOff>
      <xdr:row>86</xdr:row>
      <xdr:rowOff>323850</xdr:rowOff>
    </xdr:from>
    <xdr:to>
      <xdr:col>2</xdr:col>
      <xdr:colOff>1495425</xdr:colOff>
      <xdr:row>86</xdr:row>
      <xdr:rowOff>1066800</xdr:rowOff>
    </xdr:to>
    <xdr:pic>
      <xdr:nvPicPr>
        <xdr:cNvPr id="16391" name="图片 11" descr="rId7"/>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24050" y="66608325"/>
          <a:ext cx="600075"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866775</xdr:colOff>
      <xdr:row>56</xdr:row>
      <xdr:rowOff>381000</xdr:rowOff>
    </xdr:from>
    <xdr:to>
      <xdr:col>2</xdr:col>
      <xdr:colOff>1562100</xdr:colOff>
      <xdr:row>56</xdr:row>
      <xdr:rowOff>1371600</xdr:rowOff>
    </xdr:to>
    <xdr:pic>
      <xdr:nvPicPr>
        <xdr:cNvPr id="16393" name="图片 14" descr="rId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895475" y="38547675"/>
          <a:ext cx="695325" cy="990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1009650</xdr:colOff>
      <xdr:row>53</xdr:row>
      <xdr:rowOff>333375</xdr:rowOff>
    </xdr:from>
    <xdr:to>
      <xdr:col>2</xdr:col>
      <xdr:colOff>1590675</xdr:colOff>
      <xdr:row>53</xdr:row>
      <xdr:rowOff>1104900</xdr:rowOff>
    </xdr:to>
    <xdr:pic>
      <xdr:nvPicPr>
        <xdr:cNvPr id="16394" name="图片 15" descr="rId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38350" y="35766375"/>
          <a:ext cx="581025"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857250</xdr:colOff>
      <xdr:row>65</xdr:row>
      <xdr:rowOff>371475</xdr:rowOff>
    </xdr:from>
    <xdr:to>
      <xdr:col>2</xdr:col>
      <xdr:colOff>1619250</xdr:colOff>
      <xdr:row>65</xdr:row>
      <xdr:rowOff>1162050</xdr:rowOff>
    </xdr:to>
    <xdr:pic>
      <xdr:nvPicPr>
        <xdr:cNvPr id="16395" name="图片 29" descr="rId10"/>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885950" y="45529500"/>
          <a:ext cx="762000" cy="790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24</xdr:col>
      <xdr:colOff>0</xdr:colOff>
      <xdr:row>27</xdr:row>
      <xdr:rowOff>381000</xdr:rowOff>
    </xdr:from>
    <xdr:to>
      <xdr:col>24</xdr:col>
      <xdr:colOff>1247775</xdr:colOff>
      <xdr:row>27</xdr:row>
      <xdr:rowOff>1228725</xdr:rowOff>
    </xdr:to>
    <xdr:pic>
      <xdr:nvPicPr>
        <xdr:cNvPr id="16396" name="Picture 23" descr="rId1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7630775" y="17383125"/>
          <a:ext cx="1247775"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847725</xdr:colOff>
      <xdr:row>14</xdr:row>
      <xdr:rowOff>400050</xdr:rowOff>
    </xdr:from>
    <xdr:to>
      <xdr:col>2</xdr:col>
      <xdr:colOff>1562100</xdr:colOff>
      <xdr:row>14</xdr:row>
      <xdr:rowOff>1114425</xdr:rowOff>
    </xdr:to>
    <xdr:pic>
      <xdr:nvPicPr>
        <xdr:cNvPr id="16397" name="图片 17" descr="rId12"/>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876425" y="7143750"/>
          <a:ext cx="71437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742950</xdr:colOff>
      <xdr:row>16</xdr:row>
      <xdr:rowOff>342900</xdr:rowOff>
    </xdr:from>
    <xdr:to>
      <xdr:col>2</xdr:col>
      <xdr:colOff>1209675</xdr:colOff>
      <xdr:row>16</xdr:row>
      <xdr:rowOff>1019175</xdr:rowOff>
    </xdr:to>
    <xdr:pic>
      <xdr:nvPicPr>
        <xdr:cNvPr id="16398" name="图片 16" descr="rId8"/>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771650" y="8715375"/>
          <a:ext cx="466725"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523875</xdr:colOff>
      <xdr:row>23</xdr:row>
      <xdr:rowOff>504825</xdr:rowOff>
    </xdr:from>
    <xdr:to>
      <xdr:col>2</xdr:col>
      <xdr:colOff>1247775</xdr:colOff>
      <xdr:row>23</xdr:row>
      <xdr:rowOff>514350</xdr:rowOff>
    </xdr:to>
    <xdr:pic>
      <xdr:nvPicPr>
        <xdr:cNvPr id="16399" name="图片 18" descr="rId10"/>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552575" y="14058900"/>
          <a:ext cx="723900"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828675</xdr:colOff>
      <xdr:row>23</xdr:row>
      <xdr:rowOff>285750</xdr:rowOff>
    </xdr:from>
    <xdr:to>
      <xdr:col>2</xdr:col>
      <xdr:colOff>1552575</xdr:colOff>
      <xdr:row>23</xdr:row>
      <xdr:rowOff>1019175</xdr:rowOff>
    </xdr:to>
    <xdr:pic>
      <xdr:nvPicPr>
        <xdr:cNvPr id="16400" name="图片 1" descr="rId1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857375" y="13839825"/>
          <a:ext cx="72390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828675</xdr:colOff>
      <xdr:row>24</xdr:row>
      <xdr:rowOff>381000</xdr:rowOff>
    </xdr:from>
    <xdr:to>
      <xdr:col>2</xdr:col>
      <xdr:colOff>1581150</xdr:colOff>
      <xdr:row>24</xdr:row>
      <xdr:rowOff>1085850</xdr:rowOff>
    </xdr:to>
    <xdr:pic>
      <xdr:nvPicPr>
        <xdr:cNvPr id="16401" name="图片 21" descr="rId3"/>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857375" y="15230475"/>
          <a:ext cx="752475" cy="704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847725</xdr:colOff>
      <xdr:row>31</xdr:row>
      <xdr:rowOff>419100</xdr:rowOff>
    </xdr:from>
    <xdr:to>
      <xdr:col>2</xdr:col>
      <xdr:colOff>1447800</xdr:colOff>
      <xdr:row>31</xdr:row>
      <xdr:rowOff>1152525</xdr:rowOff>
    </xdr:to>
    <xdr:pic>
      <xdr:nvPicPr>
        <xdr:cNvPr id="16404" name="图片 24" descr="rId7"/>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876425" y="22193250"/>
          <a:ext cx="60007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876300</xdr:colOff>
      <xdr:row>32</xdr:row>
      <xdr:rowOff>409575</xdr:rowOff>
    </xdr:from>
    <xdr:to>
      <xdr:col>2</xdr:col>
      <xdr:colOff>1438275</xdr:colOff>
      <xdr:row>32</xdr:row>
      <xdr:rowOff>1114425</xdr:rowOff>
    </xdr:to>
    <xdr:pic>
      <xdr:nvPicPr>
        <xdr:cNvPr id="16405" name="图片 25" descr="rId6"/>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905000" y="23364825"/>
          <a:ext cx="561975" cy="704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809625</xdr:colOff>
      <xdr:row>33</xdr:row>
      <xdr:rowOff>381000</xdr:rowOff>
    </xdr:from>
    <xdr:to>
      <xdr:col>2</xdr:col>
      <xdr:colOff>1323975</xdr:colOff>
      <xdr:row>33</xdr:row>
      <xdr:rowOff>962025</xdr:rowOff>
    </xdr:to>
    <xdr:pic>
      <xdr:nvPicPr>
        <xdr:cNvPr id="16406" name="图片 26" descr="rId14"/>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38325" y="24507825"/>
          <a:ext cx="5143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619125</xdr:colOff>
      <xdr:row>27</xdr:row>
      <xdr:rowOff>561975</xdr:rowOff>
    </xdr:from>
    <xdr:to>
      <xdr:col>2</xdr:col>
      <xdr:colOff>1457325</xdr:colOff>
      <xdr:row>27</xdr:row>
      <xdr:rowOff>1323975</xdr:rowOff>
    </xdr:to>
    <xdr:pic>
      <xdr:nvPicPr>
        <xdr:cNvPr id="16408" name="图片 20" descr="rId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7825" y="17564100"/>
          <a:ext cx="83820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1028700</xdr:colOff>
      <xdr:row>85</xdr:row>
      <xdr:rowOff>447675</xdr:rowOff>
    </xdr:from>
    <xdr:to>
      <xdr:col>2</xdr:col>
      <xdr:colOff>1590675</xdr:colOff>
      <xdr:row>85</xdr:row>
      <xdr:rowOff>1152525</xdr:rowOff>
    </xdr:to>
    <xdr:pic>
      <xdr:nvPicPr>
        <xdr:cNvPr id="16414" name="图片 9" descr="4624636051384393906031.png"/>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057400" y="65503425"/>
          <a:ext cx="561975" cy="704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1143000</xdr:colOff>
      <xdr:row>54</xdr:row>
      <xdr:rowOff>276225</xdr:rowOff>
    </xdr:from>
    <xdr:to>
      <xdr:col>2</xdr:col>
      <xdr:colOff>1600200</xdr:colOff>
      <xdr:row>54</xdr:row>
      <xdr:rowOff>904875</xdr:rowOff>
    </xdr:to>
    <xdr:pic>
      <xdr:nvPicPr>
        <xdr:cNvPr id="16416" name="图片 13" descr="8116857681384393906046.png"/>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171700" y="36918900"/>
          <a:ext cx="45720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971550</xdr:colOff>
      <xdr:row>56</xdr:row>
      <xdr:rowOff>333375</xdr:rowOff>
    </xdr:from>
    <xdr:to>
      <xdr:col>2</xdr:col>
      <xdr:colOff>1714500</xdr:colOff>
      <xdr:row>56</xdr:row>
      <xdr:rowOff>1390650</xdr:rowOff>
    </xdr:to>
    <xdr:pic>
      <xdr:nvPicPr>
        <xdr:cNvPr id="16417" name="图片 14" descr="2672771411384393906046.pn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000250" y="38500050"/>
          <a:ext cx="742950" cy="1057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523875</xdr:colOff>
      <xdr:row>23</xdr:row>
      <xdr:rowOff>504825</xdr:rowOff>
    </xdr:from>
    <xdr:to>
      <xdr:col>2</xdr:col>
      <xdr:colOff>1247775</xdr:colOff>
      <xdr:row>23</xdr:row>
      <xdr:rowOff>514350</xdr:rowOff>
    </xdr:to>
    <xdr:pic>
      <xdr:nvPicPr>
        <xdr:cNvPr id="16423" name="图片 18" descr="7847597361384393906046.png"/>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552575" y="14058900"/>
          <a:ext cx="723900"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714375</xdr:colOff>
      <xdr:row>27</xdr:row>
      <xdr:rowOff>533400</xdr:rowOff>
    </xdr:from>
    <xdr:to>
      <xdr:col>2</xdr:col>
      <xdr:colOff>1466850</xdr:colOff>
      <xdr:row>27</xdr:row>
      <xdr:rowOff>1238250</xdr:rowOff>
    </xdr:to>
    <xdr:pic>
      <xdr:nvPicPr>
        <xdr:cNvPr id="16426" name="图片 21" descr="5631959701384393906031.png"/>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743075" y="17535525"/>
          <a:ext cx="752475" cy="704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581025</xdr:colOff>
      <xdr:row>29</xdr:row>
      <xdr:rowOff>285750</xdr:rowOff>
    </xdr:from>
    <xdr:to>
      <xdr:col>2</xdr:col>
      <xdr:colOff>1381125</xdr:colOff>
      <xdr:row>29</xdr:row>
      <xdr:rowOff>981075</xdr:rowOff>
    </xdr:to>
    <xdr:pic>
      <xdr:nvPicPr>
        <xdr:cNvPr id="16427" name="图片 22" descr="8302050501384393906031.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09725" y="19992975"/>
          <a:ext cx="800100"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790575</xdr:colOff>
      <xdr:row>30</xdr:row>
      <xdr:rowOff>333375</xdr:rowOff>
    </xdr:from>
    <xdr:to>
      <xdr:col>2</xdr:col>
      <xdr:colOff>1447800</xdr:colOff>
      <xdr:row>30</xdr:row>
      <xdr:rowOff>933450</xdr:rowOff>
    </xdr:to>
    <xdr:pic>
      <xdr:nvPicPr>
        <xdr:cNvPr id="16428" name="图片 23" descr="7534692061384393906031.pn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19275" y="21069300"/>
          <a:ext cx="657225"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866775</xdr:colOff>
      <xdr:row>31</xdr:row>
      <xdr:rowOff>323850</xdr:rowOff>
    </xdr:from>
    <xdr:to>
      <xdr:col>2</xdr:col>
      <xdr:colOff>1466850</xdr:colOff>
      <xdr:row>31</xdr:row>
      <xdr:rowOff>1057275</xdr:rowOff>
    </xdr:to>
    <xdr:pic>
      <xdr:nvPicPr>
        <xdr:cNvPr id="16429" name="图片 24" descr="1556507881384393906031.png"/>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895475" y="22098000"/>
          <a:ext cx="60007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885825</xdr:colOff>
      <xdr:row>32</xdr:row>
      <xdr:rowOff>361950</xdr:rowOff>
    </xdr:from>
    <xdr:to>
      <xdr:col>2</xdr:col>
      <xdr:colOff>1447800</xdr:colOff>
      <xdr:row>32</xdr:row>
      <xdr:rowOff>1066800</xdr:rowOff>
    </xdr:to>
    <xdr:pic>
      <xdr:nvPicPr>
        <xdr:cNvPr id="16430" name="图片 25" descr="4624636051384393906031.png"/>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914525" y="23317200"/>
          <a:ext cx="561975" cy="704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638175</xdr:colOff>
      <xdr:row>35</xdr:row>
      <xdr:rowOff>323850</xdr:rowOff>
    </xdr:from>
    <xdr:to>
      <xdr:col>2</xdr:col>
      <xdr:colOff>1495425</xdr:colOff>
      <xdr:row>35</xdr:row>
      <xdr:rowOff>771525</xdr:rowOff>
    </xdr:to>
    <xdr:pic>
      <xdr:nvPicPr>
        <xdr:cNvPr id="16432" name="图片 27" descr="8068128291384393906031.png"/>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666875" y="25965150"/>
          <a:ext cx="85725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952500</xdr:colOff>
      <xdr:row>89</xdr:row>
      <xdr:rowOff>400050</xdr:rowOff>
    </xdr:from>
    <xdr:to>
      <xdr:col>2</xdr:col>
      <xdr:colOff>1514475</xdr:colOff>
      <xdr:row>89</xdr:row>
      <xdr:rowOff>1104900</xdr:rowOff>
    </xdr:to>
    <xdr:pic>
      <xdr:nvPicPr>
        <xdr:cNvPr id="16433" name="图片 9" descr="4624636051384393906031.png"/>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981200" y="70084950"/>
          <a:ext cx="561975" cy="704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828675</xdr:colOff>
      <xdr:row>90</xdr:row>
      <xdr:rowOff>295275</xdr:rowOff>
    </xdr:from>
    <xdr:to>
      <xdr:col>2</xdr:col>
      <xdr:colOff>1390650</xdr:colOff>
      <xdr:row>90</xdr:row>
      <xdr:rowOff>1000125</xdr:rowOff>
    </xdr:to>
    <xdr:pic>
      <xdr:nvPicPr>
        <xdr:cNvPr id="16434" name="图片 9" descr="4624636051384393906031.png"/>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57375" y="71142225"/>
          <a:ext cx="561975" cy="704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638175</xdr:colOff>
      <xdr:row>28</xdr:row>
      <xdr:rowOff>361950</xdr:rowOff>
    </xdr:from>
    <xdr:to>
      <xdr:col>2</xdr:col>
      <xdr:colOff>1390650</xdr:colOff>
      <xdr:row>28</xdr:row>
      <xdr:rowOff>1143000</xdr:rowOff>
    </xdr:to>
    <xdr:pic>
      <xdr:nvPicPr>
        <xdr:cNvPr id="16459" name="图片 75" descr="rId16"/>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rot="16200000" flipV="1">
          <a:off x="1652588" y="18835687"/>
          <a:ext cx="781050"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714375</xdr:colOff>
      <xdr:row>18</xdr:row>
      <xdr:rowOff>381000</xdr:rowOff>
    </xdr:from>
    <xdr:to>
      <xdr:col>2</xdr:col>
      <xdr:colOff>1352550</xdr:colOff>
      <xdr:row>18</xdr:row>
      <xdr:rowOff>1162050</xdr:rowOff>
    </xdr:to>
    <xdr:pic>
      <xdr:nvPicPr>
        <xdr:cNvPr id="16461" name="图片 77" descr="rId17"/>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rot="10800000" flipH="1" flipV="1">
          <a:off x="1743075" y="10458450"/>
          <a:ext cx="638175"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628650</xdr:colOff>
      <xdr:row>80</xdr:row>
      <xdr:rowOff>314325</xdr:rowOff>
    </xdr:from>
    <xdr:to>
      <xdr:col>2</xdr:col>
      <xdr:colOff>1276350</xdr:colOff>
      <xdr:row>81</xdr:row>
      <xdr:rowOff>0</xdr:rowOff>
    </xdr:to>
    <xdr:pic>
      <xdr:nvPicPr>
        <xdr:cNvPr id="16419" name="图片 14401" descr="rId21"/>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flipH="1">
          <a:off x="1657350" y="60150375"/>
          <a:ext cx="647700"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790575</xdr:colOff>
      <xdr:row>79</xdr:row>
      <xdr:rowOff>466725</xdr:rowOff>
    </xdr:from>
    <xdr:to>
      <xdr:col>2</xdr:col>
      <xdr:colOff>1343025</xdr:colOff>
      <xdr:row>79</xdr:row>
      <xdr:rowOff>819150</xdr:rowOff>
    </xdr:to>
    <xdr:pic>
      <xdr:nvPicPr>
        <xdr:cNvPr id="16420" name="图片 14391" descr="rId17"/>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flipH="1">
          <a:off x="1819275" y="59416950"/>
          <a:ext cx="55245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809625</xdr:colOff>
      <xdr:row>69</xdr:row>
      <xdr:rowOff>428625</xdr:rowOff>
    </xdr:from>
    <xdr:to>
      <xdr:col>2</xdr:col>
      <xdr:colOff>1466850</xdr:colOff>
      <xdr:row>69</xdr:row>
      <xdr:rowOff>952500</xdr:rowOff>
    </xdr:to>
    <xdr:pic>
      <xdr:nvPicPr>
        <xdr:cNvPr id="16392" name="图片 8" descr="rId20"/>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838325" y="49625250"/>
          <a:ext cx="6572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838200</xdr:colOff>
      <xdr:row>91</xdr:row>
      <xdr:rowOff>304800</xdr:rowOff>
    </xdr:from>
    <xdr:to>
      <xdr:col>2</xdr:col>
      <xdr:colOff>1362075</xdr:colOff>
      <xdr:row>91</xdr:row>
      <xdr:rowOff>895350</xdr:rowOff>
    </xdr:to>
    <xdr:pic>
      <xdr:nvPicPr>
        <xdr:cNvPr id="16402" name="图片 18" descr="rId21"/>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866900" y="72313800"/>
          <a:ext cx="52387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733425</xdr:colOff>
      <xdr:row>70</xdr:row>
      <xdr:rowOff>390525</xdr:rowOff>
    </xdr:from>
    <xdr:to>
      <xdr:col>2</xdr:col>
      <xdr:colOff>1285875</xdr:colOff>
      <xdr:row>70</xdr:row>
      <xdr:rowOff>838200</xdr:rowOff>
    </xdr:to>
    <xdr:pic>
      <xdr:nvPicPr>
        <xdr:cNvPr id="16403" name="图片 19" descr="rId22"/>
        <xdr:cNvPicPr>
          <a:picLocks noChangeAspect="1"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1762125" y="50644425"/>
          <a:ext cx="55245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752475</xdr:colOff>
      <xdr:row>93</xdr:row>
      <xdr:rowOff>428625</xdr:rowOff>
    </xdr:from>
    <xdr:to>
      <xdr:col>2</xdr:col>
      <xdr:colOff>1266825</xdr:colOff>
      <xdr:row>93</xdr:row>
      <xdr:rowOff>904875</xdr:rowOff>
    </xdr:to>
    <xdr:pic>
      <xdr:nvPicPr>
        <xdr:cNvPr id="16407" name="图片 23" descr="rId23"/>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781175" y="74304525"/>
          <a:ext cx="5143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762000</xdr:colOff>
      <xdr:row>77</xdr:row>
      <xdr:rowOff>352425</xdr:rowOff>
    </xdr:from>
    <xdr:to>
      <xdr:col>2</xdr:col>
      <xdr:colOff>1638300</xdr:colOff>
      <xdr:row>77</xdr:row>
      <xdr:rowOff>1123950</xdr:rowOff>
    </xdr:to>
    <xdr:pic>
      <xdr:nvPicPr>
        <xdr:cNvPr id="16431" name="图片 47" descr="rId24"/>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1790700" y="57016650"/>
          <a:ext cx="8763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762000</xdr:colOff>
      <xdr:row>78</xdr:row>
      <xdr:rowOff>323850</xdr:rowOff>
    </xdr:from>
    <xdr:to>
      <xdr:col>2</xdr:col>
      <xdr:colOff>1524000</xdr:colOff>
      <xdr:row>78</xdr:row>
      <xdr:rowOff>1009650</xdr:rowOff>
    </xdr:to>
    <xdr:pic>
      <xdr:nvPicPr>
        <xdr:cNvPr id="16435" name="图片 51" descr="rId25"/>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1790700" y="58131075"/>
          <a:ext cx="76200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904875</xdr:colOff>
      <xdr:row>64</xdr:row>
      <xdr:rowOff>142875</xdr:rowOff>
    </xdr:from>
    <xdr:to>
      <xdr:col>2</xdr:col>
      <xdr:colOff>1600200</xdr:colOff>
      <xdr:row>65</xdr:row>
      <xdr:rowOff>0</xdr:rowOff>
    </xdr:to>
    <xdr:pic>
      <xdr:nvPicPr>
        <xdr:cNvPr id="16436" name="图片 52" descr="rId26"/>
        <xdr:cNvPicPr>
          <a:picLocks noChangeAspect="1" noChangeArrowheads="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1933575" y="44415075"/>
          <a:ext cx="695325"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990600</xdr:colOff>
      <xdr:row>74</xdr:row>
      <xdr:rowOff>200025</xdr:rowOff>
    </xdr:from>
    <xdr:to>
      <xdr:col>2</xdr:col>
      <xdr:colOff>1971675</xdr:colOff>
      <xdr:row>74</xdr:row>
      <xdr:rowOff>962025</xdr:rowOff>
    </xdr:to>
    <xdr:pic>
      <xdr:nvPicPr>
        <xdr:cNvPr id="16437" name="图片 53" descr="rId27"/>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2019300" y="54663975"/>
          <a:ext cx="981075"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695325</xdr:colOff>
      <xdr:row>82</xdr:row>
      <xdr:rowOff>295275</xdr:rowOff>
    </xdr:from>
    <xdr:to>
      <xdr:col>2</xdr:col>
      <xdr:colOff>1590675</xdr:colOff>
      <xdr:row>82</xdr:row>
      <xdr:rowOff>838200</xdr:rowOff>
    </xdr:to>
    <xdr:pic>
      <xdr:nvPicPr>
        <xdr:cNvPr id="16439" name="图片 55" descr="C:\Users\112902810\AppData\Roaming\Tencent\Users\359698207\QQ\WinTemp\RichOle\J)FW858)`K]9HIB@S%M0AVU.png"/>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1724025" y="62179200"/>
          <a:ext cx="8953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962025</xdr:colOff>
      <xdr:row>22</xdr:row>
      <xdr:rowOff>333375</xdr:rowOff>
    </xdr:from>
    <xdr:to>
      <xdr:col>2</xdr:col>
      <xdr:colOff>1495425</xdr:colOff>
      <xdr:row>22</xdr:row>
      <xdr:rowOff>819150</xdr:rowOff>
    </xdr:to>
    <xdr:pic>
      <xdr:nvPicPr>
        <xdr:cNvPr id="16441" name="图片 57" descr="rId29"/>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1990725" y="13001625"/>
          <a:ext cx="53340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885825</xdr:colOff>
      <xdr:row>68</xdr:row>
      <xdr:rowOff>361950</xdr:rowOff>
    </xdr:from>
    <xdr:to>
      <xdr:col>2</xdr:col>
      <xdr:colOff>1504950</xdr:colOff>
      <xdr:row>68</xdr:row>
      <xdr:rowOff>1009650</xdr:rowOff>
    </xdr:to>
    <xdr:pic>
      <xdr:nvPicPr>
        <xdr:cNvPr id="16442" name="图片 29" descr="rId10"/>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914525" y="48491775"/>
          <a:ext cx="619125"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771525</xdr:colOff>
      <xdr:row>67</xdr:row>
      <xdr:rowOff>304800</xdr:rowOff>
    </xdr:from>
    <xdr:to>
      <xdr:col>2</xdr:col>
      <xdr:colOff>1552575</xdr:colOff>
      <xdr:row>67</xdr:row>
      <xdr:rowOff>1000125</xdr:rowOff>
    </xdr:to>
    <xdr:pic>
      <xdr:nvPicPr>
        <xdr:cNvPr id="16443" name="图片 59" descr="rId30"/>
        <xdr:cNvPicPr>
          <a:picLocks noChangeAspect="1" noChangeArrowheads="1"/>
        </xdr:cNvPicPr>
      </xdr:nvPicPr>
      <xdr:blipFill>
        <a:blip xmlns:r="http://schemas.openxmlformats.org/officeDocument/2006/relationships" r:embed="rId31" cstate="print">
          <a:extLst>
            <a:ext uri="{28A0092B-C50C-407E-A947-70E740481C1C}">
              <a14:useLocalDpi xmlns:a14="http://schemas.microsoft.com/office/drawing/2010/main" val="0"/>
            </a:ext>
          </a:extLst>
        </a:blip>
        <a:srcRect/>
        <a:stretch>
          <a:fillRect/>
        </a:stretch>
      </xdr:blipFill>
      <xdr:spPr bwMode="auto">
        <a:xfrm>
          <a:off x="1800225" y="47424975"/>
          <a:ext cx="781050"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695325</xdr:colOff>
      <xdr:row>87</xdr:row>
      <xdr:rowOff>323850</xdr:rowOff>
    </xdr:from>
    <xdr:to>
      <xdr:col>2</xdr:col>
      <xdr:colOff>1800225</xdr:colOff>
      <xdr:row>87</xdr:row>
      <xdr:rowOff>1133475</xdr:rowOff>
    </xdr:to>
    <xdr:pic>
      <xdr:nvPicPr>
        <xdr:cNvPr id="16448" name="图片 64" descr="rId31"/>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724025" y="67770375"/>
          <a:ext cx="11049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847725</xdr:colOff>
      <xdr:row>52</xdr:row>
      <xdr:rowOff>342900</xdr:rowOff>
    </xdr:from>
    <xdr:to>
      <xdr:col>2</xdr:col>
      <xdr:colOff>1524000</xdr:colOff>
      <xdr:row>52</xdr:row>
      <xdr:rowOff>1066800</xdr:rowOff>
    </xdr:to>
    <xdr:pic>
      <xdr:nvPicPr>
        <xdr:cNvPr id="16450" name="图片 66" descr="rId32"/>
        <xdr:cNvPicPr>
          <a:picLocks noChangeAspect="1" noChangeArrowheads="1"/>
        </xdr:cNvPicPr>
      </xdr:nvPicPr>
      <xdr:blipFill>
        <a:blip xmlns:r="http://schemas.openxmlformats.org/officeDocument/2006/relationships" r:embed="rId33" cstate="print">
          <a:extLst>
            <a:ext uri="{28A0092B-C50C-407E-A947-70E740481C1C}">
              <a14:useLocalDpi xmlns:a14="http://schemas.microsoft.com/office/drawing/2010/main" val="0"/>
            </a:ext>
          </a:extLst>
        </a:blip>
        <a:srcRect/>
        <a:stretch>
          <a:fillRect/>
        </a:stretch>
      </xdr:blipFill>
      <xdr:spPr bwMode="auto">
        <a:xfrm>
          <a:off x="1876425" y="34642425"/>
          <a:ext cx="6762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866775</xdr:colOff>
      <xdr:row>87</xdr:row>
      <xdr:rowOff>371475</xdr:rowOff>
    </xdr:from>
    <xdr:to>
      <xdr:col>2</xdr:col>
      <xdr:colOff>876300</xdr:colOff>
      <xdr:row>88</xdr:row>
      <xdr:rowOff>19050</xdr:rowOff>
    </xdr:to>
    <xdr:pic>
      <xdr:nvPicPr>
        <xdr:cNvPr id="16438" name="图片 54" descr="rId33"/>
        <xdr:cNvPicPr>
          <a:picLocks noChangeAspect="1" noChangeArrowheads="1"/>
        </xdr:cNvPicPr>
      </xdr:nvPicPr>
      <xdr:blipFill>
        <a:blip xmlns:r="http://schemas.openxmlformats.org/officeDocument/2006/relationships" r:embed="rId34" cstate="print">
          <a:extLst>
            <a:ext uri="{28A0092B-C50C-407E-A947-70E740481C1C}">
              <a14:useLocalDpi xmlns:a14="http://schemas.microsoft.com/office/drawing/2010/main" val="0"/>
            </a:ext>
          </a:extLst>
        </a:blip>
        <a:srcRect/>
        <a:stretch>
          <a:fillRect/>
        </a:stretch>
      </xdr:blipFill>
      <xdr:spPr bwMode="auto">
        <a:xfrm>
          <a:off x="1895475" y="67818000"/>
          <a:ext cx="952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771525</xdr:colOff>
      <xdr:row>83</xdr:row>
      <xdr:rowOff>342900</xdr:rowOff>
    </xdr:from>
    <xdr:to>
      <xdr:col>2</xdr:col>
      <xdr:colOff>1428750</xdr:colOff>
      <xdr:row>83</xdr:row>
      <xdr:rowOff>1009650</xdr:rowOff>
    </xdr:to>
    <xdr:pic>
      <xdr:nvPicPr>
        <xdr:cNvPr id="16440" name="图片 56" descr="rId33"/>
        <xdr:cNvPicPr>
          <a:picLocks noChangeAspect="1" noChangeArrowheads="1"/>
        </xdr:cNvPicPr>
      </xdr:nvPicPr>
      <xdr:blipFill>
        <a:blip xmlns:r="http://schemas.openxmlformats.org/officeDocument/2006/relationships" r:embed="rId35" cstate="print">
          <a:extLst>
            <a:ext uri="{28A0092B-C50C-407E-A947-70E740481C1C}">
              <a14:useLocalDpi xmlns:a14="http://schemas.microsoft.com/office/drawing/2010/main" val="0"/>
            </a:ext>
          </a:extLst>
        </a:blip>
        <a:srcRect/>
        <a:stretch>
          <a:fillRect/>
        </a:stretch>
      </xdr:blipFill>
      <xdr:spPr bwMode="auto">
        <a:xfrm>
          <a:off x="1800225" y="63112650"/>
          <a:ext cx="657225"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819150</xdr:colOff>
      <xdr:row>88</xdr:row>
      <xdr:rowOff>323850</xdr:rowOff>
    </xdr:from>
    <xdr:to>
      <xdr:col>2</xdr:col>
      <xdr:colOff>1438275</xdr:colOff>
      <xdr:row>88</xdr:row>
      <xdr:rowOff>971550</xdr:rowOff>
    </xdr:to>
    <xdr:pic>
      <xdr:nvPicPr>
        <xdr:cNvPr id="16444" name="图片 60" descr="rId34"/>
        <xdr:cNvPicPr>
          <a:picLocks noChangeAspect="1" noChangeArrowheads="1"/>
        </xdr:cNvPicPr>
      </xdr:nvPicPr>
      <xdr:blipFill>
        <a:blip xmlns:r="http://schemas.openxmlformats.org/officeDocument/2006/relationships" r:embed="rId36" cstate="print">
          <a:extLst>
            <a:ext uri="{28A0092B-C50C-407E-A947-70E740481C1C}">
              <a14:useLocalDpi xmlns:a14="http://schemas.microsoft.com/office/drawing/2010/main" val="0"/>
            </a:ext>
          </a:extLst>
        </a:blip>
        <a:srcRect/>
        <a:stretch>
          <a:fillRect/>
        </a:stretch>
      </xdr:blipFill>
      <xdr:spPr bwMode="auto">
        <a:xfrm>
          <a:off x="1847850" y="68941950"/>
          <a:ext cx="619125"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733425</xdr:colOff>
      <xdr:row>94</xdr:row>
      <xdr:rowOff>352425</xdr:rowOff>
    </xdr:from>
    <xdr:to>
      <xdr:col>2</xdr:col>
      <xdr:colOff>1476375</xdr:colOff>
      <xdr:row>94</xdr:row>
      <xdr:rowOff>1104900</xdr:rowOff>
    </xdr:to>
    <xdr:pic>
      <xdr:nvPicPr>
        <xdr:cNvPr id="16446" name="图片 62" descr="rId35"/>
        <xdr:cNvPicPr>
          <a:picLocks noChangeAspect="1" noChangeArrowheads="1"/>
        </xdr:cNvPicPr>
      </xdr:nvPicPr>
      <xdr:blipFill>
        <a:blip xmlns:r="http://schemas.openxmlformats.org/officeDocument/2006/relationships" r:embed="rId37" cstate="print">
          <a:extLst>
            <a:ext uri="{28A0092B-C50C-407E-A947-70E740481C1C}">
              <a14:useLocalDpi xmlns:a14="http://schemas.microsoft.com/office/drawing/2010/main" val="0"/>
            </a:ext>
          </a:extLst>
        </a:blip>
        <a:srcRect/>
        <a:stretch>
          <a:fillRect/>
        </a:stretch>
      </xdr:blipFill>
      <xdr:spPr bwMode="auto">
        <a:xfrm>
          <a:off x="1762125" y="75190350"/>
          <a:ext cx="742950"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552450</xdr:colOff>
      <xdr:row>59</xdr:row>
      <xdr:rowOff>304800</xdr:rowOff>
    </xdr:from>
    <xdr:to>
      <xdr:col>2</xdr:col>
      <xdr:colOff>561975</xdr:colOff>
      <xdr:row>60</xdr:row>
      <xdr:rowOff>142875</xdr:rowOff>
    </xdr:to>
    <xdr:pic>
      <xdr:nvPicPr>
        <xdr:cNvPr id="16447" name="图片 63" descr="rId36"/>
        <xdr:cNvPicPr>
          <a:picLocks noChangeAspect="1" noChangeArrowheads="1"/>
        </xdr:cNvPicPr>
      </xdr:nvPicPr>
      <xdr:blipFill>
        <a:blip xmlns:r="http://schemas.openxmlformats.org/officeDocument/2006/relationships" r:embed="rId38" cstate="print">
          <a:extLst>
            <a:ext uri="{28A0092B-C50C-407E-A947-70E740481C1C}">
              <a14:useLocalDpi xmlns:a14="http://schemas.microsoft.com/office/drawing/2010/main" val="0"/>
            </a:ext>
          </a:extLst>
        </a:blip>
        <a:srcRect/>
        <a:stretch>
          <a:fillRect/>
        </a:stretch>
      </xdr:blipFill>
      <xdr:spPr bwMode="auto">
        <a:xfrm>
          <a:off x="1581150" y="41509950"/>
          <a:ext cx="95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838200</xdr:colOff>
      <xdr:row>60</xdr:row>
      <xdr:rowOff>0</xdr:rowOff>
    </xdr:from>
    <xdr:to>
      <xdr:col>2</xdr:col>
      <xdr:colOff>847725</xdr:colOff>
      <xdr:row>60</xdr:row>
      <xdr:rowOff>142875</xdr:rowOff>
    </xdr:to>
    <xdr:pic>
      <xdr:nvPicPr>
        <xdr:cNvPr id="16451" name="图片 67" descr="rId37"/>
        <xdr:cNvPicPr>
          <a:picLocks noChangeAspect="1" noChangeArrowheads="1"/>
        </xdr:cNvPicPr>
      </xdr:nvPicPr>
      <xdr:blipFill>
        <a:blip xmlns:r="http://schemas.openxmlformats.org/officeDocument/2006/relationships" r:embed="rId39" cstate="print">
          <a:extLst>
            <a:ext uri="{28A0092B-C50C-407E-A947-70E740481C1C}">
              <a14:useLocalDpi xmlns:a14="http://schemas.microsoft.com/office/drawing/2010/main" val="0"/>
            </a:ext>
          </a:extLst>
        </a:blip>
        <a:srcRect/>
        <a:stretch>
          <a:fillRect/>
        </a:stretch>
      </xdr:blipFill>
      <xdr:spPr bwMode="auto">
        <a:xfrm>
          <a:off x="1866900" y="42024300"/>
          <a:ext cx="9525"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609600</xdr:colOff>
      <xdr:row>59</xdr:row>
      <xdr:rowOff>342900</xdr:rowOff>
    </xdr:from>
    <xdr:to>
      <xdr:col>2</xdr:col>
      <xdr:colOff>1543050</xdr:colOff>
      <xdr:row>59</xdr:row>
      <xdr:rowOff>790575</xdr:rowOff>
    </xdr:to>
    <xdr:pic>
      <xdr:nvPicPr>
        <xdr:cNvPr id="16452" name="图片 68" descr="rId36"/>
        <xdr:cNvPicPr>
          <a:picLocks noChangeAspect="1" noChangeArrowheads="1"/>
        </xdr:cNvPicPr>
      </xdr:nvPicPr>
      <xdr:blipFill>
        <a:blip xmlns:r="http://schemas.openxmlformats.org/officeDocument/2006/relationships" r:embed="rId40" cstate="print">
          <a:extLst>
            <a:ext uri="{28A0092B-C50C-407E-A947-70E740481C1C}">
              <a14:useLocalDpi xmlns:a14="http://schemas.microsoft.com/office/drawing/2010/main" val="0"/>
            </a:ext>
          </a:extLst>
        </a:blip>
        <a:srcRect/>
        <a:stretch>
          <a:fillRect/>
        </a:stretch>
      </xdr:blipFill>
      <xdr:spPr bwMode="auto">
        <a:xfrm>
          <a:off x="1638300" y="41548050"/>
          <a:ext cx="93345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533400</xdr:colOff>
      <xdr:row>51</xdr:row>
      <xdr:rowOff>323850</xdr:rowOff>
    </xdr:from>
    <xdr:to>
      <xdr:col>2</xdr:col>
      <xdr:colOff>1743075</xdr:colOff>
      <xdr:row>51</xdr:row>
      <xdr:rowOff>933450</xdr:rowOff>
    </xdr:to>
    <xdr:pic>
      <xdr:nvPicPr>
        <xdr:cNvPr id="16454" name="图片 70" descr="rId38"/>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1562100" y="33670875"/>
          <a:ext cx="120967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695325</xdr:colOff>
      <xdr:row>71</xdr:row>
      <xdr:rowOff>323850</xdr:rowOff>
    </xdr:from>
    <xdr:to>
      <xdr:col>2</xdr:col>
      <xdr:colOff>1438275</xdr:colOff>
      <xdr:row>71</xdr:row>
      <xdr:rowOff>857250</xdr:rowOff>
    </xdr:to>
    <xdr:pic>
      <xdr:nvPicPr>
        <xdr:cNvPr id="16456" name="图片 72" descr="rId39"/>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1724025" y="51482625"/>
          <a:ext cx="74295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504825</xdr:colOff>
      <xdr:row>92</xdr:row>
      <xdr:rowOff>314325</xdr:rowOff>
    </xdr:from>
    <xdr:to>
      <xdr:col>2</xdr:col>
      <xdr:colOff>1381125</xdr:colOff>
      <xdr:row>92</xdr:row>
      <xdr:rowOff>828675</xdr:rowOff>
    </xdr:to>
    <xdr:pic>
      <xdr:nvPicPr>
        <xdr:cNvPr id="16458" name="图片 74" descr="rId40"/>
        <xdr:cNvPicPr>
          <a:picLocks noChangeAspect="1" noChangeArrowheads="1"/>
        </xdr:cNvPicPr>
      </xdr:nvPicPr>
      <xdr:blipFill>
        <a:blip xmlns:r="http://schemas.openxmlformats.org/officeDocument/2006/relationships" r:embed="rId43" cstate="print">
          <a:extLst>
            <a:ext uri="{28A0092B-C50C-407E-A947-70E740481C1C}">
              <a14:useLocalDpi xmlns:a14="http://schemas.microsoft.com/office/drawing/2010/main" val="0"/>
            </a:ext>
          </a:extLst>
        </a:blip>
        <a:srcRect/>
        <a:stretch>
          <a:fillRect/>
        </a:stretch>
      </xdr:blipFill>
      <xdr:spPr bwMode="auto">
        <a:xfrm>
          <a:off x="1533525" y="73256775"/>
          <a:ext cx="876300"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552450</xdr:colOff>
      <xdr:row>57</xdr:row>
      <xdr:rowOff>304800</xdr:rowOff>
    </xdr:from>
    <xdr:to>
      <xdr:col>2</xdr:col>
      <xdr:colOff>561975</xdr:colOff>
      <xdr:row>58</xdr:row>
      <xdr:rowOff>142875</xdr:rowOff>
    </xdr:to>
    <xdr:pic>
      <xdr:nvPicPr>
        <xdr:cNvPr id="16460" name="图片 76" descr="rId36"/>
        <xdr:cNvPicPr>
          <a:picLocks noChangeAspect="1" noChangeArrowheads="1"/>
        </xdr:cNvPicPr>
      </xdr:nvPicPr>
      <xdr:blipFill>
        <a:blip xmlns:r="http://schemas.openxmlformats.org/officeDocument/2006/relationships" r:embed="rId38" cstate="print">
          <a:extLst>
            <a:ext uri="{28A0092B-C50C-407E-A947-70E740481C1C}">
              <a14:useLocalDpi xmlns:a14="http://schemas.microsoft.com/office/drawing/2010/main" val="0"/>
            </a:ext>
          </a:extLst>
        </a:blip>
        <a:srcRect/>
        <a:stretch>
          <a:fillRect/>
        </a:stretch>
      </xdr:blipFill>
      <xdr:spPr bwMode="auto">
        <a:xfrm>
          <a:off x="1581150" y="39871650"/>
          <a:ext cx="95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838200</xdr:colOff>
      <xdr:row>58</xdr:row>
      <xdr:rowOff>333375</xdr:rowOff>
    </xdr:from>
    <xdr:to>
      <xdr:col>2</xdr:col>
      <xdr:colOff>847725</xdr:colOff>
      <xdr:row>58</xdr:row>
      <xdr:rowOff>476250</xdr:rowOff>
    </xdr:to>
    <xdr:pic>
      <xdr:nvPicPr>
        <xdr:cNvPr id="16462" name="图片 78" descr="rId37"/>
        <xdr:cNvPicPr>
          <a:picLocks noChangeAspect="1" noChangeArrowheads="1"/>
        </xdr:cNvPicPr>
      </xdr:nvPicPr>
      <xdr:blipFill>
        <a:blip xmlns:r="http://schemas.openxmlformats.org/officeDocument/2006/relationships" r:embed="rId39" cstate="print">
          <a:extLst>
            <a:ext uri="{28A0092B-C50C-407E-A947-70E740481C1C}">
              <a14:useLocalDpi xmlns:a14="http://schemas.microsoft.com/office/drawing/2010/main" val="0"/>
            </a:ext>
          </a:extLst>
        </a:blip>
        <a:srcRect/>
        <a:stretch>
          <a:fillRect/>
        </a:stretch>
      </xdr:blipFill>
      <xdr:spPr bwMode="auto">
        <a:xfrm>
          <a:off x="1866900" y="40719375"/>
          <a:ext cx="9525"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847725</xdr:colOff>
      <xdr:row>58</xdr:row>
      <xdr:rowOff>304800</xdr:rowOff>
    </xdr:from>
    <xdr:to>
      <xdr:col>2</xdr:col>
      <xdr:colOff>1371600</xdr:colOff>
      <xdr:row>58</xdr:row>
      <xdr:rowOff>771525</xdr:rowOff>
    </xdr:to>
    <xdr:pic>
      <xdr:nvPicPr>
        <xdr:cNvPr id="16463" name="图片 79" descr="rId37"/>
        <xdr:cNvPicPr>
          <a:picLocks noChangeAspect="1" noChangeArrowheads="1"/>
        </xdr:cNvPicPr>
      </xdr:nvPicPr>
      <xdr:blipFill>
        <a:blip xmlns:r="http://schemas.openxmlformats.org/officeDocument/2006/relationships" r:embed="rId44" cstate="print">
          <a:extLst>
            <a:ext uri="{28A0092B-C50C-407E-A947-70E740481C1C}">
              <a14:useLocalDpi xmlns:a14="http://schemas.microsoft.com/office/drawing/2010/main" val="0"/>
            </a:ext>
          </a:extLst>
        </a:blip>
        <a:srcRect/>
        <a:stretch>
          <a:fillRect/>
        </a:stretch>
      </xdr:blipFill>
      <xdr:spPr bwMode="auto">
        <a:xfrm>
          <a:off x="1876425" y="40690800"/>
          <a:ext cx="52387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971550</xdr:colOff>
      <xdr:row>21</xdr:row>
      <xdr:rowOff>0</xdr:rowOff>
    </xdr:from>
    <xdr:to>
      <xdr:col>2</xdr:col>
      <xdr:colOff>981075</xdr:colOff>
      <xdr:row>21</xdr:row>
      <xdr:rowOff>9525</xdr:rowOff>
    </xdr:to>
    <xdr:pic>
      <xdr:nvPicPr>
        <xdr:cNvPr id="17423" name="图片 15" descr="rId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52650" y="1193482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1285875</xdr:colOff>
      <xdr:row>21</xdr:row>
      <xdr:rowOff>0</xdr:rowOff>
    </xdr:from>
    <xdr:to>
      <xdr:col>2</xdr:col>
      <xdr:colOff>1295400</xdr:colOff>
      <xdr:row>21</xdr:row>
      <xdr:rowOff>9525</xdr:rowOff>
    </xdr:to>
    <xdr:pic>
      <xdr:nvPicPr>
        <xdr:cNvPr id="17424" name="图片 16" descr="rId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6975" y="1193482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6</xdr:row>
      <xdr:rowOff>952500</xdr:rowOff>
    </xdr:from>
    <xdr:to>
      <xdr:col>2</xdr:col>
      <xdr:colOff>600075</xdr:colOff>
      <xdr:row>6</xdr:row>
      <xdr:rowOff>962025</xdr:rowOff>
    </xdr:to>
    <xdr:pic>
      <xdr:nvPicPr>
        <xdr:cNvPr id="17426" name="图片 18" descr="rId3"/>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57300" y="2600325"/>
          <a:ext cx="5238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1209675</xdr:colOff>
      <xdr:row>20</xdr:row>
      <xdr:rowOff>171450</xdr:rowOff>
    </xdr:from>
    <xdr:to>
      <xdr:col>2</xdr:col>
      <xdr:colOff>1219200</xdr:colOff>
      <xdr:row>20</xdr:row>
      <xdr:rowOff>180975</xdr:rowOff>
    </xdr:to>
    <xdr:pic>
      <xdr:nvPicPr>
        <xdr:cNvPr id="17427" name="图片 19" descr="rId4"/>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90775" y="1115377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1104900</xdr:colOff>
      <xdr:row>20</xdr:row>
      <xdr:rowOff>0</xdr:rowOff>
    </xdr:from>
    <xdr:to>
      <xdr:col>2</xdr:col>
      <xdr:colOff>1114425</xdr:colOff>
      <xdr:row>20</xdr:row>
      <xdr:rowOff>9525</xdr:rowOff>
    </xdr:to>
    <xdr:pic>
      <xdr:nvPicPr>
        <xdr:cNvPr id="17428" name="图片 20" descr="rId5"/>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286000" y="1098232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1323975</xdr:colOff>
      <xdr:row>19</xdr:row>
      <xdr:rowOff>209550</xdr:rowOff>
    </xdr:from>
    <xdr:to>
      <xdr:col>2</xdr:col>
      <xdr:colOff>1333500</xdr:colOff>
      <xdr:row>19</xdr:row>
      <xdr:rowOff>219075</xdr:rowOff>
    </xdr:to>
    <xdr:pic>
      <xdr:nvPicPr>
        <xdr:cNvPr id="17429" name="图片 21" descr="rId6"/>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505075" y="1033462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1314450</xdr:colOff>
      <xdr:row>14</xdr:row>
      <xdr:rowOff>361950</xdr:rowOff>
    </xdr:from>
    <xdr:to>
      <xdr:col>2</xdr:col>
      <xdr:colOff>1323975</xdr:colOff>
      <xdr:row>14</xdr:row>
      <xdr:rowOff>371475</xdr:rowOff>
    </xdr:to>
    <xdr:pic>
      <xdr:nvPicPr>
        <xdr:cNvPr id="17430" name="图片 22" descr="rId7"/>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495550" y="605790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1466850</xdr:colOff>
      <xdr:row>6</xdr:row>
      <xdr:rowOff>0</xdr:rowOff>
    </xdr:from>
    <xdr:to>
      <xdr:col>2</xdr:col>
      <xdr:colOff>1476375</xdr:colOff>
      <xdr:row>6</xdr:row>
      <xdr:rowOff>9525</xdr:rowOff>
    </xdr:to>
    <xdr:pic>
      <xdr:nvPicPr>
        <xdr:cNvPr id="17433" name="图片 25" descr="rId8"/>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647950" y="164782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1600200</xdr:colOff>
      <xdr:row>6</xdr:row>
      <xdr:rowOff>0</xdr:rowOff>
    </xdr:from>
    <xdr:to>
      <xdr:col>2</xdr:col>
      <xdr:colOff>1609725</xdr:colOff>
      <xdr:row>6</xdr:row>
      <xdr:rowOff>9525</xdr:rowOff>
    </xdr:to>
    <xdr:pic>
      <xdr:nvPicPr>
        <xdr:cNvPr id="17434" name="图片 26" descr="rId9"/>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81300" y="164782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619125</xdr:colOff>
      <xdr:row>6</xdr:row>
      <xdr:rowOff>809625</xdr:rowOff>
    </xdr:from>
    <xdr:to>
      <xdr:col>2</xdr:col>
      <xdr:colOff>2152650</xdr:colOff>
      <xdr:row>6</xdr:row>
      <xdr:rowOff>1447800</xdr:rowOff>
    </xdr:to>
    <xdr:pic>
      <xdr:nvPicPr>
        <xdr:cNvPr id="17409" name="图片 1" descr="rId10"/>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800225" y="2457450"/>
          <a:ext cx="153352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1914525</xdr:colOff>
      <xdr:row>14</xdr:row>
      <xdr:rowOff>323850</xdr:rowOff>
    </xdr:from>
    <xdr:to>
      <xdr:col>2</xdr:col>
      <xdr:colOff>2409825</xdr:colOff>
      <xdr:row>14</xdr:row>
      <xdr:rowOff>847725</xdr:rowOff>
    </xdr:to>
    <xdr:pic>
      <xdr:nvPicPr>
        <xdr:cNvPr id="17410" name="图片 2" descr="rId11"/>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3095625" y="6019800"/>
          <a:ext cx="495300"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1866900</xdr:colOff>
      <xdr:row>19</xdr:row>
      <xdr:rowOff>200025</xdr:rowOff>
    </xdr:from>
    <xdr:to>
      <xdr:col>2</xdr:col>
      <xdr:colOff>2409825</xdr:colOff>
      <xdr:row>19</xdr:row>
      <xdr:rowOff>695325</xdr:rowOff>
    </xdr:to>
    <xdr:pic>
      <xdr:nvPicPr>
        <xdr:cNvPr id="17411" name="图片 3" descr="rId12"/>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3048000" y="10325100"/>
          <a:ext cx="5429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1952625</xdr:colOff>
      <xdr:row>15</xdr:row>
      <xdr:rowOff>266700</xdr:rowOff>
    </xdr:from>
    <xdr:to>
      <xdr:col>2</xdr:col>
      <xdr:colOff>2514600</xdr:colOff>
      <xdr:row>15</xdr:row>
      <xdr:rowOff>847725</xdr:rowOff>
    </xdr:to>
    <xdr:pic>
      <xdr:nvPicPr>
        <xdr:cNvPr id="17412" name="图片 4" descr="rId13"/>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3133725" y="6848475"/>
          <a:ext cx="561975"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1638300</xdr:colOff>
      <xdr:row>20</xdr:row>
      <xdr:rowOff>295275</xdr:rowOff>
    </xdr:from>
    <xdr:to>
      <xdr:col>2</xdr:col>
      <xdr:colOff>2247900</xdr:colOff>
      <xdr:row>20</xdr:row>
      <xdr:rowOff>771525</xdr:rowOff>
    </xdr:to>
    <xdr:pic>
      <xdr:nvPicPr>
        <xdr:cNvPr id="17414" name="图片 6" descr="rId1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19400" y="11277600"/>
          <a:ext cx="60960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1228725</xdr:colOff>
      <xdr:row>16</xdr:row>
      <xdr:rowOff>152400</xdr:rowOff>
    </xdr:from>
    <xdr:to>
      <xdr:col>2</xdr:col>
      <xdr:colOff>2009775</xdr:colOff>
      <xdr:row>16</xdr:row>
      <xdr:rowOff>838200</xdr:rowOff>
    </xdr:to>
    <xdr:pic>
      <xdr:nvPicPr>
        <xdr:cNvPr id="17425" name="图片 17" descr="rId15"/>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409825" y="7620000"/>
          <a:ext cx="78105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1219200</xdr:colOff>
      <xdr:row>17</xdr:row>
      <xdr:rowOff>171450</xdr:rowOff>
    </xdr:from>
    <xdr:to>
      <xdr:col>2</xdr:col>
      <xdr:colOff>1876425</xdr:colOff>
      <xdr:row>17</xdr:row>
      <xdr:rowOff>809625</xdr:rowOff>
    </xdr:to>
    <xdr:pic>
      <xdr:nvPicPr>
        <xdr:cNvPr id="17432" name="图片 24" descr="rId16"/>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2400300" y="8524875"/>
          <a:ext cx="65722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1247775</xdr:colOff>
      <xdr:row>18</xdr:row>
      <xdr:rowOff>295275</xdr:rowOff>
    </xdr:from>
    <xdr:to>
      <xdr:col>2</xdr:col>
      <xdr:colOff>1581150</xdr:colOff>
      <xdr:row>18</xdr:row>
      <xdr:rowOff>828675</xdr:rowOff>
    </xdr:to>
    <xdr:pic>
      <xdr:nvPicPr>
        <xdr:cNvPr id="17436" name="图片 28" descr="rId17"/>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2428875" y="9534525"/>
          <a:ext cx="33337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g1a81.mail.126.com/a/s?func=mbox:2007.1&#26376;&#36890;&#35759;&#2440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2007&#24180;\&#37329;&#30887;&#33457;&#22253;\&#31532;&#19977;&#37329;&#30887;&#33457;&#22253;64-65&#21495;&#27004;&#39318;&#23618;&#32905;&#33756;&#24066;&#22330;&#35013;&#20462;&#24037;&#31243;\&#23567;&#38889;\&#32599;&#39532;&#23478;&#22253;D1~D3&#2663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tg6a47.mail.163.com/2007&#24180;/&#37329;&#30887;&#33457;&#22253;/&#31532;&#19977;&#37329;&#30887;&#33457;&#22253;64-65&#21495;&#27004;&#39318;&#23618;&#32905;&#33756;&#24066;&#22330;&#35013;&#20462;&#24037;&#31243;/&#23567;&#38889;/&#32599;&#39532;&#23478;&#22253;D1~D3&#2663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2007&#24180;/&#37329;&#30887;&#33457;&#22253;/&#31532;&#19977;&#37329;&#30887;&#33457;&#22253;64-65&#21495;&#27004;&#39318;&#23618;&#32905;&#33756;&#24066;&#22330;&#35013;&#20462;&#24037;&#31243;/&#23567;&#38889;/&#32599;&#39532;&#23478;&#22253;D1~D3&#2663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6.12 (2)"/>
      <sheetName val="2006.12"/>
      <sheetName val="2006年10月"/>
      <sheetName val="Sheet1"/>
      <sheetName val="室内汇总"/>
      <sheetName val="材料单价表"/>
      <sheetName val="甲供材料清单"/>
      <sheetName val="大堂（新1000标）"/>
      <sheetName val="水晶灯"/>
      <sheetName val="Financ. Overview"/>
      <sheetName val="Toolbox"/>
      <sheetName val="220m2"/>
      <sheetName val="建筑面积 "/>
      <sheetName val="Mp-team 1"/>
      <sheetName val="基础项目"/>
      <sheetName val="成本报表（入库）"/>
      <sheetName val="Sheet3"/>
      <sheetName val="基础数据"/>
      <sheetName val="主要材料价格表 （对照）FINAL (2)"/>
      <sheetName val="首层大堂"/>
      <sheetName val="套内部分"/>
      <sheetName val="单位库"/>
      <sheetName val="#REF!"/>
      <sheetName val="General"/>
      <sheetName val="Wl. Fin."/>
      <sheetName val="柱计算"/>
      <sheetName val="给排水管道"/>
      <sheetName val="5期B栋会所装饰精装修"/>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外墙装饰线"/>
      <sheetName val="外墙面砖"/>
      <sheetName val="外墙喷涂"/>
      <sheetName val="外墙装饰"/>
      <sheetName val="表格"/>
      <sheetName val="室内装饰"/>
      <sheetName val="室内汇总"/>
      <sheetName val="甲供清单"/>
      <sheetName val="单位库"/>
      <sheetName val="2006年10月"/>
      <sheetName val="POWER ASSUMPTIONS"/>
      <sheetName val="大堂"/>
      <sheetName val="甲供清单 (新)"/>
      <sheetName val="Main"/>
      <sheetName val="Open"/>
      <sheetName val="电梯间"/>
      <sheetName val="G.1R-Shou COP Gf"/>
      <sheetName val="Mp-team 1"/>
      <sheetName val="材料表"/>
      <sheetName val="算分表"/>
      <sheetName val="墙面工程"/>
      <sheetName val="基础项目"/>
      <sheetName val="eqpmad2"/>
      <sheetName val="15-16-PC-1"/>
      <sheetName val="Toolbox"/>
      <sheetName val="SW-TEO"/>
      <sheetName val="27大类汇总表"/>
      <sheetName val="名称"/>
      <sheetName val="甲供材"/>
      <sheetName val="内围地梁钢筋说明"/>
    </sheetNames>
    <sheetDataSet>
      <sheetData sheetId="0" refreshError="1"/>
      <sheetData sheetId="1" refreshError="1"/>
      <sheetData sheetId="2" refreshError="1"/>
      <sheetData sheetId="3" refreshError="1"/>
      <sheetData sheetId="4" refreshError="1"/>
      <sheetData sheetId="5" refreshError="1"/>
      <sheetData sheetId="6" refreshError="1">
        <row r="4">
          <cell r="B4" t="str">
            <v>A</v>
          </cell>
          <cell r="C4" t="str">
            <v>复合实木地板</v>
          </cell>
        </row>
        <row r="5">
          <cell r="B5" t="str">
            <v>B</v>
          </cell>
          <cell r="C5" t="str">
            <v>800*800抛光砖</v>
          </cell>
        </row>
        <row r="6">
          <cell r="B6" t="str">
            <v>C</v>
          </cell>
          <cell r="C6" t="str">
            <v>500*500抛光砖</v>
          </cell>
        </row>
        <row r="7">
          <cell r="B7" t="str">
            <v>D</v>
          </cell>
          <cell r="C7" t="str">
            <v>300*300仿古砖</v>
          </cell>
        </row>
        <row r="8">
          <cell r="B8" t="str">
            <v>E</v>
          </cell>
          <cell r="C8" t="str">
            <v>500*500仿古砖</v>
          </cell>
        </row>
        <row r="9">
          <cell r="B9" t="str">
            <v>H</v>
          </cell>
          <cell r="C9" t="str">
            <v>西班牙米黄</v>
          </cell>
        </row>
        <row r="10">
          <cell r="B10" t="str">
            <v>K</v>
          </cell>
          <cell r="C10" t="str">
            <v>啡网</v>
          </cell>
        </row>
        <row r="11">
          <cell r="B11" t="str">
            <v>N</v>
          </cell>
          <cell r="C11" t="str">
            <v>300*300马赛克防滑砖</v>
          </cell>
        </row>
        <row r="14">
          <cell r="B14" t="str">
            <v>C</v>
          </cell>
          <cell r="C14" t="str">
            <v>100宽条型铝扣天花</v>
          </cell>
        </row>
        <row r="15">
          <cell r="B15" t="str">
            <v>A</v>
          </cell>
          <cell r="C15" t="str">
            <v>原天花油白色ICI</v>
          </cell>
        </row>
        <row r="16">
          <cell r="B16" t="str">
            <v>G</v>
          </cell>
          <cell r="C16" t="str">
            <v>600*600方型铝扣天花(改为200宽)</v>
          </cell>
        </row>
        <row r="17">
          <cell r="B17" t="str">
            <v>B</v>
          </cell>
          <cell r="C17" t="str">
            <v>100高石膏角线油白色ICI(用于房及厅)</v>
          </cell>
        </row>
        <row r="18">
          <cell r="B18" t="str">
            <v>D</v>
          </cell>
          <cell r="C18" t="str">
            <v>50高原木线油白色防水漆(用于厨房和洗手间)</v>
          </cell>
        </row>
        <row r="19">
          <cell r="B19" t="str">
            <v>E</v>
          </cell>
          <cell r="C19" t="str">
            <v>夹板吊顶天花</v>
          </cell>
        </row>
        <row r="20">
          <cell r="B20" t="str">
            <v>F</v>
          </cell>
          <cell r="C20" t="str">
            <v>硅酸钙板油白色外墙漆吊顶天花</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外墙装饰线"/>
      <sheetName val="外墙面砖"/>
      <sheetName val="外墙喷涂"/>
      <sheetName val="外墙装饰"/>
      <sheetName val="表格"/>
      <sheetName val="室内装饰"/>
      <sheetName val="室内汇总"/>
      <sheetName val="水晶灯"/>
      <sheetName val="外墙"/>
      <sheetName val="2006年10月"/>
      <sheetName val="甲供材料清单"/>
      <sheetName val="F列"/>
    </sheetNames>
    <sheetDataSet>
      <sheetData sheetId="0" refreshError="1"/>
      <sheetData sheetId="1" refreshError="1"/>
      <sheetData sheetId="2" refreshError="1"/>
      <sheetData sheetId="3" refreshError="1"/>
      <sheetData sheetId="4" refreshError="1"/>
      <sheetData sheetId="5" refreshError="1"/>
      <sheetData sheetId="6" refreshError="1">
        <row r="4">
          <cell r="B4" t="str">
            <v>A</v>
          </cell>
          <cell r="C4" t="str">
            <v>复合实木地板</v>
          </cell>
        </row>
        <row r="5">
          <cell r="B5" t="str">
            <v>B</v>
          </cell>
          <cell r="C5" t="str">
            <v>800*800抛光砖</v>
          </cell>
        </row>
        <row r="6">
          <cell r="B6" t="str">
            <v>C</v>
          </cell>
          <cell r="C6" t="str">
            <v>500*500抛光砖</v>
          </cell>
        </row>
        <row r="7">
          <cell r="B7" t="str">
            <v>D</v>
          </cell>
          <cell r="C7" t="str">
            <v>300*300仿古砖</v>
          </cell>
        </row>
        <row r="8">
          <cell r="B8" t="str">
            <v>E</v>
          </cell>
          <cell r="C8" t="str">
            <v>500*500仿古砖</v>
          </cell>
        </row>
        <row r="9">
          <cell r="B9" t="str">
            <v>H</v>
          </cell>
          <cell r="C9" t="str">
            <v>西班牙米黄</v>
          </cell>
        </row>
        <row r="10">
          <cell r="B10" t="str">
            <v>K</v>
          </cell>
          <cell r="C10" t="str">
            <v>啡网</v>
          </cell>
        </row>
        <row r="11">
          <cell r="B11" t="str">
            <v>N</v>
          </cell>
          <cell r="C11" t="str">
            <v>300*300马赛克防滑砖</v>
          </cell>
        </row>
        <row r="14">
          <cell r="B14" t="str">
            <v>C</v>
          </cell>
          <cell r="C14" t="str">
            <v>100宽条型铝扣天花</v>
          </cell>
        </row>
        <row r="15">
          <cell r="B15" t="str">
            <v>A</v>
          </cell>
          <cell r="C15" t="str">
            <v>原天花油白色ICI</v>
          </cell>
        </row>
        <row r="16">
          <cell r="B16" t="str">
            <v>G</v>
          </cell>
          <cell r="C16" t="str">
            <v>600*600方型铝扣天花(改为200宽)</v>
          </cell>
        </row>
        <row r="17">
          <cell r="B17" t="str">
            <v>B</v>
          </cell>
          <cell r="C17" t="str">
            <v>100高石膏角线油白色ICI(用于房及厅)</v>
          </cell>
        </row>
        <row r="18">
          <cell r="B18" t="str">
            <v>D</v>
          </cell>
          <cell r="C18" t="str">
            <v>50高原木线油白色防水漆(用于厨房和洗手间)</v>
          </cell>
        </row>
        <row r="19">
          <cell r="B19" t="str">
            <v>E</v>
          </cell>
          <cell r="C19" t="str">
            <v>夹板吊顶天花</v>
          </cell>
        </row>
        <row r="20">
          <cell r="B20" t="str">
            <v>F</v>
          </cell>
          <cell r="C20" t="str">
            <v>硅酸钙板油白色外墙漆吊顶天花</v>
          </cell>
        </row>
      </sheetData>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外墙装饰线"/>
      <sheetName val="外墙面砖"/>
      <sheetName val="外墙喷涂"/>
      <sheetName val="外墙装饰"/>
      <sheetName val="表格"/>
      <sheetName val="室内装饰"/>
      <sheetName val="室内汇总"/>
      <sheetName val="甲供清单"/>
      <sheetName val="单位库"/>
      <sheetName val="2006年10月"/>
      <sheetName val="POWER ASSUMPTIONS"/>
      <sheetName val="大堂"/>
      <sheetName val="甲供清单 (新)"/>
      <sheetName val="Main"/>
      <sheetName val="Open"/>
      <sheetName val="电梯间"/>
      <sheetName val="G.1R-Shou COP Gf"/>
      <sheetName val="Mp-team 1"/>
      <sheetName val="材料表"/>
      <sheetName val="墙面工程"/>
      <sheetName val="eqpmad2"/>
      <sheetName val="算分表"/>
      <sheetName val="基础项目"/>
      <sheetName val="15-16-PC-1"/>
      <sheetName val="Toolbox"/>
      <sheetName val="SW-TEO"/>
      <sheetName val="27大类汇总表"/>
      <sheetName val="名称"/>
      <sheetName val="甲供材"/>
      <sheetName val="内围地梁钢筋说明"/>
      <sheetName val="造价汇总表"/>
      <sheetName val="JOA首頁"/>
      <sheetName val="00000ppy"/>
      <sheetName val="Financ. Overview"/>
      <sheetName val="1"/>
      <sheetName val="材料单价表"/>
      <sheetName val="甲料清单"/>
      <sheetName val="#REF!"/>
      <sheetName val="采购入库序时簿"/>
      <sheetName val="工程量"/>
      <sheetName val="硬景"/>
    </sheetNames>
    <sheetDataSet>
      <sheetData sheetId="0" refreshError="1"/>
      <sheetData sheetId="1" refreshError="1"/>
      <sheetData sheetId="2" refreshError="1"/>
      <sheetData sheetId="3" refreshError="1"/>
      <sheetData sheetId="4" refreshError="1"/>
      <sheetData sheetId="5" refreshError="1"/>
      <sheetData sheetId="6" refreshError="1">
        <row r="4">
          <cell r="B4" t="str">
            <v>A</v>
          </cell>
          <cell r="C4" t="str">
            <v>复合实木地板</v>
          </cell>
        </row>
        <row r="5">
          <cell r="B5" t="str">
            <v>B</v>
          </cell>
          <cell r="C5" t="str">
            <v>800*800抛光砖</v>
          </cell>
        </row>
        <row r="6">
          <cell r="B6" t="str">
            <v>C</v>
          </cell>
          <cell r="C6" t="str">
            <v>500*500抛光砖</v>
          </cell>
        </row>
        <row r="7">
          <cell r="B7" t="str">
            <v>D</v>
          </cell>
          <cell r="C7" t="str">
            <v>300*300仿古砖</v>
          </cell>
        </row>
        <row r="8">
          <cell r="B8" t="str">
            <v>E</v>
          </cell>
          <cell r="C8" t="str">
            <v>500*500仿古砖</v>
          </cell>
        </row>
        <row r="9">
          <cell r="B9" t="str">
            <v>H</v>
          </cell>
          <cell r="C9" t="str">
            <v>西班牙米黄</v>
          </cell>
        </row>
        <row r="10">
          <cell r="B10" t="str">
            <v>K</v>
          </cell>
          <cell r="C10" t="str">
            <v>啡网</v>
          </cell>
        </row>
        <row r="11">
          <cell r="B11" t="str">
            <v>N</v>
          </cell>
          <cell r="C11" t="str">
            <v>300*300马赛克防滑砖</v>
          </cell>
        </row>
        <row r="14">
          <cell r="B14" t="str">
            <v>C</v>
          </cell>
          <cell r="C14" t="str">
            <v>100宽条型铝扣天花</v>
          </cell>
        </row>
        <row r="15">
          <cell r="B15" t="str">
            <v>A</v>
          </cell>
          <cell r="C15" t="str">
            <v>原天花油白色ICI</v>
          </cell>
        </row>
        <row r="16">
          <cell r="B16" t="str">
            <v>G</v>
          </cell>
          <cell r="C16" t="str">
            <v>600*600方型铝扣天花(改为200宽)</v>
          </cell>
        </row>
        <row r="17">
          <cell r="B17" t="str">
            <v>B</v>
          </cell>
          <cell r="C17" t="str">
            <v>100高石膏角线油白色ICI(用于房及厅)</v>
          </cell>
        </row>
        <row r="18">
          <cell r="B18" t="str">
            <v>D</v>
          </cell>
          <cell r="C18" t="str">
            <v>50高原木线油白色防水漆(用于厨房和洗手间)</v>
          </cell>
        </row>
        <row r="19">
          <cell r="B19" t="str">
            <v>E</v>
          </cell>
          <cell r="C19" t="str">
            <v>夹板吊顶天花</v>
          </cell>
        </row>
        <row r="20">
          <cell r="B20" t="str">
            <v>F</v>
          </cell>
          <cell r="C20" t="str">
            <v>硅酸钙板油白色外墙漆吊顶天花</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100000">
              <a:srgbClr val="9CBEE0"/>
            </a:gs>
            <a:gs pos="0">
              <a:srgbClr val="BBD5F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ColWidth="9" defaultRowHeight="14.25"/>
  <sheetData/>
  <phoneticPr fontId="7" type="noConversion"/>
  <pageMargins left="0.69930555555555596" right="0.69930555555555596" top="0.75" bottom="0.75" header="0.3" footer="0.3"/>
  <pageSetup paperSize="9"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55"/>
  <sheetViews>
    <sheetView topLeftCell="A4" zoomScale="115" zoomScaleNormal="115" workbookViewId="0">
      <selection activeCell="B21" sqref="B21:M21"/>
    </sheetView>
  </sheetViews>
  <sheetFormatPr defaultColWidth="9.125" defaultRowHeight="14.25"/>
  <cols>
    <col min="1" max="1" width="3.625" customWidth="1"/>
  </cols>
  <sheetData>
    <row r="1" spans="1:19" ht="39.75" customHeight="1">
      <c r="B1" s="829" t="s">
        <v>0</v>
      </c>
      <c r="C1" s="829"/>
      <c r="D1" s="829"/>
      <c r="E1" s="829"/>
      <c r="F1" s="829"/>
      <c r="G1" s="829"/>
      <c r="H1" s="829"/>
      <c r="I1" s="829"/>
      <c r="J1" s="829"/>
      <c r="K1" s="829"/>
      <c r="L1" s="829"/>
      <c r="M1" s="829"/>
      <c r="N1" s="829"/>
    </row>
    <row r="2" spans="1:19" ht="18.75" customHeight="1">
      <c r="B2" s="830" t="s">
        <v>1</v>
      </c>
      <c r="C2" s="830"/>
      <c r="D2" s="830"/>
      <c r="E2" s="830"/>
      <c r="F2" s="378"/>
      <c r="G2" s="378"/>
      <c r="H2" s="378"/>
      <c r="I2" s="378"/>
      <c r="J2" s="378"/>
      <c r="K2" s="378"/>
      <c r="L2" s="378"/>
      <c r="M2" s="378"/>
      <c r="N2" s="378"/>
    </row>
    <row r="3" spans="1:19" ht="18.75" customHeight="1">
      <c r="B3" s="830" t="s">
        <v>2</v>
      </c>
      <c r="C3" s="830"/>
      <c r="D3" s="830"/>
      <c r="E3" s="830"/>
      <c r="F3" s="830"/>
      <c r="G3" s="830"/>
      <c r="H3" s="830"/>
      <c r="I3" s="830"/>
      <c r="J3" s="830"/>
      <c r="K3" s="830"/>
      <c r="L3" s="830"/>
      <c r="M3" s="830"/>
      <c r="N3" s="830"/>
      <c r="O3" s="830"/>
      <c r="P3" s="830"/>
      <c r="Q3" s="830"/>
      <c r="R3" s="830"/>
      <c r="S3" s="830"/>
    </row>
    <row r="4" spans="1:19" ht="25.5" customHeight="1">
      <c r="A4" s="379"/>
      <c r="B4" s="379" t="s">
        <v>3</v>
      </c>
    </row>
    <row r="5" spans="1:19" ht="18" customHeight="1">
      <c r="B5" s="2" t="s">
        <v>4</v>
      </c>
    </row>
    <row r="6" spans="1:19" ht="18" customHeight="1">
      <c r="B6" s="2" t="s">
        <v>5</v>
      </c>
    </row>
    <row r="7" spans="1:19" ht="18" customHeight="1">
      <c r="B7" s="2" t="s">
        <v>6</v>
      </c>
    </row>
    <row r="8" spans="1:19" ht="19.5" customHeight="1">
      <c r="B8" s="2" t="s">
        <v>7</v>
      </c>
    </row>
    <row r="9" spans="1:19" ht="19.5" customHeight="1">
      <c r="B9" s="2" t="s">
        <v>8</v>
      </c>
    </row>
    <row r="10" spans="1:19" ht="21.75" customHeight="1">
      <c r="B10" s="380" t="s">
        <v>9</v>
      </c>
      <c r="C10" s="380"/>
      <c r="D10" s="380"/>
      <c r="E10" s="380"/>
      <c r="F10" s="380"/>
    </row>
    <row r="11" spans="1:19" ht="22.5" customHeight="1">
      <c r="A11" s="381" t="s">
        <v>10</v>
      </c>
      <c r="B11" s="381" t="s">
        <v>11</v>
      </c>
    </row>
    <row r="12" spans="1:19" ht="18" customHeight="1">
      <c r="B12" s="2" t="s">
        <v>12</v>
      </c>
    </row>
    <row r="13" spans="1:19" ht="20.25" customHeight="1">
      <c r="A13" s="381" t="s">
        <v>13</v>
      </c>
      <c r="B13" s="381" t="s">
        <v>14</v>
      </c>
    </row>
    <row r="14" spans="1:19" ht="23.25" customHeight="1">
      <c r="A14" s="2">
        <v>1</v>
      </c>
      <c r="B14" s="2" t="s">
        <v>15</v>
      </c>
    </row>
    <row r="15" spans="1:19" ht="18.75" customHeight="1">
      <c r="A15" s="2">
        <v>2</v>
      </c>
      <c r="B15" s="2" t="s">
        <v>16</v>
      </c>
    </row>
    <row r="16" spans="1:19" ht="19.5" customHeight="1">
      <c r="A16" s="381" t="s">
        <v>17</v>
      </c>
      <c r="B16" s="381" t="s">
        <v>18</v>
      </c>
    </row>
    <row r="17" spans="1:22" ht="19.5" customHeight="1">
      <c r="A17" s="2">
        <v>1</v>
      </c>
      <c r="B17" s="2" t="s">
        <v>19</v>
      </c>
    </row>
    <row r="18" spans="1:22" ht="18" customHeight="1">
      <c r="A18" s="2">
        <v>2</v>
      </c>
      <c r="B18" s="2" t="s">
        <v>20</v>
      </c>
    </row>
    <row r="19" spans="1:22" ht="21.75" customHeight="1">
      <c r="A19" s="381" t="s">
        <v>21</v>
      </c>
      <c r="B19" s="381" t="s">
        <v>22</v>
      </c>
    </row>
    <row r="20" spans="1:22" ht="21" customHeight="1">
      <c r="A20" s="2">
        <v>1</v>
      </c>
      <c r="B20" s="2" t="s">
        <v>23</v>
      </c>
    </row>
    <row r="21" spans="1:22" ht="21" customHeight="1">
      <c r="A21" s="2">
        <v>2</v>
      </c>
      <c r="B21" s="2" t="s">
        <v>24</v>
      </c>
    </row>
    <row r="22" spans="1:22" ht="21" customHeight="1">
      <c r="A22" s="2">
        <v>3</v>
      </c>
      <c r="B22" s="2" t="s">
        <v>25</v>
      </c>
    </row>
    <row r="23" spans="1:22" ht="22.5" customHeight="1">
      <c r="A23" s="2">
        <v>4</v>
      </c>
      <c r="B23" s="2" t="s">
        <v>26</v>
      </c>
    </row>
    <row r="24" spans="1:22" ht="18" customHeight="1">
      <c r="A24" s="381" t="s">
        <v>27</v>
      </c>
      <c r="B24" s="381" t="s">
        <v>28</v>
      </c>
    </row>
    <row r="25" spans="1:22" ht="29.25" customHeight="1">
      <c r="B25" s="382" t="s">
        <v>29</v>
      </c>
      <c r="C25" s="382"/>
      <c r="D25" s="382"/>
      <c r="E25" s="382"/>
      <c r="F25" s="382"/>
      <c r="G25" s="382"/>
      <c r="H25" s="382"/>
      <c r="I25" s="382"/>
      <c r="J25" s="382"/>
      <c r="K25" s="382"/>
      <c r="L25" s="382"/>
      <c r="M25" s="382"/>
      <c r="N25" s="382"/>
      <c r="O25" s="382"/>
      <c r="P25" s="382"/>
      <c r="Q25" s="382"/>
      <c r="R25" s="382"/>
      <c r="S25" s="382"/>
      <c r="T25" s="382"/>
      <c r="U25" s="382"/>
      <c r="V25" s="382"/>
    </row>
    <row r="26" spans="1:22" ht="25.5" customHeight="1">
      <c r="B26" s="380" t="s">
        <v>30</v>
      </c>
    </row>
    <row r="27" spans="1:22" ht="22.5" customHeight="1">
      <c r="A27" s="2">
        <v>1</v>
      </c>
      <c r="B27" s="2" t="s">
        <v>31</v>
      </c>
    </row>
    <row r="28" spans="1:22" ht="27" customHeight="1">
      <c r="A28" s="2">
        <v>2</v>
      </c>
      <c r="B28" s="2" t="s">
        <v>32</v>
      </c>
    </row>
    <row r="29" spans="1:22" ht="21" customHeight="1">
      <c r="A29" s="2">
        <v>3</v>
      </c>
      <c r="B29" s="2" t="s">
        <v>33</v>
      </c>
    </row>
    <row r="30" spans="1:22" ht="24" customHeight="1">
      <c r="A30" s="2">
        <v>4</v>
      </c>
      <c r="B30" s="2" t="s">
        <v>34</v>
      </c>
    </row>
    <row r="32" spans="1:22">
      <c r="A32" s="383"/>
      <c r="B32" s="383" t="s">
        <v>35</v>
      </c>
      <c r="C32" s="383"/>
      <c r="D32" s="383"/>
      <c r="E32" s="383"/>
      <c r="F32" s="383"/>
      <c r="G32" s="383"/>
      <c r="H32" s="383"/>
      <c r="I32" s="383"/>
      <c r="J32" s="383"/>
    </row>
    <row r="33" spans="1:10">
      <c r="A33" s="383" t="s">
        <v>36</v>
      </c>
      <c r="B33" s="383" t="s">
        <v>37</v>
      </c>
      <c r="C33" s="383"/>
      <c r="D33" s="383"/>
      <c r="E33" s="383"/>
      <c r="F33" s="383"/>
      <c r="G33" s="383"/>
      <c r="H33" s="383"/>
      <c r="I33" s="383"/>
      <c r="J33" s="383"/>
    </row>
    <row r="34" spans="1:10">
      <c r="A34" s="383"/>
      <c r="B34" s="383"/>
      <c r="C34" s="383"/>
      <c r="D34" s="383"/>
      <c r="E34" s="383"/>
      <c r="F34" s="383"/>
      <c r="G34" s="383"/>
      <c r="H34" s="383"/>
      <c r="I34" s="383"/>
      <c r="J34" s="383"/>
    </row>
    <row r="35" spans="1:10">
      <c r="A35" s="383"/>
      <c r="B35" s="383"/>
      <c r="C35" s="383"/>
      <c r="D35" s="383"/>
      <c r="E35" s="383"/>
      <c r="F35" s="383"/>
      <c r="G35" s="383"/>
      <c r="H35" s="383"/>
      <c r="I35" s="383"/>
      <c r="J35" s="383"/>
    </row>
    <row r="36" spans="1:10">
      <c r="A36" s="383"/>
      <c r="B36" s="383"/>
      <c r="C36" s="383"/>
      <c r="D36" s="383"/>
      <c r="E36" s="383"/>
      <c r="F36" s="383"/>
      <c r="G36" s="383"/>
      <c r="H36" s="383"/>
      <c r="I36" s="383"/>
      <c r="J36" s="383"/>
    </row>
    <row r="37" spans="1:10">
      <c r="A37" s="383"/>
      <c r="B37" s="383"/>
      <c r="C37" s="383"/>
      <c r="D37" s="383"/>
      <c r="E37" s="383"/>
      <c r="F37" s="383"/>
      <c r="G37" s="383"/>
      <c r="H37" s="383"/>
      <c r="I37" s="383"/>
      <c r="J37" s="383"/>
    </row>
    <row r="38" spans="1:10">
      <c r="A38" s="383"/>
      <c r="B38" s="383"/>
      <c r="C38" s="383"/>
      <c r="D38" s="383"/>
      <c r="E38" s="383"/>
      <c r="F38" s="383"/>
      <c r="G38" s="383"/>
      <c r="H38" s="383"/>
      <c r="I38" s="383"/>
      <c r="J38" s="383"/>
    </row>
    <row r="39" spans="1:10">
      <c r="A39" s="383"/>
      <c r="B39" s="383"/>
      <c r="C39" s="383"/>
      <c r="D39" s="383"/>
      <c r="E39" s="383"/>
      <c r="F39" s="383"/>
      <c r="G39" s="383"/>
      <c r="H39" s="383"/>
      <c r="I39" s="383"/>
      <c r="J39" s="383"/>
    </row>
    <row r="40" spans="1:10">
      <c r="A40" s="383"/>
      <c r="B40" s="383"/>
      <c r="C40" s="383"/>
      <c r="D40" s="383"/>
      <c r="E40" s="383"/>
      <c r="F40" s="383"/>
      <c r="G40" s="383"/>
      <c r="H40" s="383"/>
      <c r="I40" s="383"/>
      <c r="J40" s="383"/>
    </row>
    <row r="41" spans="1:10">
      <c r="A41" s="383"/>
      <c r="B41" s="383"/>
      <c r="C41" s="383"/>
      <c r="D41" s="383"/>
      <c r="E41" s="383"/>
      <c r="F41" s="383"/>
      <c r="G41" s="383"/>
      <c r="H41" s="383"/>
      <c r="I41" s="383"/>
      <c r="J41" s="383"/>
    </row>
    <row r="42" spans="1:10">
      <c r="A42" s="383"/>
      <c r="B42" s="383"/>
      <c r="C42" s="383"/>
      <c r="D42" s="383"/>
      <c r="E42" s="383"/>
      <c r="F42" s="383"/>
      <c r="G42" s="383"/>
      <c r="H42" s="383"/>
      <c r="I42" s="383"/>
      <c r="J42" s="383"/>
    </row>
    <row r="43" spans="1:10">
      <c r="A43" s="383"/>
      <c r="B43" s="383"/>
      <c r="C43" s="383"/>
      <c r="D43" s="383"/>
      <c r="E43" s="383"/>
      <c r="F43" s="383"/>
      <c r="G43" s="383"/>
      <c r="H43" s="383"/>
      <c r="I43" s="383"/>
      <c r="J43" s="383"/>
    </row>
    <row r="44" spans="1:10">
      <c r="A44" s="383"/>
      <c r="B44" s="383"/>
      <c r="C44" s="383"/>
      <c r="D44" s="383"/>
      <c r="E44" s="383"/>
      <c r="F44" s="383"/>
      <c r="G44" s="383"/>
      <c r="H44" s="383"/>
      <c r="I44" s="383"/>
      <c r="J44" s="383"/>
    </row>
    <row r="45" spans="1:10">
      <c r="A45" s="383"/>
      <c r="B45" s="383"/>
      <c r="C45" s="383"/>
      <c r="D45" s="383"/>
      <c r="E45" s="383"/>
      <c r="F45" s="383"/>
      <c r="G45" s="383"/>
      <c r="H45" s="383"/>
      <c r="I45" s="383"/>
      <c r="J45" s="383"/>
    </row>
    <row r="46" spans="1:10">
      <c r="A46" s="383"/>
      <c r="B46" s="383"/>
      <c r="C46" s="383"/>
      <c r="D46" s="383"/>
      <c r="E46" s="383"/>
      <c r="F46" s="383"/>
      <c r="G46" s="383"/>
      <c r="H46" s="383"/>
      <c r="I46" s="383"/>
      <c r="J46" s="383"/>
    </row>
    <row r="47" spans="1:10">
      <c r="A47" s="383"/>
      <c r="B47" s="383"/>
      <c r="C47" s="383"/>
      <c r="D47" s="383"/>
      <c r="E47" s="383"/>
      <c r="F47" s="383"/>
      <c r="G47" s="383"/>
      <c r="H47" s="383"/>
      <c r="I47" s="383"/>
      <c r="J47" s="383"/>
    </row>
    <row r="48" spans="1:10">
      <c r="A48" s="383"/>
      <c r="B48" s="383"/>
      <c r="C48" s="383"/>
      <c r="D48" s="383"/>
      <c r="E48" s="383"/>
      <c r="F48" s="383"/>
      <c r="G48" s="383"/>
      <c r="H48" s="383"/>
      <c r="I48" s="383"/>
      <c r="J48" s="383"/>
    </row>
    <row r="49" spans="1:10">
      <c r="A49" s="383" t="s">
        <v>38</v>
      </c>
      <c r="B49" s="383" t="s">
        <v>39</v>
      </c>
      <c r="C49" s="383"/>
      <c r="D49" s="383"/>
      <c r="E49" s="383"/>
      <c r="F49" s="383"/>
      <c r="G49" s="383"/>
      <c r="H49" s="383"/>
      <c r="I49" s="383"/>
      <c r="J49" s="383"/>
    </row>
    <row r="50" spans="1:10">
      <c r="A50" s="383"/>
      <c r="B50" s="383" t="s">
        <v>40</v>
      </c>
      <c r="C50" s="383" t="s">
        <v>41</v>
      </c>
      <c r="D50" s="383"/>
      <c r="E50" s="383"/>
      <c r="F50" s="383"/>
      <c r="G50" s="383"/>
      <c r="H50" s="383"/>
      <c r="I50" s="383"/>
      <c r="J50" s="383"/>
    </row>
    <row r="51" spans="1:10">
      <c r="A51" s="383"/>
      <c r="B51" s="383" t="s">
        <v>42</v>
      </c>
      <c r="C51" s="383" t="s">
        <v>43</v>
      </c>
      <c r="D51" s="383" t="s">
        <v>44</v>
      </c>
      <c r="E51" s="383" t="s">
        <v>45</v>
      </c>
      <c r="F51" s="383"/>
      <c r="G51" s="383" t="s">
        <v>46</v>
      </c>
      <c r="H51" s="383"/>
      <c r="I51" s="383"/>
      <c r="J51" s="383"/>
    </row>
    <row r="52" spans="1:10">
      <c r="A52" s="383"/>
      <c r="B52" s="383" t="s">
        <v>47</v>
      </c>
      <c r="C52" s="383" t="s">
        <v>48</v>
      </c>
      <c r="D52" s="383"/>
      <c r="E52" s="383"/>
      <c r="F52" s="383"/>
      <c r="G52" s="383" t="s">
        <v>49</v>
      </c>
      <c r="H52" s="383"/>
      <c r="I52" s="383"/>
      <c r="J52" s="383"/>
    </row>
    <row r="53" spans="1:10">
      <c r="A53" s="383"/>
      <c r="B53" s="383" t="s">
        <v>50</v>
      </c>
      <c r="C53" s="383" t="s">
        <v>51</v>
      </c>
      <c r="D53" s="383"/>
      <c r="E53" s="383"/>
      <c r="F53" s="383"/>
      <c r="G53" s="383"/>
      <c r="H53" s="383"/>
      <c r="I53" s="383"/>
      <c r="J53" s="383"/>
    </row>
    <row r="54" spans="1:10" ht="20.25" customHeight="1">
      <c r="A54" s="383" t="s">
        <v>52</v>
      </c>
      <c r="B54" s="383" t="s">
        <v>53</v>
      </c>
      <c r="C54" s="383"/>
      <c r="D54" s="383"/>
      <c r="E54" s="383"/>
      <c r="F54" s="383"/>
      <c r="G54" s="383"/>
      <c r="H54" s="383"/>
      <c r="I54" s="383"/>
      <c r="J54" s="383"/>
    </row>
    <row r="55" spans="1:10">
      <c r="A55" s="383"/>
      <c r="B55" s="383"/>
      <c r="C55" s="383"/>
      <c r="D55" s="383"/>
      <c r="E55" s="383"/>
      <c r="F55" s="383"/>
      <c r="G55" s="383"/>
      <c r="H55" s="383"/>
      <c r="I55" s="383"/>
      <c r="J55" s="383"/>
    </row>
  </sheetData>
  <mergeCells count="3">
    <mergeCell ref="B1:N1"/>
    <mergeCell ref="B2:E2"/>
    <mergeCell ref="B3:S3"/>
  </mergeCells>
  <phoneticPr fontId="7" type="noConversion"/>
  <pageMargins left="0.69930555555555596" right="0.69930555555555596" top="0.75" bottom="0.75" header="0.3" footer="0.3"/>
  <pageSetup paperSize="9" orientation="portrait" horizontalDpi="300" verticalDpi="300"/>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0"/>
  </sheetPr>
  <dimension ref="A1:H15"/>
  <sheetViews>
    <sheetView view="pageBreakPreview" zoomScaleNormal="100" zoomScaleSheetLayoutView="100" workbookViewId="0">
      <selection activeCell="F7" sqref="F7"/>
    </sheetView>
  </sheetViews>
  <sheetFormatPr defaultColWidth="9.125" defaultRowHeight="12"/>
  <cols>
    <col min="1" max="1" width="6.25" style="401" bestFit="1" customWidth="1"/>
    <col min="2" max="2" width="37.875" style="401" customWidth="1"/>
    <col min="3" max="3" width="21.25" style="401" customWidth="1"/>
    <col min="4" max="4" width="31.375" style="401" customWidth="1"/>
    <col min="5" max="5" width="22.375" style="401" customWidth="1"/>
    <col min="6" max="6" width="16.875" style="401" customWidth="1"/>
    <col min="7" max="16384" width="9.125" style="401"/>
  </cols>
  <sheetData>
    <row r="1" spans="1:8" ht="18.75" customHeight="1">
      <c r="A1" s="831" t="s">
        <v>40</v>
      </c>
      <c r="B1" s="831"/>
    </row>
    <row r="2" spans="1:8" ht="67.5" customHeight="1">
      <c r="A2" s="832" t="s">
        <v>1909</v>
      </c>
      <c r="B2" s="832"/>
      <c r="C2" s="832"/>
      <c r="D2" s="832"/>
      <c r="F2" s="558"/>
    </row>
    <row r="3" spans="1:8" s="553" customFormat="1" ht="27.75" customHeight="1">
      <c r="A3" s="578" t="s">
        <v>54</v>
      </c>
      <c r="B3" s="578" t="s">
        <v>55</v>
      </c>
      <c r="C3" s="579" t="s">
        <v>56</v>
      </c>
      <c r="D3" s="578" t="s">
        <v>57</v>
      </c>
    </row>
    <row r="4" spans="1:8" ht="27.75" customHeight="1">
      <c r="A4" s="578" t="s">
        <v>58</v>
      </c>
      <c r="B4" s="580" t="s">
        <v>59</v>
      </c>
      <c r="C4" s="581" t="e">
        <f>'附件3-1汇总表'!F16</f>
        <v>#VALUE!</v>
      </c>
      <c r="D4" s="562"/>
      <c r="E4" s="563"/>
      <c r="F4" s="554"/>
      <c r="G4" s="555"/>
      <c r="H4" s="555"/>
    </row>
    <row r="5" spans="1:8" ht="27.75" customHeight="1">
      <c r="A5" s="578"/>
      <c r="B5" s="562"/>
      <c r="C5" s="581"/>
      <c r="D5" s="562"/>
      <c r="F5" s="554"/>
      <c r="G5" s="555"/>
      <c r="H5" s="555"/>
    </row>
    <row r="6" spans="1:8" ht="27.75" customHeight="1">
      <c r="A6" s="578" t="s">
        <v>60</v>
      </c>
      <c r="B6" s="580" t="s">
        <v>61</v>
      </c>
      <c r="C6" s="581">
        <v>14184260.062015384</v>
      </c>
      <c r="D6" s="562"/>
      <c r="E6" s="563"/>
      <c r="F6" s="554"/>
      <c r="G6" s="555"/>
      <c r="H6" s="555"/>
    </row>
    <row r="7" spans="1:8" ht="27.75" customHeight="1">
      <c r="A7" s="578"/>
      <c r="B7" s="562"/>
      <c r="C7" s="581"/>
      <c r="D7" s="562"/>
      <c r="F7" s="554"/>
      <c r="G7" s="555"/>
      <c r="H7" s="555"/>
    </row>
    <row r="8" spans="1:8" ht="27.75" customHeight="1">
      <c r="A8" s="578" t="s">
        <v>62</v>
      </c>
      <c r="B8" s="580" t="s">
        <v>63</v>
      </c>
      <c r="C8" s="581">
        <v>236552.152755366</v>
      </c>
      <c r="D8" s="562"/>
      <c r="E8" s="563"/>
      <c r="F8" s="554"/>
      <c r="G8" s="555"/>
      <c r="H8" s="555"/>
    </row>
    <row r="9" spans="1:8" ht="27.75" customHeight="1">
      <c r="A9" s="562"/>
      <c r="B9" s="562"/>
      <c r="C9" s="582"/>
      <c r="D9" s="562"/>
      <c r="F9" s="554"/>
      <c r="G9" s="555"/>
      <c r="H9" s="555"/>
    </row>
    <row r="10" spans="1:8" ht="27.75" customHeight="1">
      <c r="A10" s="578" t="s">
        <v>1852</v>
      </c>
      <c r="B10" s="580" t="s">
        <v>1851</v>
      </c>
      <c r="C10" s="581">
        <v>350000</v>
      </c>
      <c r="D10" s="562" t="s">
        <v>1856</v>
      </c>
      <c r="E10" s="563"/>
      <c r="F10" s="554"/>
      <c r="H10" s="555"/>
    </row>
    <row r="11" spans="1:8" ht="27.75" customHeight="1">
      <c r="A11" s="578"/>
      <c r="B11" s="580"/>
      <c r="C11" s="582"/>
      <c r="D11" s="562"/>
      <c r="E11" s="563"/>
      <c r="F11" s="554"/>
      <c r="H11" s="555"/>
    </row>
    <row r="12" spans="1:8" ht="27.75" customHeight="1">
      <c r="A12" s="578" t="s">
        <v>1850</v>
      </c>
      <c r="B12" s="580" t="s">
        <v>1853</v>
      </c>
      <c r="C12" s="582" t="e">
        <f>SUM(C4:C11)</f>
        <v>#VALUE!</v>
      </c>
      <c r="D12" s="562"/>
      <c r="E12" s="563"/>
      <c r="F12" s="554"/>
      <c r="H12" s="555"/>
    </row>
    <row r="13" spans="1:8" ht="27.75" customHeight="1">
      <c r="A13" s="580" t="s">
        <v>65</v>
      </c>
      <c r="B13" s="833" t="e">
        <f>IF(C12=0,"",IF(ABS(C12)&lt;0.995,"",TEXT(INT(ROUND(ABS(C12),2)),"[DBNum2]")&amp;"元")&amp;IF(RIGHT(TEXT(C12,".00"),2)*1=0,IF(ABS(C12)&lt;0.005,"","整"),TEXT(IF(ABS(C12)&lt;0.095,"",LEFT(RIGHT(TEXT(C12,".00"),2))),"[dbnum2]")&amp;IF(LEFT(RIGHT(TEXT(C12,".00"),2))*1=0,"","角")&amp;IF(RIGHT(TEXT(C12,".00"))*1=0,"整",TEXT(RIGHT(TEXT(C12,".00")),"[dbnum2]")&amp;"分")))</f>
        <v>#VALUE!</v>
      </c>
      <c r="C13" s="833"/>
      <c r="D13" s="833"/>
      <c r="F13" s="554"/>
    </row>
    <row r="14" spans="1:8">
      <c r="E14" s="560"/>
    </row>
    <row r="15" spans="1:8">
      <c r="E15" s="561"/>
    </row>
  </sheetData>
  <mergeCells count="3">
    <mergeCell ref="A1:B1"/>
    <mergeCell ref="A2:D2"/>
    <mergeCell ref="B13:D13"/>
  </mergeCells>
  <phoneticPr fontId="7" type="noConversion"/>
  <printOptions horizontalCentered="1"/>
  <pageMargins left="0.39370078740157483" right="0.19685039370078741" top="0.39370078740157483" bottom="0.39370078740157483" header="0.19685039370078741" footer="0.19685039370078741"/>
  <pageSetup paperSize="9" scale="85" orientation="portrait" blackAndWhite="1" r:id="rId1"/>
  <headerFooter alignWithMargins="0">
    <oddFooter>&amp;C第 &amp;P 页，共 &amp;N 页</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37"/>
  <sheetViews>
    <sheetView view="pageBreakPreview" zoomScaleNormal="100" zoomScaleSheetLayoutView="100" workbookViewId="0">
      <selection activeCell="E5" sqref="E5"/>
    </sheetView>
  </sheetViews>
  <sheetFormatPr defaultColWidth="9" defaultRowHeight="14.25"/>
  <cols>
    <col min="1" max="1" width="134.625" style="400" customWidth="1"/>
    <col min="2" max="8" width="9" style="400" customWidth="1"/>
    <col min="9" max="16384" width="9" style="400"/>
  </cols>
  <sheetData>
    <row r="1" spans="1:1">
      <c r="A1" s="373" t="s">
        <v>42</v>
      </c>
    </row>
    <row r="2" spans="1:1" ht="30.75" customHeight="1">
      <c r="A2" s="374" t="s">
        <v>66</v>
      </c>
    </row>
    <row r="3" spans="1:1" ht="30.75" customHeight="1">
      <c r="A3" s="373" t="s">
        <v>67</v>
      </c>
    </row>
    <row r="4" spans="1:1" ht="34.5" customHeight="1">
      <c r="A4" s="373" t="s">
        <v>68</v>
      </c>
    </row>
    <row r="5" spans="1:1" ht="57" customHeight="1">
      <c r="A5" s="373" t="s">
        <v>69</v>
      </c>
    </row>
    <row r="6" spans="1:1" ht="29.25" customHeight="1">
      <c r="A6" s="373" t="s">
        <v>70</v>
      </c>
    </row>
    <row r="7" spans="1:1" ht="28.5" customHeight="1">
      <c r="A7" s="373" t="s">
        <v>71</v>
      </c>
    </row>
    <row r="8" spans="1:1" ht="19.5" customHeight="1">
      <c r="A8" s="373" t="s">
        <v>72</v>
      </c>
    </row>
    <row r="9" spans="1:1" ht="30" customHeight="1">
      <c r="A9" s="373" t="s">
        <v>73</v>
      </c>
    </row>
    <row r="10" spans="1:1" ht="18" customHeight="1">
      <c r="A10" s="373" t="s">
        <v>74</v>
      </c>
    </row>
    <row r="11" spans="1:1" ht="21.75" customHeight="1">
      <c r="A11" s="373" t="s">
        <v>75</v>
      </c>
    </row>
    <row r="12" spans="1:1" ht="21" customHeight="1">
      <c r="A12" s="373" t="s">
        <v>76</v>
      </c>
    </row>
    <row r="13" spans="1:1" ht="22.5" customHeight="1">
      <c r="A13" s="373" t="s">
        <v>77</v>
      </c>
    </row>
    <row r="14" spans="1:1" ht="30" customHeight="1">
      <c r="A14" s="373" t="s">
        <v>78</v>
      </c>
    </row>
    <row r="15" spans="1:1" ht="86.25" customHeight="1">
      <c r="A15" s="373" t="s">
        <v>79</v>
      </c>
    </row>
    <row r="16" spans="1:1" ht="99.75" customHeight="1">
      <c r="A16" s="373" t="s">
        <v>80</v>
      </c>
    </row>
    <row r="17" spans="1:9" ht="32.25" customHeight="1">
      <c r="A17" s="373" t="s">
        <v>1858</v>
      </c>
    </row>
    <row r="18" spans="1:9" ht="20.25" customHeight="1">
      <c r="A18" s="373" t="s">
        <v>81</v>
      </c>
    </row>
    <row r="19" spans="1:9" ht="20.25" customHeight="1">
      <c r="A19" s="373" t="s">
        <v>82</v>
      </c>
    </row>
    <row r="20" spans="1:9" ht="20.25" customHeight="1">
      <c r="A20" s="373" t="s">
        <v>83</v>
      </c>
    </row>
    <row r="21" spans="1:9" ht="20.25" customHeight="1">
      <c r="A21" s="373" t="s">
        <v>84</v>
      </c>
    </row>
    <row r="22" spans="1:9" ht="53.25" customHeight="1">
      <c r="A22" s="375" t="s">
        <v>85</v>
      </c>
      <c r="B22" s="375"/>
      <c r="C22" s="375"/>
      <c r="D22" s="375"/>
      <c r="E22" s="375"/>
      <c r="F22" s="375"/>
      <c r="G22" s="375"/>
      <c r="H22" s="375"/>
      <c r="I22" s="375"/>
    </row>
    <row r="23" spans="1:9" ht="30" customHeight="1">
      <c r="A23" s="373" t="s">
        <v>86</v>
      </c>
    </row>
    <row r="24" spans="1:9" ht="24" customHeight="1">
      <c r="A24" s="373" t="s">
        <v>87</v>
      </c>
    </row>
    <row r="25" spans="1:9" ht="30.75" customHeight="1">
      <c r="A25" s="373" t="s">
        <v>88</v>
      </c>
    </row>
    <row r="26" spans="1:9" ht="51.75" customHeight="1">
      <c r="A26" s="373" t="s">
        <v>89</v>
      </c>
    </row>
    <row r="27" spans="1:9" ht="29.25" customHeight="1">
      <c r="A27" s="373" t="s">
        <v>90</v>
      </c>
    </row>
    <row r="28" spans="1:9" ht="29.25" customHeight="1">
      <c r="A28" s="376" t="s">
        <v>91</v>
      </c>
    </row>
    <row r="29" spans="1:9" ht="21" customHeight="1">
      <c r="A29" s="376" t="s">
        <v>92</v>
      </c>
    </row>
    <row r="30" spans="1:9" ht="53.25" customHeight="1">
      <c r="A30" s="377" t="s">
        <v>93</v>
      </c>
    </row>
    <row r="31" spans="1:9" ht="46.5" customHeight="1">
      <c r="A31" s="377" t="s">
        <v>94</v>
      </c>
    </row>
    <row r="32" spans="1:9" ht="25.5" customHeight="1">
      <c r="A32" s="377" t="s">
        <v>95</v>
      </c>
    </row>
    <row r="33" spans="1:1" ht="23.25" customHeight="1">
      <c r="A33" s="377" t="s">
        <v>96</v>
      </c>
    </row>
    <row r="34" spans="1:1" ht="33" customHeight="1">
      <c r="A34" s="377" t="s">
        <v>97</v>
      </c>
    </row>
    <row r="35" spans="1:1" ht="32.25" customHeight="1">
      <c r="A35" s="377" t="s">
        <v>98</v>
      </c>
    </row>
    <row r="36" spans="1:1" ht="36" customHeight="1">
      <c r="A36" s="377" t="s">
        <v>99</v>
      </c>
    </row>
    <row r="37" spans="1:1">
      <c r="A37" s="377" t="s">
        <v>100</v>
      </c>
    </row>
  </sheetData>
  <phoneticPr fontId="7" type="noConversion"/>
  <printOptions horizontalCentered="1"/>
  <pageMargins left="0.39370078740157483" right="0.19685039370078741" top="0.39370078740157483" bottom="0.39370078740157483" header="0.19685039370078741" footer="0.19685039370078741"/>
  <pageSetup paperSize="9" scale="85" orientation="portrait" blackAndWhite="1" r:id="rId1"/>
  <headerFooter alignWithMargins="0">
    <oddFooter>&amp;C第 &amp;P 页，共 &amp;N 页</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31"/>
  </sheetPr>
  <dimension ref="A1:K22"/>
  <sheetViews>
    <sheetView view="pageBreakPreview" zoomScaleSheetLayoutView="100" workbookViewId="0">
      <selection activeCell="G7" sqref="G7"/>
    </sheetView>
  </sheetViews>
  <sheetFormatPr defaultColWidth="9.125" defaultRowHeight="12"/>
  <cols>
    <col min="1" max="1" width="6.25" style="553" bestFit="1" customWidth="1"/>
    <col min="2" max="2" width="30.75" style="401" customWidth="1"/>
    <col min="3" max="3" width="9" style="401" bestFit="1" customWidth="1"/>
    <col min="4" max="4" width="11.375" style="401" customWidth="1"/>
    <col min="5" max="5" width="10.75" style="401" bestFit="1" customWidth="1"/>
    <col min="6" max="6" width="17.375" style="401" customWidth="1"/>
    <col min="7" max="7" width="14.125" style="401" customWidth="1"/>
    <col min="8" max="8" width="12.25" style="401" customWidth="1"/>
    <col min="9" max="9" width="16.875" style="401" customWidth="1"/>
    <col min="10" max="16384" width="9.125" style="401"/>
  </cols>
  <sheetData>
    <row r="1" spans="1:11" ht="18.75" customHeight="1">
      <c r="A1" s="831" t="s">
        <v>101</v>
      </c>
      <c r="B1" s="831"/>
      <c r="C1" s="556"/>
      <c r="D1" s="557"/>
      <c r="E1" s="557"/>
    </row>
    <row r="2" spans="1:11" ht="57" customHeight="1">
      <c r="A2" s="832" t="s">
        <v>1908</v>
      </c>
      <c r="B2" s="832"/>
      <c r="C2" s="832"/>
      <c r="D2" s="832"/>
      <c r="E2" s="832"/>
      <c r="F2" s="832"/>
      <c r="G2" s="832"/>
      <c r="I2" s="558"/>
    </row>
    <row r="3" spans="1:11" s="553" customFormat="1" ht="30" customHeight="1">
      <c r="A3" s="578" t="s">
        <v>54</v>
      </c>
      <c r="B3" s="578" t="s">
        <v>55</v>
      </c>
      <c r="C3" s="579" t="s">
        <v>102</v>
      </c>
      <c r="D3" s="579" t="s">
        <v>103</v>
      </c>
      <c r="E3" s="579" t="s">
        <v>104</v>
      </c>
      <c r="F3" s="579" t="s">
        <v>56</v>
      </c>
      <c r="G3" s="578" t="s">
        <v>57</v>
      </c>
    </row>
    <row r="4" spans="1:11" ht="21.75" customHeight="1">
      <c r="A4" s="578" t="s">
        <v>58</v>
      </c>
      <c r="B4" s="580" t="s">
        <v>105</v>
      </c>
      <c r="C4" s="562">
        <f>'附件3-2套内汇总表'!F17</f>
        <v>310</v>
      </c>
      <c r="D4" s="581">
        <f>'附件3-2套内汇总表'!J17</f>
        <v>957.21946337051224</v>
      </c>
      <c r="E4" s="581">
        <f>'附件3-2套内汇总表'!H17</f>
        <v>17688.305</v>
      </c>
      <c r="F4" s="581">
        <f>'附件3-2套内汇总表'!K17</f>
        <v>16931589.820033949</v>
      </c>
      <c r="G4" s="562"/>
      <c r="I4" s="554"/>
      <c r="J4" s="555"/>
      <c r="K4" s="555"/>
    </row>
    <row r="5" spans="1:11" ht="21.75" customHeight="1">
      <c r="A5" s="578"/>
      <c r="B5" s="562"/>
      <c r="C5" s="562"/>
      <c r="D5" s="581"/>
      <c r="E5" s="581"/>
      <c r="F5" s="581"/>
      <c r="G5" s="562"/>
      <c r="I5" s="554"/>
      <c r="J5" s="555"/>
      <c r="K5" s="555"/>
    </row>
    <row r="6" spans="1:11" ht="31.5" customHeight="1">
      <c r="A6" s="578" t="s">
        <v>60</v>
      </c>
      <c r="B6" s="580" t="s">
        <v>106</v>
      </c>
      <c r="C6" s="562">
        <f>'附件3-3公共汇总表'!C7</f>
        <v>2</v>
      </c>
      <c r="D6" s="581">
        <f t="shared" ref="D6" si="0">F6/E6</f>
        <v>2153.4379505384932</v>
      </c>
      <c r="E6" s="581">
        <f>'附件3-3公共汇总表'!E5+'附件3-3公共汇总表'!E6</f>
        <v>94.830000000000013</v>
      </c>
      <c r="F6" s="581">
        <f>'附件3-3公共汇总表'!H7</f>
        <v>204210.52084956534</v>
      </c>
      <c r="G6" s="611" t="s">
        <v>107</v>
      </c>
      <c r="I6" s="554"/>
      <c r="J6" s="555"/>
      <c r="K6" s="555"/>
    </row>
    <row r="7" spans="1:11" ht="21.75" customHeight="1">
      <c r="A7" s="578"/>
      <c r="B7" s="562"/>
      <c r="C7" s="562"/>
      <c r="D7" s="581"/>
      <c r="E7" s="581"/>
      <c r="F7" s="581"/>
      <c r="G7" s="562"/>
      <c r="I7" s="554"/>
      <c r="J7" s="555"/>
      <c r="K7" s="555"/>
    </row>
    <row r="8" spans="1:11" ht="29.25" customHeight="1">
      <c r="A8" s="578" t="s">
        <v>62</v>
      </c>
      <c r="B8" s="580" t="s">
        <v>108</v>
      </c>
      <c r="C8" s="562">
        <f>'附件3-3公共汇总表'!C16</f>
        <v>15</v>
      </c>
      <c r="D8" s="581">
        <f>F8/E8</f>
        <v>741.89514332290389</v>
      </c>
      <c r="E8" s="581">
        <f>'附件3-3公共汇总表'!E9+'附件3-3公共汇总表'!E10+'附件3-3公共汇总表'!E11+'附件3-3公共汇总表'!E12+'附件3-3公共汇总表'!E13+'附件3-3公共汇总表'!E14+'附件3-3公共汇总表'!E15</f>
        <v>3202.59</v>
      </c>
      <c r="F8" s="581">
        <f>'附件3-3公共汇总表'!H16</f>
        <v>2375985.9670544988</v>
      </c>
      <c r="G8" s="611" t="s">
        <v>109</v>
      </c>
      <c r="I8" s="554"/>
      <c r="J8" s="555"/>
      <c r="K8" s="555"/>
    </row>
    <row r="9" spans="1:11" ht="21.75" customHeight="1">
      <c r="A9" s="578"/>
      <c r="B9" s="562"/>
      <c r="C9" s="562"/>
      <c r="D9" s="581"/>
      <c r="E9" s="612"/>
      <c r="F9" s="582"/>
      <c r="G9" s="562"/>
      <c r="I9" s="554"/>
      <c r="J9" s="555"/>
      <c r="K9" s="555"/>
    </row>
    <row r="10" spans="1:11" ht="21.75" customHeight="1">
      <c r="A10" s="578" t="s">
        <v>64</v>
      </c>
      <c r="B10" s="580" t="s">
        <v>110</v>
      </c>
      <c r="C10" s="562">
        <f>'附件3-3公共汇总表'!C19</f>
        <v>2</v>
      </c>
      <c r="D10" s="581" t="e">
        <f>F10/E10</f>
        <v>#VALUE!</v>
      </c>
      <c r="E10" s="581">
        <f>'附件3-3公共汇总表'!E18</f>
        <v>123.42</v>
      </c>
      <c r="F10" s="581" t="e">
        <f>'附件3-3公共汇总表'!H19</f>
        <v>#VALUE!</v>
      </c>
      <c r="G10" s="562"/>
      <c r="I10" s="554"/>
      <c r="J10" s="555"/>
      <c r="K10" s="555"/>
    </row>
    <row r="11" spans="1:11" ht="21.75" customHeight="1">
      <c r="A11" s="578"/>
      <c r="B11" s="562"/>
      <c r="C11" s="562"/>
      <c r="D11" s="581"/>
      <c r="E11" s="612"/>
      <c r="F11" s="582"/>
      <c r="G11" s="562"/>
      <c r="I11" s="554"/>
      <c r="J11" s="555"/>
      <c r="K11" s="555"/>
    </row>
    <row r="12" spans="1:11" ht="21.75" customHeight="1">
      <c r="A12" s="578" t="s">
        <v>111</v>
      </c>
      <c r="B12" s="580" t="s">
        <v>112</v>
      </c>
      <c r="C12" s="562">
        <f>'附件3-3公共汇总表'!C22</f>
        <v>15</v>
      </c>
      <c r="D12" s="581">
        <f>F12/E12</f>
        <v>960.42848547969334</v>
      </c>
      <c r="E12" s="528">
        <f>'附件3-3公共汇总表'!E21</f>
        <v>306.75</v>
      </c>
      <c r="F12" s="581">
        <f>'附件3-3公共汇总表'!H22</f>
        <v>294611.43792089593</v>
      </c>
      <c r="G12" s="562"/>
      <c r="I12" s="554"/>
      <c r="J12" s="555"/>
      <c r="K12" s="555"/>
    </row>
    <row r="13" spans="1:11" ht="21.75" customHeight="1">
      <c r="A13" s="578"/>
      <c r="B13" s="580"/>
      <c r="C13" s="562"/>
      <c r="D13" s="581"/>
      <c r="E13" s="612"/>
      <c r="F13" s="581"/>
      <c r="G13" s="562"/>
      <c r="I13" s="554"/>
      <c r="J13" s="555"/>
      <c r="K13" s="555"/>
    </row>
    <row r="14" spans="1:11" ht="21.75" customHeight="1">
      <c r="A14" s="578" t="s">
        <v>113</v>
      </c>
      <c r="B14" s="580" t="s">
        <v>114</v>
      </c>
      <c r="C14" s="562"/>
      <c r="D14" s="581"/>
      <c r="E14" s="581"/>
      <c r="F14" s="581">
        <f>'附件3-3公共汇总表'!H23</f>
        <v>1173401.65097892</v>
      </c>
      <c r="G14" s="562"/>
      <c r="I14" s="554"/>
      <c r="J14" s="555"/>
      <c r="K14" s="555"/>
    </row>
    <row r="15" spans="1:11" ht="21.75" customHeight="1">
      <c r="A15" s="578"/>
      <c r="B15" s="580"/>
      <c r="C15" s="562"/>
      <c r="D15" s="581"/>
      <c r="E15" s="612"/>
      <c r="F15" s="582"/>
      <c r="G15" s="562"/>
      <c r="I15" s="554"/>
      <c r="J15" s="555"/>
      <c r="K15" s="555"/>
    </row>
    <row r="16" spans="1:11" ht="21.75" customHeight="1">
      <c r="A16" s="578" t="s">
        <v>115</v>
      </c>
      <c r="B16" s="580" t="s">
        <v>116</v>
      </c>
      <c r="C16" s="562"/>
      <c r="D16" s="613"/>
      <c r="E16" s="613"/>
      <c r="F16" s="582" t="e">
        <f>SUM(F4:F15)</f>
        <v>#VALUE!</v>
      </c>
      <c r="G16" s="562"/>
      <c r="I16" s="554"/>
      <c r="K16" s="555"/>
    </row>
    <row r="17" spans="1:9" ht="33.75" customHeight="1">
      <c r="A17" s="580" t="s">
        <v>65</v>
      </c>
      <c r="B17" s="833" t="e">
        <f>IF(F16=0,"",IF(ABS(F16)&lt;0.995,"",TEXT(INT(ROUND(ABS(F16),2)),"[DBNum2]")&amp;"元")&amp;IF(RIGHT(TEXT(F16,".00"),2)*1=0,IF(ABS(F16)&lt;0.005,"","整"),TEXT(IF(ABS(F16)&lt;0.095,"",LEFT(RIGHT(TEXT(F16,".00"),2))),"[dbnum2]")&amp;IF(LEFT(RIGHT(TEXT(F16,".00"),2))*1=0,"","角")&amp;IF(RIGHT(TEXT(F16,".00"))*1=0,"整",TEXT(RIGHT(TEXT(F16,".00")),"[dbnum2]")&amp;"分")))</f>
        <v>#VALUE!</v>
      </c>
      <c r="C17" s="833"/>
      <c r="D17" s="833"/>
      <c r="E17" s="833"/>
      <c r="F17" s="833"/>
      <c r="G17" s="833"/>
      <c r="I17" s="554"/>
    </row>
    <row r="19" spans="1:9">
      <c r="F19" s="559"/>
    </row>
    <row r="20" spans="1:9">
      <c r="F20" s="559"/>
      <c r="H20" s="560"/>
    </row>
    <row r="21" spans="1:9">
      <c r="H21" s="560"/>
    </row>
    <row r="22" spans="1:9">
      <c r="H22" s="561"/>
    </row>
  </sheetData>
  <mergeCells count="3">
    <mergeCell ref="A1:B1"/>
    <mergeCell ref="A2:G2"/>
    <mergeCell ref="B17:G17"/>
  </mergeCells>
  <phoneticPr fontId="7" type="noConversion"/>
  <printOptions horizontalCentered="1"/>
  <pageMargins left="0.39370078740157483" right="0.19685039370078741" top="0.39370078740157483" bottom="0.39370078740157483" header="0.19685039370078741" footer="0.19685039370078741"/>
  <pageSetup paperSize="9" scale="85" firstPageNumber="4294963191" orientation="portrait" blackAndWhite="1" r:id="rId1"/>
  <headerFooter alignWithMargins="0">
    <oddFooter>&amp;C第 &amp;P 页，共 &amp;N 页</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31"/>
  </sheetPr>
  <dimension ref="A1:V33"/>
  <sheetViews>
    <sheetView view="pageBreakPreview" zoomScaleSheetLayoutView="100" workbookViewId="0">
      <pane ySplit="3" topLeftCell="A4" activePane="bottomLeft" state="frozen"/>
      <selection activeCell="G13" sqref="G13"/>
      <selection pane="bottomLeft" activeCell="G6" sqref="G6"/>
    </sheetView>
  </sheetViews>
  <sheetFormatPr defaultColWidth="9.125" defaultRowHeight="12"/>
  <cols>
    <col min="1" max="2" width="4.5" style="401" bestFit="1" customWidth="1"/>
    <col min="3" max="3" width="9.125" style="401" customWidth="1"/>
    <col min="4" max="5" width="4.5" style="401" bestFit="1" customWidth="1"/>
    <col min="6" max="6" width="4.75" style="401" bestFit="1" customWidth="1"/>
    <col min="7" max="7" width="8.125" style="401" customWidth="1"/>
    <col min="8" max="8" width="11.5" style="401" bestFit="1" customWidth="1"/>
    <col min="9" max="9" width="11.625" style="401" bestFit="1" customWidth="1"/>
    <col min="10" max="10" width="10.75" style="401" bestFit="1" customWidth="1"/>
    <col min="11" max="11" width="15.375" style="401" bestFit="1" customWidth="1"/>
    <col min="12" max="12" width="14.375" style="401" customWidth="1"/>
    <col min="13" max="13" width="19" style="631" customWidth="1"/>
    <col min="14" max="14" width="14" style="631" customWidth="1"/>
    <col min="15" max="16384" width="9.125" style="401"/>
  </cols>
  <sheetData>
    <row r="1" spans="1:22">
      <c r="A1" s="836" t="s">
        <v>117</v>
      </c>
      <c r="B1" s="836"/>
      <c r="C1" s="836"/>
      <c r="D1" s="370"/>
      <c r="E1" s="370"/>
      <c r="G1" s="371"/>
      <c r="H1" s="371"/>
      <c r="I1" s="548"/>
      <c r="J1" s="372"/>
      <c r="K1" s="372"/>
      <c r="M1" s="370"/>
    </row>
    <row r="2" spans="1:22" ht="73.5" customHeight="1">
      <c r="A2" s="837" t="s">
        <v>1906</v>
      </c>
      <c r="B2" s="837"/>
      <c r="C2" s="837"/>
      <c r="D2" s="837"/>
      <c r="E2" s="837"/>
      <c r="F2" s="837"/>
      <c r="G2" s="837"/>
      <c r="H2" s="837"/>
      <c r="I2" s="837"/>
      <c r="J2" s="837"/>
      <c r="K2" s="837"/>
      <c r="L2" s="837"/>
      <c r="Q2" s="549"/>
    </row>
    <row r="3" spans="1:22" s="553" customFormat="1" ht="53.25" customHeight="1">
      <c r="A3" s="789" t="s">
        <v>54</v>
      </c>
      <c r="B3" s="614" t="s">
        <v>118</v>
      </c>
      <c r="C3" s="615" t="s">
        <v>119</v>
      </c>
      <c r="D3" s="614" t="s">
        <v>120</v>
      </c>
      <c r="E3" s="614" t="s">
        <v>121</v>
      </c>
      <c r="F3" s="616" t="s">
        <v>122</v>
      </c>
      <c r="G3" s="579" t="s">
        <v>123</v>
      </c>
      <c r="H3" s="579" t="s">
        <v>124</v>
      </c>
      <c r="I3" s="579" t="s">
        <v>125</v>
      </c>
      <c r="J3" s="579" t="s">
        <v>1907</v>
      </c>
      <c r="K3" s="579" t="s">
        <v>126</v>
      </c>
      <c r="L3" s="617" t="s">
        <v>57</v>
      </c>
      <c r="M3" s="626" t="s">
        <v>120</v>
      </c>
      <c r="N3" s="626"/>
      <c r="O3" s="626" t="s">
        <v>127</v>
      </c>
      <c r="P3" s="626" t="s">
        <v>128</v>
      </c>
      <c r="Q3" s="626" t="s">
        <v>129</v>
      </c>
      <c r="R3" s="626" t="s">
        <v>130</v>
      </c>
    </row>
    <row r="4" spans="1:22" ht="24" customHeight="1">
      <c r="A4" s="562">
        <v>1</v>
      </c>
      <c r="B4" s="839" t="s">
        <v>131</v>
      </c>
      <c r="C4" s="618" t="s">
        <v>132</v>
      </c>
      <c r="D4" s="562"/>
      <c r="E4" s="562" t="s">
        <v>133</v>
      </c>
      <c r="F4" s="619">
        <f>8*11+7+6+5*2-1</f>
        <v>110</v>
      </c>
      <c r="G4" s="581">
        <f>+R4</f>
        <v>41.449999999999996</v>
      </c>
      <c r="H4" s="581">
        <f>+F4*G4</f>
        <v>4559.4999999999991</v>
      </c>
      <c r="I4" s="620">
        <f>'附件4-1套内1'!Q336</f>
        <v>40363.014355467931</v>
      </c>
      <c r="J4" s="620">
        <f>+K4/H4</f>
        <v>973.77597962528193</v>
      </c>
      <c r="K4" s="620">
        <f>F4*I4</f>
        <v>4439931.5791014722</v>
      </c>
      <c r="L4" s="840" t="s">
        <v>134</v>
      </c>
      <c r="M4" s="628" t="s">
        <v>1883</v>
      </c>
      <c r="N4" s="628" t="s">
        <v>135</v>
      </c>
      <c r="O4" s="629"/>
      <c r="P4" s="627">
        <v>37.65</v>
      </c>
      <c r="Q4" s="627">
        <v>7.6</v>
      </c>
      <c r="R4" s="627">
        <f>P4+Q4*0.5</f>
        <v>41.449999999999996</v>
      </c>
      <c r="T4" s="550"/>
    </row>
    <row r="5" spans="1:22" ht="24" customHeight="1">
      <c r="A5" s="562">
        <v>2</v>
      </c>
      <c r="B5" s="839"/>
      <c r="C5" s="618" t="s">
        <v>132</v>
      </c>
      <c r="D5" s="562"/>
      <c r="E5" s="562" t="s">
        <v>136</v>
      </c>
      <c r="F5" s="619">
        <f>2*15-1</f>
        <v>29</v>
      </c>
      <c r="G5" s="581">
        <f t="shared" ref="G5" si="0">+R5</f>
        <v>66.8</v>
      </c>
      <c r="H5" s="581">
        <f t="shared" ref="H5" si="1">+F5*G5</f>
        <v>1937.1999999999998</v>
      </c>
      <c r="I5" s="620">
        <f>'附件4-1套内1'!R336</f>
        <v>68452.044901135625</v>
      </c>
      <c r="J5" s="620">
        <f t="shared" ref="J5" si="2">+K5/H5</f>
        <v>1024.7312110948449</v>
      </c>
      <c r="K5" s="620">
        <f t="shared" ref="K5" si="3">F5*I5</f>
        <v>1985109.3021329332</v>
      </c>
      <c r="L5" s="840"/>
      <c r="M5" s="628" t="s">
        <v>1884</v>
      </c>
      <c r="N5" s="628" t="s">
        <v>137</v>
      </c>
      <c r="O5" s="629"/>
      <c r="P5" s="627">
        <v>60.3</v>
      </c>
      <c r="Q5" s="627">
        <f>5.8+7.2</f>
        <v>13</v>
      </c>
      <c r="R5" s="627">
        <f t="shared" ref="R5" si="4">P5+Q5*0.5</f>
        <v>66.8</v>
      </c>
      <c r="T5" s="550"/>
    </row>
    <row r="6" spans="1:22" ht="24" customHeight="1">
      <c r="A6" s="562">
        <v>3</v>
      </c>
      <c r="B6" s="839"/>
      <c r="C6" s="618" t="s">
        <v>132</v>
      </c>
      <c r="D6" s="562"/>
      <c r="E6" s="562" t="s">
        <v>138</v>
      </c>
      <c r="F6" s="619">
        <f>4*12+3*2+1+2</f>
        <v>57</v>
      </c>
      <c r="G6" s="581">
        <f>+R6</f>
        <v>70.284999999999997</v>
      </c>
      <c r="H6" s="581">
        <f>+F6*G6</f>
        <v>4006.2449999999999</v>
      </c>
      <c r="I6" s="620">
        <f>'附件4-1套内1'!S336</f>
        <v>68665.450503726504</v>
      </c>
      <c r="J6" s="620">
        <f>+K6/H6</f>
        <v>976.95739494524446</v>
      </c>
      <c r="K6" s="620">
        <f t="shared" ref="K6:K16" si="5">F6*I6</f>
        <v>3913930.6787124109</v>
      </c>
      <c r="L6" s="840"/>
      <c r="M6" s="628" t="s">
        <v>1885</v>
      </c>
      <c r="N6" s="628" t="s">
        <v>139</v>
      </c>
      <c r="O6" s="629"/>
      <c r="P6" s="627">
        <v>64.209999999999994</v>
      </c>
      <c r="Q6" s="627">
        <f>6.74+5.41</f>
        <v>12.15</v>
      </c>
      <c r="R6" s="627">
        <f t="shared" ref="R6:R15" si="6">P6+Q6*0.5</f>
        <v>70.284999999999997</v>
      </c>
      <c r="T6" s="550"/>
    </row>
    <row r="7" spans="1:22" ht="27.75" customHeight="1">
      <c r="A7" s="562">
        <v>4</v>
      </c>
      <c r="B7" s="839"/>
      <c r="C7" s="618" t="s">
        <v>132</v>
      </c>
      <c r="D7" s="562"/>
      <c r="E7" s="562" t="s">
        <v>140</v>
      </c>
      <c r="F7" s="619">
        <v>15</v>
      </c>
      <c r="G7" s="621">
        <f>R7</f>
        <v>63.480000000000004</v>
      </c>
      <c r="H7" s="621">
        <f t="shared" ref="H7" si="7">F7*G7</f>
        <v>952.2</v>
      </c>
      <c r="I7" s="622">
        <f>'附件4-2套内 2'!P339</f>
        <v>57545.647041660355</v>
      </c>
      <c r="J7" s="620">
        <f t="shared" ref="J7" si="8">I7/G7</f>
        <v>906.51617898015672</v>
      </c>
      <c r="K7" s="622">
        <f t="shared" si="5"/>
        <v>863184.7056249053</v>
      </c>
      <c r="L7" s="840"/>
      <c r="M7" s="628" t="s">
        <v>1886</v>
      </c>
      <c r="N7" s="628" t="s">
        <v>135</v>
      </c>
      <c r="O7" s="629"/>
      <c r="P7" s="627">
        <v>56.35</v>
      </c>
      <c r="Q7" s="627">
        <f>7.13+7.13</f>
        <v>14.26</v>
      </c>
      <c r="R7" s="627">
        <f t="shared" si="6"/>
        <v>63.480000000000004</v>
      </c>
      <c r="T7" s="550"/>
      <c r="U7" s="527"/>
      <c r="V7" s="550"/>
    </row>
    <row r="8" spans="1:22" ht="24" customHeight="1">
      <c r="A8" s="562">
        <v>5</v>
      </c>
      <c r="B8" s="839"/>
      <c r="C8" s="618" t="s">
        <v>141</v>
      </c>
      <c r="D8" s="562"/>
      <c r="E8" s="562" t="s">
        <v>142</v>
      </c>
      <c r="F8" s="619">
        <f>11</f>
        <v>11</v>
      </c>
      <c r="G8" s="581">
        <f t="shared" ref="G8:G15" si="9">+R8</f>
        <v>37.730000000000004</v>
      </c>
      <c r="H8" s="581">
        <f t="shared" ref="H8:H16" si="10">+F8*G8</f>
        <v>415.03000000000003</v>
      </c>
      <c r="I8" s="620">
        <f>'附件4-1套内1'!T336</f>
        <v>41012.665094628494</v>
      </c>
      <c r="J8" s="620">
        <f t="shared" ref="J8:J17" si="11">+K8/H8</f>
        <v>1087.004110644805</v>
      </c>
      <c r="K8" s="620">
        <f t="shared" si="5"/>
        <v>451139.31604091346</v>
      </c>
      <c r="L8" s="840"/>
      <c r="M8" s="628" t="s">
        <v>1883</v>
      </c>
      <c r="N8" s="628" t="s">
        <v>135</v>
      </c>
      <c r="O8" s="629"/>
      <c r="P8" s="627">
        <v>35.520000000000003</v>
      </c>
      <c r="Q8" s="627">
        <v>4.42</v>
      </c>
      <c r="R8" s="627">
        <f t="shared" si="6"/>
        <v>37.730000000000004</v>
      </c>
      <c r="T8" s="550"/>
    </row>
    <row r="9" spans="1:22" ht="24" customHeight="1">
      <c r="A9" s="562">
        <v>6</v>
      </c>
      <c r="B9" s="839"/>
      <c r="C9" s="623" t="s">
        <v>143</v>
      </c>
      <c r="D9" s="562"/>
      <c r="E9" s="562" t="s">
        <v>144</v>
      </c>
      <c r="F9" s="619">
        <v>1</v>
      </c>
      <c r="G9" s="581">
        <f t="shared" si="9"/>
        <v>157.72999999999999</v>
      </c>
      <c r="H9" s="581">
        <f t="shared" si="10"/>
        <v>157.72999999999999</v>
      </c>
      <c r="I9" s="620">
        <f>'附件4-1套内1'!U336</f>
        <v>104576.97019584499</v>
      </c>
      <c r="J9" s="620">
        <f t="shared" si="11"/>
        <v>663.01255433871165</v>
      </c>
      <c r="K9" s="620">
        <f t="shared" si="5"/>
        <v>104576.97019584499</v>
      </c>
      <c r="L9" s="840"/>
      <c r="M9" s="628" t="s">
        <v>1887</v>
      </c>
      <c r="N9" s="628" t="s">
        <v>135</v>
      </c>
      <c r="O9" s="629"/>
      <c r="P9" s="627">
        <v>95.72</v>
      </c>
      <c r="Q9" s="627">
        <v>124.02</v>
      </c>
      <c r="R9" s="627">
        <f t="shared" si="6"/>
        <v>157.72999999999999</v>
      </c>
    </row>
    <row r="10" spans="1:22" ht="24" customHeight="1">
      <c r="A10" s="562">
        <v>7</v>
      </c>
      <c r="B10" s="839"/>
      <c r="C10" s="618" t="s">
        <v>145</v>
      </c>
      <c r="D10" s="562"/>
      <c r="E10" s="562" t="s">
        <v>146</v>
      </c>
      <c r="F10" s="619">
        <f>2*14</f>
        <v>28</v>
      </c>
      <c r="G10" s="581">
        <f t="shared" si="9"/>
        <v>68.804999999999993</v>
      </c>
      <c r="H10" s="581">
        <f t="shared" si="10"/>
        <v>1926.5399999999997</v>
      </c>
      <c r="I10" s="620">
        <f>'附件4-1套内1'!V336</f>
        <v>66300.178608317321</v>
      </c>
      <c r="J10" s="620">
        <f t="shared" si="11"/>
        <v>963.59535801638435</v>
      </c>
      <c r="K10" s="620">
        <f t="shared" si="5"/>
        <v>1856405.0010328849</v>
      </c>
      <c r="L10" s="840"/>
      <c r="M10" s="628" t="s">
        <v>1885</v>
      </c>
      <c r="N10" s="628" t="s">
        <v>139</v>
      </c>
      <c r="O10" s="629"/>
      <c r="P10" s="627">
        <v>63.33</v>
      </c>
      <c r="Q10" s="627">
        <f>4.2+6.75</f>
        <v>10.95</v>
      </c>
      <c r="R10" s="627">
        <f t="shared" si="6"/>
        <v>68.804999999999993</v>
      </c>
    </row>
    <row r="11" spans="1:22" ht="24" customHeight="1">
      <c r="A11" s="562">
        <v>8</v>
      </c>
      <c r="B11" s="839"/>
      <c r="C11" s="623" t="s">
        <v>147</v>
      </c>
      <c r="D11" s="562"/>
      <c r="E11" s="562" t="s">
        <v>148</v>
      </c>
      <c r="F11" s="619">
        <v>1</v>
      </c>
      <c r="G11" s="581">
        <f t="shared" si="9"/>
        <v>194.26</v>
      </c>
      <c r="H11" s="581">
        <f t="shared" si="10"/>
        <v>194.26</v>
      </c>
      <c r="I11" s="620">
        <f>'附件4-1套内1'!W336</f>
        <v>119626.29009421932</v>
      </c>
      <c r="J11" s="620">
        <f t="shared" si="11"/>
        <v>615.80505556583614</v>
      </c>
      <c r="K11" s="620">
        <f t="shared" si="5"/>
        <v>119626.29009421932</v>
      </c>
      <c r="L11" s="840"/>
      <c r="M11" s="628" t="s">
        <v>1888</v>
      </c>
      <c r="N11" s="628" t="s">
        <v>137</v>
      </c>
      <c r="O11" s="630"/>
      <c r="P11" s="627">
        <v>102.56</v>
      </c>
      <c r="Q11" s="627">
        <v>183.4</v>
      </c>
      <c r="R11" s="627">
        <f t="shared" si="6"/>
        <v>194.26</v>
      </c>
    </row>
    <row r="12" spans="1:22" ht="24" customHeight="1">
      <c r="A12" s="562">
        <v>9</v>
      </c>
      <c r="B12" s="839"/>
      <c r="C12" s="618" t="s">
        <v>132</v>
      </c>
      <c r="D12" s="562"/>
      <c r="E12" s="562" t="s">
        <v>27</v>
      </c>
      <c r="F12" s="619">
        <f>3*15</f>
        <v>45</v>
      </c>
      <c r="G12" s="581">
        <f t="shared" si="9"/>
        <v>43.92</v>
      </c>
      <c r="H12" s="581">
        <f t="shared" si="10"/>
        <v>1976.4</v>
      </c>
      <c r="I12" s="620">
        <f>'附件4-1套内1'!X336</f>
        <v>43351.290854702245</v>
      </c>
      <c r="J12" s="620">
        <f t="shared" si="11"/>
        <v>987.05124896863026</v>
      </c>
      <c r="K12" s="620">
        <f t="shared" si="5"/>
        <v>1950808.0884616009</v>
      </c>
      <c r="L12" s="840"/>
      <c r="M12" s="628" t="s">
        <v>1883</v>
      </c>
      <c r="N12" s="628" t="s">
        <v>135</v>
      </c>
      <c r="O12" s="629"/>
      <c r="P12" s="627">
        <v>40.22</v>
      </c>
      <c r="Q12" s="627">
        <v>7.4</v>
      </c>
      <c r="R12" s="627">
        <f t="shared" si="6"/>
        <v>43.92</v>
      </c>
    </row>
    <row r="13" spans="1:22" ht="24" customHeight="1">
      <c r="A13" s="562">
        <v>10</v>
      </c>
      <c r="B13" s="839"/>
      <c r="C13" s="618" t="s">
        <v>149</v>
      </c>
      <c r="D13" s="562"/>
      <c r="E13" s="562" t="s">
        <v>150</v>
      </c>
      <c r="F13" s="619">
        <f>10*1</f>
        <v>10</v>
      </c>
      <c r="G13" s="581">
        <f t="shared" si="9"/>
        <v>100.44</v>
      </c>
      <c r="H13" s="581">
        <f t="shared" si="10"/>
        <v>1004.4</v>
      </c>
      <c r="I13" s="620">
        <f>'附件4-2套内 2'!M339</f>
        <v>86050.623281629916</v>
      </c>
      <c r="J13" s="620">
        <f t="shared" si="11"/>
        <v>856.73659181232495</v>
      </c>
      <c r="K13" s="620">
        <f t="shared" si="5"/>
        <v>860506.23281629919</v>
      </c>
      <c r="L13" s="840"/>
      <c r="M13" s="628" t="s">
        <v>1889</v>
      </c>
      <c r="N13" s="628" t="s">
        <v>135</v>
      </c>
      <c r="O13" s="629"/>
      <c r="P13" s="627">
        <v>86.27</v>
      </c>
      <c r="Q13" s="627">
        <v>28.34</v>
      </c>
      <c r="R13" s="627">
        <f t="shared" si="6"/>
        <v>100.44</v>
      </c>
    </row>
    <row r="14" spans="1:22" ht="24" customHeight="1">
      <c r="A14" s="562">
        <v>11</v>
      </c>
      <c r="B14" s="839"/>
      <c r="C14" s="623" t="s">
        <v>151</v>
      </c>
      <c r="D14" s="562"/>
      <c r="E14" s="562" t="s">
        <v>152</v>
      </c>
      <c r="F14" s="619">
        <v>1</v>
      </c>
      <c r="G14" s="581">
        <f t="shared" si="9"/>
        <v>225.745</v>
      </c>
      <c r="H14" s="581">
        <f t="shared" si="10"/>
        <v>225.745</v>
      </c>
      <c r="I14" s="620">
        <f>'附件4-2套内 2'!N339</f>
        <v>151899.24769511283</v>
      </c>
      <c r="J14" s="620">
        <f t="shared" si="11"/>
        <v>672.87978779203456</v>
      </c>
      <c r="K14" s="620">
        <f t="shared" si="5"/>
        <v>151899.24769511283</v>
      </c>
      <c r="L14" s="840"/>
      <c r="M14" s="628" t="s">
        <v>1888</v>
      </c>
      <c r="N14" s="628" t="s">
        <v>137</v>
      </c>
      <c r="O14" s="629"/>
      <c r="P14" s="627">
        <v>126.56</v>
      </c>
      <c r="Q14" s="627">
        <f>5.7+192.67</f>
        <v>198.36999999999998</v>
      </c>
      <c r="R14" s="627">
        <f t="shared" si="6"/>
        <v>225.745</v>
      </c>
    </row>
    <row r="15" spans="1:22" ht="24" customHeight="1">
      <c r="A15" s="562">
        <v>12</v>
      </c>
      <c r="B15" s="839"/>
      <c r="C15" s="623" t="s">
        <v>153</v>
      </c>
      <c r="D15" s="562"/>
      <c r="E15" s="562" t="s">
        <v>154</v>
      </c>
      <c r="F15" s="619">
        <v>1</v>
      </c>
      <c r="G15" s="581">
        <f t="shared" si="9"/>
        <v>208.905</v>
      </c>
      <c r="H15" s="581">
        <f t="shared" si="10"/>
        <v>208.905</v>
      </c>
      <c r="I15" s="620">
        <f>'附件4-2套内 2'!O339</f>
        <v>138579.39261999578</v>
      </c>
      <c r="J15" s="620">
        <f t="shared" si="11"/>
        <v>663.36082247909712</v>
      </c>
      <c r="K15" s="620">
        <f t="shared" si="5"/>
        <v>138579.39261999578</v>
      </c>
      <c r="L15" s="840"/>
      <c r="M15" s="628" t="s">
        <v>1890</v>
      </c>
      <c r="N15" s="628" t="s">
        <v>139</v>
      </c>
      <c r="O15" s="629"/>
      <c r="P15" s="627">
        <v>114.58</v>
      </c>
      <c r="Q15" s="627">
        <v>188.65</v>
      </c>
      <c r="R15" s="627">
        <f t="shared" si="6"/>
        <v>208.905</v>
      </c>
    </row>
    <row r="16" spans="1:22" ht="24" customHeight="1">
      <c r="A16" s="562">
        <v>13</v>
      </c>
      <c r="B16" s="624"/>
      <c r="C16" s="623" t="s">
        <v>155</v>
      </c>
      <c r="D16" s="562"/>
      <c r="E16" s="562" t="s">
        <v>156</v>
      </c>
      <c r="F16" s="619">
        <v>1</v>
      </c>
      <c r="G16" s="581">
        <f>R16</f>
        <v>124.15</v>
      </c>
      <c r="H16" s="581">
        <f t="shared" si="10"/>
        <v>124.15</v>
      </c>
      <c r="I16" s="620">
        <f>'附件4-2套内 2'!Q339</f>
        <v>95893.015505357602</v>
      </c>
      <c r="J16" s="620">
        <f t="shared" si="11"/>
        <v>772.39641969679906</v>
      </c>
      <c r="K16" s="620">
        <f t="shared" si="5"/>
        <v>95893.015505357602</v>
      </c>
      <c r="L16" s="840"/>
      <c r="M16" s="628" t="s">
        <v>1889</v>
      </c>
      <c r="N16" s="628" t="s">
        <v>135</v>
      </c>
      <c r="O16" s="629"/>
      <c r="P16" s="627">
        <v>86.27</v>
      </c>
      <c r="Q16" s="627">
        <v>75.760000000000005</v>
      </c>
      <c r="R16" s="627">
        <f t="shared" ref="R16" si="12">P16+Q16*0.5</f>
        <v>124.15</v>
      </c>
    </row>
    <row r="17" spans="1:14" s="553" customFormat="1" ht="24" customHeight="1">
      <c r="A17" s="578"/>
      <c r="B17" s="838" t="s">
        <v>157</v>
      </c>
      <c r="C17" s="838"/>
      <c r="D17" s="838"/>
      <c r="E17" s="578"/>
      <c r="F17" s="625">
        <f t="shared" ref="F17" si="13">+SUM(F4:F16)</f>
        <v>310</v>
      </c>
      <c r="G17" s="582"/>
      <c r="H17" s="582">
        <f>+SUM(H4:H16)</f>
        <v>17688.305</v>
      </c>
      <c r="I17" s="582"/>
      <c r="J17" s="582">
        <f t="shared" si="11"/>
        <v>957.21946337051224</v>
      </c>
      <c r="K17" s="582">
        <f>+SUM(K4:K16)</f>
        <v>16931589.820033949</v>
      </c>
      <c r="L17" s="840"/>
      <c r="M17" s="634"/>
      <c r="N17" s="634"/>
    </row>
    <row r="18" spans="1:14">
      <c r="A18" s="527"/>
      <c r="B18" s="549"/>
      <c r="C18" s="549"/>
      <c r="H18" s="551"/>
      <c r="M18" s="527"/>
    </row>
    <row r="19" spans="1:14">
      <c r="A19" s="527"/>
      <c r="B19" s="549"/>
      <c r="C19" s="632" t="s">
        <v>155</v>
      </c>
      <c r="D19" s="552"/>
      <c r="E19" s="834" t="s">
        <v>1891</v>
      </c>
      <c r="F19" s="835"/>
      <c r="G19" s="835"/>
      <c r="H19" s="835"/>
      <c r="I19" s="835"/>
      <c r="J19" s="835"/>
      <c r="K19" s="835"/>
      <c r="L19" s="628">
        <v>22</v>
      </c>
      <c r="M19" s="633"/>
    </row>
    <row r="20" spans="1:14">
      <c r="A20" s="527"/>
      <c r="B20" s="549"/>
      <c r="C20" s="632" t="s">
        <v>1892</v>
      </c>
      <c r="D20" s="552"/>
      <c r="E20" s="834" t="s">
        <v>1893</v>
      </c>
      <c r="F20" s="835"/>
      <c r="G20" s="835"/>
      <c r="H20" s="835"/>
      <c r="I20" s="835"/>
      <c r="J20" s="835"/>
      <c r="K20" s="835"/>
      <c r="L20" s="628">
        <v>22</v>
      </c>
      <c r="M20" s="633"/>
    </row>
    <row r="21" spans="1:14">
      <c r="C21" s="632" t="s">
        <v>1894</v>
      </c>
      <c r="D21" s="552"/>
      <c r="E21" s="834" t="s">
        <v>1893</v>
      </c>
      <c r="F21" s="835"/>
      <c r="G21" s="835"/>
      <c r="H21" s="835"/>
      <c r="I21" s="835"/>
      <c r="J21" s="835"/>
      <c r="K21" s="835"/>
      <c r="L21" s="628">
        <v>22</v>
      </c>
      <c r="M21" s="633"/>
    </row>
    <row r="22" spans="1:14">
      <c r="C22" s="632" t="s">
        <v>1895</v>
      </c>
      <c r="D22" s="552"/>
      <c r="E22" s="834" t="s">
        <v>1893</v>
      </c>
      <c r="F22" s="835"/>
      <c r="G22" s="835"/>
      <c r="H22" s="835"/>
      <c r="I22" s="835"/>
      <c r="J22" s="835"/>
      <c r="K22" s="835"/>
      <c r="L22" s="628">
        <v>22</v>
      </c>
      <c r="M22" s="633"/>
    </row>
    <row r="23" spans="1:14">
      <c r="C23" s="632" t="s">
        <v>1896</v>
      </c>
      <c r="D23" s="552"/>
      <c r="E23" s="834" t="s">
        <v>1893</v>
      </c>
      <c r="F23" s="835"/>
      <c r="G23" s="835"/>
      <c r="H23" s="835"/>
      <c r="I23" s="835"/>
      <c r="J23" s="835"/>
      <c r="K23" s="835"/>
      <c r="L23" s="628">
        <v>22</v>
      </c>
      <c r="M23" s="633"/>
    </row>
    <row r="24" spans="1:14">
      <c r="C24" s="632" t="s">
        <v>1897</v>
      </c>
      <c r="D24" s="552"/>
      <c r="E24" s="834" t="s">
        <v>1893</v>
      </c>
      <c r="F24" s="835"/>
      <c r="G24" s="835"/>
      <c r="H24" s="835"/>
      <c r="I24" s="835"/>
      <c r="J24" s="835"/>
      <c r="K24" s="835"/>
      <c r="L24" s="628">
        <v>22</v>
      </c>
      <c r="M24" s="633"/>
    </row>
    <row r="25" spans="1:14">
      <c r="C25" s="632" t="s">
        <v>1898</v>
      </c>
      <c r="D25" s="552"/>
      <c r="E25" s="834" t="s">
        <v>1893</v>
      </c>
      <c r="F25" s="835"/>
      <c r="G25" s="835"/>
      <c r="H25" s="835"/>
      <c r="I25" s="835"/>
      <c r="J25" s="835"/>
      <c r="K25" s="835"/>
      <c r="L25" s="628">
        <v>22</v>
      </c>
      <c r="M25" s="633"/>
    </row>
    <row r="26" spans="1:14">
      <c r="C26" s="632" t="s">
        <v>188</v>
      </c>
      <c r="D26" s="552"/>
      <c r="E26" s="834" t="s">
        <v>1893</v>
      </c>
      <c r="F26" s="835"/>
      <c r="G26" s="835"/>
      <c r="H26" s="835"/>
      <c r="I26" s="835"/>
      <c r="J26" s="835"/>
      <c r="K26" s="835"/>
      <c r="L26" s="628">
        <v>22</v>
      </c>
      <c r="M26" s="633"/>
    </row>
    <row r="27" spans="1:14">
      <c r="C27" s="632" t="s">
        <v>1899</v>
      </c>
      <c r="D27" s="552"/>
      <c r="E27" s="834" t="s">
        <v>1893</v>
      </c>
      <c r="F27" s="835"/>
      <c r="G27" s="835"/>
      <c r="H27" s="835"/>
      <c r="I27" s="835"/>
      <c r="J27" s="835"/>
      <c r="K27" s="835"/>
      <c r="L27" s="628">
        <v>22</v>
      </c>
      <c r="M27" s="633"/>
    </row>
    <row r="28" spans="1:14">
      <c r="C28" s="632" t="s">
        <v>1900</v>
      </c>
      <c r="D28" s="552"/>
      <c r="E28" s="834" t="s">
        <v>1893</v>
      </c>
      <c r="F28" s="835"/>
      <c r="G28" s="835"/>
      <c r="H28" s="835"/>
      <c r="I28" s="835"/>
      <c r="J28" s="835"/>
      <c r="K28" s="835"/>
      <c r="L28" s="628">
        <v>22</v>
      </c>
      <c r="M28" s="633"/>
    </row>
    <row r="29" spans="1:14">
      <c r="C29" s="632" t="s">
        <v>1901</v>
      </c>
      <c r="D29" s="552"/>
      <c r="E29" s="834" t="s">
        <v>1893</v>
      </c>
      <c r="F29" s="835"/>
      <c r="G29" s="835"/>
      <c r="H29" s="835"/>
      <c r="I29" s="835"/>
      <c r="J29" s="835"/>
      <c r="K29" s="835"/>
      <c r="L29" s="628">
        <v>22</v>
      </c>
      <c r="M29" s="633"/>
    </row>
    <row r="30" spans="1:14">
      <c r="C30" s="632" t="s">
        <v>143</v>
      </c>
      <c r="D30" s="552"/>
      <c r="E30" s="834" t="s">
        <v>1902</v>
      </c>
      <c r="F30" s="835"/>
      <c r="G30" s="835"/>
      <c r="H30" s="835"/>
      <c r="I30" s="835"/>
      <c r="J30" s="835"/>
      <c r="K30" s="835"/>
      <c r="L30" s="628">
        <v>20</v>
      </c>
      <c r="M30" s="633"/>
    </row>
    <row r="31" spans="1:14">
      <c r="C31" s="632" t="s">
        <v>147</v>
      </c>
      <c r="D31" s="552"/>
      <c r="E31" s="834" t="s">
        <v>1903</v>
      </c>
      <c r="F31" s="835"/>
      <c r="G31" s="835"/>
      <c r="H31" s="835"/>
      <c r="I31" s="835"/>
      <c r="J31" s="835"/>
      <c r="K31" s="835"/>
      <c r="L31" s="628">
        <v>19</v>
      </c>
      <c r="M31" s="633"/>
    </row>
    <row r="32" spans="1:14">
      <c r="C32" s="632" t="s">
        <v>151</v>
      </c>
      <c r="D32" s="552"/>
      <c r="E32" s="834" t="s">
        <v>1904</v>
      </c>
      <c r="F32" s="835"/>
      <c r="G32" s="835"/>
      <c r="H32" s="835"/>
      <c r="I32" s="835"/>
      <c r="J32" s="835"/>
      <c r="K32" s="835"/>
      <c r="L32" s="628">
        <v>17</v>
      </c>
      <c r="M32" s="633"/>
    </row>
    <row r="33" spans="3:13">
      <c r="C33" s="632" t="s">
        <v>153</v>
      </c>
      <c r="D33" s="552"/>
      <c r="E33" s="834" t="s">
        <v>1905</v>
      </c>
      <c r="F33" s="835"/>
      <c r="G33" s="835"/>
      <c r="H33" s="835"/>
      <c r="I33" s="835"/>
      <c r="J33" s="835"/>
      <c r="K33" s="835"/>
      <c r="L33" s="628">
        <v>14</v>
      </c>
      <c r="M33" s="633"/>
    </row>
  </sheetData>
  <mergeCells count="20">
    <mergeCell ref="E21:K21"/>
    <mergeCell ref="A1:C1"/>
    <mergeCell ref="A2:L2"/>
    <mergeCell ref="B17:D17"/>
    <mergeCell ref="E19:K19"/>
    <mergeCell ref="E20:K20"/>
    <mergeCell ref="B4:B15"/>
    <mergeCell ref="L4:L17"/>
    <mergeCell ref="E22:K22"/>
    <mergeCell ref="E23:K23"/>
    <mergeCell ref="E24:K24"/>
    <mergeCell ref="E25:K25"/>
    <mergeCell ref="E26:K26"/>
    <mergeCell ref="E32:K32"/>
    <mergeCell ref="E33:K33"/>
    <mergeCell ref="E27:K27"/>
    <mergeCell ref="E28:K28"/>
    <mergeCell ref="E29:K29"/>
    <mergeCell ref="E30:K30"/>
    <mergeCell ref="E31:K31"/>
  </mergeCells>
  <phoneticPr fontId="7" type="noConversion"/>
  <printOptions horizontalCentered="1"/>
  <pageMargins left="0.39370078740157483" right="0.19685039370078741" top="0.39370078740157483" bottom="0.39370078740157483" header="0.19685039370078741" footer="0.19685039370078741"/>
  <pageSetup paperSize="9" scale="72" firstPageNumber="4294963191" orientation="portrait" blackAndWhite="1" r:id="rId1"/>
  <headerFooter alignWithMargins="0">
    <oddFooter>&amp;C第 &amp;P 页，共 &amp;N 页</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31"/>
  </sheetPr>
  <dimension ref="A1:M24"/>
  <sheetViews>
    <sheetView view="pageBreakPreview" zoomScaleNormal="100" zoomScaleSheetLayoutView="100" workbookViewId="0">
      <selection activeCell="G10" sqref="G10"/>
    </sheetView>
  </sheetViews>
  <sheetFormatPr defaultColWidth="9.125" defaultRowHeight="12"/>
  <cols>
    <col min="1" max="1" width="4.5" style="2" bestFit="1" customWidth="1"/>
    <col min="2" max="2" width="23.125" style="2" customWidth="1"/>
    <col min="3" max="3" width="7.375" style="2" customWidth="1"/>
    <col min="4" max="4" width="9.875" style="2" customWidth="1"/>
    <col min="5" max="5" width="9.75" style="2" bestFit="1" customWidth="1"/>
    <col min="6" max="6" width="11.625" style="2" bestFit="1" customWidth="1"/>
    <col min="7" max="7" width="8" style="2" bestFit="1" customWidth="1"/>
    <col min="8" max="8" width="14.375" style="2" bestFit="1" customWidth="1"/>
    <col min="9" max="9" width="12.25" style="2" customWidth="1"/>
    <col min="10" max="16384" width="9.125" style="2"/>
  </cols>
  <sheetData>
    <row r="1" spans="1:13">
      <c r="A1" s="842" t="s">
        <v>171</v>
      </c>
      <c r="B1" s="842"/>
      <c r="C1" s="367"/>
      <c r="D1" s="368"/>
      <c r="E1" s="368"/>
      <c r="F1" s="526"/>
      <c r="G1" s="369"/>
      <c r="H1" s="368"/>
    </row>
    <row r="2" spans="1:13" ht="70.5" customHeight="1">
      <c r="A2" s="843" t="s">
        <v>1882</v>
      </c>
      <c r="B2" s="843"/>
      <c r="C2" s="843"/>
      <c r="D2" s="843"/>
      <c r="E2" s="843"/>
      <c r="F2" s="843"/>
      <c r="G2" s="843"/>
      <c r="H2" s="843"/>
      <c r="I2" s="843"/>
    </row>
    <row r="3" spans="1:13" s="547" customFormat="1" ht="30.75" customHeight="1">
      <c r="A3" s="790" t="s">
        <v>54</v>
      </c>
      <c r="B3" s="531" t="s">
        <v>120</v>
      </c>
      <c r="C3" s="545" t="s">
        <v>122</v>
      </c>
      <c r="D3" s="546" t="s">
        <v>172</v>
      </c>
      <c r="E3" s="546" t="s">
        <v>124</v>
      </c>
      <c r="F3" s="533" t="s">
        <v>173</v>
      </c>
      <c r="G3" s="534" t="s">
        <v>174</v>
      </c>
      <c r="H3" s="533" t="s">
        <v>175</v>
      </c>
      <c r="I3" s="542" t="s">
        <v>57</v>
      </c>
    </row>
    <row r="4" spans="1:13" ht="18" customHeight="1">
      <c r="A4" s="531" t="s">
        <v>58</v>
      </c>
      <c r="B4" s="841" t="s">
        <v>176</v>
      </c>
      <c r="C4" s="841"/>
      <c r="D4" s="532"/>
      <c r="E4" s="533"/>
      <c r="F4" s="533"/>
      <c r="G4" s="534"/>
      <c r="H4" s="533"/>
      <c r="I4" s="535"/>
      <c r="K4" s="527" t="s">
        <v>128</v>
      </c>
      <c r="L4" s="527" t="s">
        <v>177</v>
      </c>
      <c r="M4" s="527" t="s">
        <v>130</v>
      </c>
    </row>
    <row r="5" spans="1:13" ht="18" customHeight="1">
      <c r="A5" s="536">
        <v>1</v>
      </c>
      <c r="B5" s="845" t="s">
        <v>131</v>
      </c>
      <c r="C5" s="537">
        <v>1</v>
      </c>
      <c r="D5" s="528">
        <f>+M5</f>
        <v>63.975000000000001</v>
      </c>
      <c r="E5" s="528">
        <f t="shared" ref="E5" si="0">+D5*C5</f>
        <v>63.975000000000001</v>
      </c>
      <c r="F5" s="528">
        <f>'附件4-3大堂(旧标) '!N209+'附件4-3大堂(旧标) '!O209</f>
        <v>138729.5610075178</v>
      </c>
      <c r="G5" s="529">
        <f t="shared" ref="G5" si="1">+H5/E5</f>
        <v>2168.4964596720251</v>
      </c>
      <c r="H5" s="533">
        <f t="shared" ref="H5" si="2">+F5*C5</f>
        <v>138729.5610075178</v>
      </c>
      <c r="I5" s="538"/>
      <c r="K5" s="527">
        <v>53.42</v>
      </c>
      <c r="L5" s="527">
        <v>21.11</v>
      </c>
      <c r="M5" s="527">
        <f>K5+L5*0.5</f>
        <v>63.975000000000001</v>
      </c>
    </row>
    <row r="6" spans="1:13" ht="33" customHeight="1">
      <c r="A6" s="536">
        <v>2</v>
      </c>
      <c r="B6" s="845"/>
      <c r="C6" s="537">
        <v>1</v>
      </c>
      <c r="D6" s="528">
        <f>+M6</f>
        <v>30.855000000000004</v>
      </c>
      <c r="E6" s="528">
        <f>+D6*C6</f>
        <v>30.855000000000004</v>
      </c>
      <c r="F6" s="528">
        <f>'附件4-3大堂(旧标) '!O209</f>
        <v>65480.959842047552</v>
      </c>
      <c r="G6" s="529">
        <f>+H6/E6</f>
        <v>2122.2155191070342</v>
      </c>
      <c r="H6" s="533">
        <f>+F6*C6</f>
        <v>65480.959842047552</v>
      </c>
      <c r="I6" s="539" t="s">
        <v>107</v>
      </c>
      <c r="J6" s="525">
        <v>33.119999999999997</v>
      </c>
      <c r="K6" s="525"/>
      <c r="L6" s="525"/>
      <c r="M6" s="527">
        <f>M5-J6</f>
        <v>30.855000000000004</v>
      </c>
    </row>
    <row r="7" spans="1:13" ht="18" customHeight="1">
      <c r="A7" s="540"/>
      <c r="B7" s="540" t="s">
        <v>157</v>
      </c>
      <c r="C7" s="541">
        <f>SUM(C5:C6)</f>
        <v>2</v>
      </c>
      <c r="D7" s="533"/>
      <c r="E7" s="533"/>
      <c r="F7" s="533"/>
      <c r="G7" s="534"/>
      <c r="H7" s="533">
        <f>+SUM(H5:H6)</f>
        <v>204210.52084956534</v>
      </c>
      <c r="I7" s="535"/>
    </row>
    <row r="8" spans="1:13" ht="18" customHeight="1">
      <c r="A8" s="531" t="s">
        <v>60</v>
      </c>
      <c r="B8" s="844" t="s">
        <v>178</v>
      </c>
      <c r="C8" s="844"/>
      <c r="D8" s="532"/>
      <c r="E8" s="533"/>
      <c r="F8" s="533"/>
      <c r="G8" s="534"/>
      <c r="H8" s="533"/>
      <c r="I8" s="542"/>
    </row>
    <row r="9" spans="1:13" ht="18" customHeight="1">
      <c r="A9" s="536">
        <v>1</v>
      </c>
      <c r="B9" s="536" t="s">
        <v>179</v>
      </c>
      <c r="C9" s="537">
        <v>2</v>
      </c>
      <c r="D9" s="530">
        <v>223.4</v>
      </c>
      <c r="E9" s="528">
        <f>+D9*C9</f>
        <v>446.8</v>
      </c>
      <c r="F9" s="528">
        <f>'附件4-4电梯间(旧标)'!AF98</f>
        <v>158703.07455571141</v>
      </c>
      <c r="G9" s="529">
        <f>+H9/E9</f>
        <v>710.3987222726563</v>
      </c>
      <c r="H9" s="533">
        <f>+F9*C9</f>
        <v>317406.14911142283</v>
      </c>
      <c r="I9" s="538"/>
    </row>
    <row r="10" spans="1:13" ht="29.25" customHeight="1">
      <c r="A10" s="536">
        <v>2</v>
      </c>
      <c r="B10" s="536" t="s">
        <v>180</v>
      </c>
      <c r="C10" s="537">
        <v>1</v>
      </c>
      <c r="D10" s="543">
        <f>225.26-J10</f>
        <v>168.70999999999998</v>
      </c>
      <c r="E10" s="528">
        <f t="shared" ref="E10" si="3">+D10*C10</f>
        <v>168.70999999999998</v>
      </c>
      <c r="F10" s="528">
        <f>'附件4-4电梯间(旧标)'!AG98</f>
        <v>134878.43325646967</v>
      </c>
      <c r="G10" s="529">
        <f t="shared" ref="G10" si="4">+H10/E10</f>
        <v>799.46910827141062</v>
      </c>
      <c r="H10" s="533">
        <f t="shared" ref="H10" si="5">+F10*C10</f>
        <v>134878.43325646967</v>
      </c>
      <c r="I10" s="539" t="s">
        <v>109</v>
      </c>
      <c r="J10" s="525">
        <v>56.55</v>
      </c>
    </row>
    <row r="11" spans="1:13" ht="18" customHeight="1">
      <c r="A11" s="536">
        <v>3</v>
      </c>
      <c r="B11" s="536" t="s">
        <v>181</v>
      </c>
      <c r="C11" s="537">
        <v>8</v>
      </c>
      <c r="D11" s="530">
        <v>225.26</v>
      </c>
      <c r="E11" s="528">
        <f>+D11*C11</f>
        <v>1802.08</v>
      </c>
      <c r="F11" s="528">
        <f>'附件4-4电梯间(旧标)'!AH98</f>
        <v>170286.20611844247</v>
      </c>
      <c r="G11" s="529">
        <f>+H11/E11</f>
        <v>755.95403586274733</v>
      </c>
      <c r="H11" s="533">
        <f>+F11*C11</f>
        <v>1362289.6489475397</v>
      </c>
      <c r="I11" s="538"/>
    </row>
    <row r="12" spans="1:13" ht="18" customHeight="1">
      <c r="A12" s="536">
        <v>4</v>
      </c>
      <c r="B12" s="536" t="s">
        <v>182</v>
      </c>
      <c r="C12" s="537">
        <v>1</v>
      </c>
      <c r="D12" s="530">
        <v>216</v>
      </c>
      <c r="E12" s="528">
        <f>+D12*C12</f>
        <v>216</v>
      </c>
      <c r="F12" s="528">
        <f>'附件4-4电梯间(旧标)'!AI98</f>
        <v>153626.96982994836</v>
      </c>
      <c r="G12" s="529">
        <f>+H12/E12</f>
        <v>711.23597143494612</v>
      </c>
      <c r="H12" s="533">
        <f>+F12*C12</f>
        <v>153626.96982994836</v>
      </c>
      <c r="I12" s="538"/>
    </row>
    <row r="13" spans="1:13" ht="18" customHeight="1">
      <c r="A13" s="536">
        <v>5</v>
      </c>
      <c r="B13" s="536" t="s">
        <v>183</v>
      </c>
      <c r="C13" s="537">
        <v>1</v>
      </c>
      <c r="D13" s="530">
        <v>204.09</v>
      </c>
      <c r="E13" s="528">
        <f>+D13*C13</f>
        <v>204.09</v>
      </c>
      <c r="F13" s="528">
        <f>'附件4-4电梯间(旧标)'!AJ98</f>
        <v>145133.94989483923</v>
      </c>
      <c r="G13" s="529">
        <f>+H13/E13</f>
        <v>711.12719826958312</v>
      </c>
      <c r="H13" s="533">
        <f>+F13*C13</f>
        <v>145133.94989483923</v>
      </c>
      <c r="I13" s="538"/>
    </row>
    <row r="14" spans="1:13" ht="18" customHeight="1">
      <c r="A14" s="536">
        <v>6</v>
      </c>
      <c r="B14" s="536" t="s">
        <v>184</v>
      </c>
      <c r="C14" s="537">
        <v>1</v>
      </c>
      <c r="D14" s="530">
        <v>194.64</v>
      </c>
      <c r="E14" s="528">
        <f>+D14*C14</f>
        <v>194.64</v>
      </c>
      <c r="F14" s="528">
        <f>'附件4-4电梯间(旧标)'!AK98</f>
        <v>139328.25647721931</v>
      </c>
      <c r="G14" s="529">
        <f>+H14/E14</f>
        <v>715.8254031916324</v>
      </c>
      <c r="H14" s="533">
        <f>+F14*C14</f>
        <v>139328.25647721931</v>
      </c>
      <c r="I14" s="538"/>
    </row>
    <row r="15" spans="1:13" ht="18" customHeight="1">
      <c r="A15" s="536">
        <v>7</v>
      </c>
      <c r="B15" s="536" t="s">
        <v>185</v>
      </c>
      <c r="C15" s="537">
        <v>1</v>
      </c>
      <c r="D15" s="530">
        <v>170.27</v>
      </c>
      <c r="E15" s="528">
        <f>+D15*C15</f>
        <v>170.27</v>
      </c>
      <c r="F15" s="528">
        <f>'附件4-4电梯间(旧标)'!AL98</f>
        <v>123322.5595370596</v>
      </c>
      <c r="G15" s="529">
        <f>+H15/E15</f>
        <v>724.27649930733298</v>
      </c>
      <c r="H15" s="533">
        <f>+F15*C15</f>
        <v>123322.5595370596</v>
      </c>
      <c r="I15" s="538"/>
    </row>
    <row r="16" spans="1:13" ht="18" customHeight="1">
      <c r="A16" s="540"/>
      <c r="B16" s="540" t="s">
        <v>157</v>
      </c>
      <c r="C16" s="541">
        <f>SUM(C9:C15)</f>
        <v>15</v>
      </c>
      <c r="D16" s="533"/>
      <c r="E16" s="533"/>
      <c r="F16" s="533"/>
      <c r="G16" s="534"/>
      <c r="H16" s="533">
        <f>+SUM(H9:H15)</f>
        <v>2375985.9670544988</v>
      </c>
      <c r="I16" s="535"/>
    </row>
    <row r="17" spans="1:9" ht="18" customHeight="1">
      <c r="A17" s="531" t="s">
        <v>62</v>
      </c>
      <c r="B17" s="841" t="s">
        <v>110</v>
      </c>
      <c r="C17" s="841"/>
      <c r="D17" s="532"/>
      <c r="E17" s="533"/>
      <c r="F17" s="533"/>
      <c r="G17" s="534"/>
      <c r="H17" s="533"/>
      <c r="I17" s="535"/>
    </row>
    <row r="18" spans="1:9" ht="18" customHeight="1">
      <c r="A18" s="536">
        <v>1</v>
      </c>
      <c r="B18" s="536" t="s">
        <v>131</v>
      </c>
      <c r="C18" s="537">
        <v>2</v>
      </c>
      <c r="D18" s="544">
        <v>61.71</v>
      </c>
      <c r="E18" s="528">
        <f>+D18*C18</f>
        <v>123.42</v>
      </c>
      <c r="F18" s="528" t="e">
        <f>'附件4-5地下室电梯厅'!K53</f>
        <v>#VALUE!</v>
      </c>
      <c r="G18" s="529" t="e">
        <f>+H18/E18</f>
        <v>#VALUE!</v>
      </c>
      <c r="H18" s="533" t="e">
        <f>+F18*C18</f>
        <v>#VALUE!</v>
      </c>
      <c r="I18" s="538"/>
    </row>
    <row r="19" spans="1:9" ht="18" customHeight="1">
      <c r="A19" s="540"/>
      <c r="B19" s="540" t="s">
        <v>157</v>
      </c>
      <c r="C19" s="541">
        <f>SUM(C18)</f>
        <v>2</v>
      </c>
      <c r="D19" s="533"/>
      <c r="E19" s="533"/>
      <c r="F19" s="533"/>
      <c r="G19" s="534"/>
      <c r="H19" s="533" t="e">
        <f>+SUM(H18:H18)</f>
        <v>#VALUE!</v>
      </c>
      <c r="I19" s="535"/>
    </row>
    <row r="20" spans="1:9" ht="18" customHeight="1">
      <c r="A20" s="531" t="s">
        <v>64</v>
      </c>
      <c r="B20" s="841" t="s">
        <v>112</v>
      </c>
      <c r="C20" s="841"/>
      <c r="D20" s="532"/>
      <c r="E20" s="533"/>
      <c r="F20" s="533"/>
      <c r="G20" s="534"/>
      <c r="H20" s="533"/>
      <c r="I20" s="535"/>
    </row>
    <row r="21" spans="1:9" ht="18" customHeight="1">
      <c r="A21" s="536">
        <v>1</v>
      </c>
      <c r="B21" s="536"/>
      <c r="C21" s="537">
        <v>15</v>
      </c>
      <c r="D21" s="528">
        <v>20.45</v>
      </c>
      <c r="E21" s="528">
        <f>+D21*C21</f>
        <v>306.75</v>
      </c>
      <c r="F21" s="528">
        <f>'附件4-7布草间'!K71</f>
        <v>19640.762528059728</v>
      </c>
      <c r="G21" s="529">
        <f>+H21/E21</f>
        <v>960.42848547969334</v>
      </c>
      <c r="H21" s="533">
        <f>+F21*C21</f>
        <v>294611.43792089593</v>
      </c>
      <c r="I21" s="538"/>
    </row>
    <row r="22" spans="1:9" ht="18" customHeight="1">
      <c r="A22" s="540"/>
      <c r="B22" s="540" t="s">
        <v>157</v>
      </c>
      <c r="C22" s="541">
        <f>SUM(C21)</f>
        <v>15</v>
      </c>
      <c r="D22" s="533"/>
      <c r="E22" s="533"/>
      <c r="F22" s="533"/>
      <c r="G22" s="534"/>
      <c r="H22" s="533">
        <f>+SUM(H21:H21)</f>
        <v>294611.43792089593</v>
      </c>
      <c r="I22" s="535"/>
    </row>
    <row r="23" spans="1:9" ht="18" customHeight="1">
      <c r="A23" s="531" t="s">
        <v>111</v>
      </c>
      <c r="B23" s="841" t="s">
        <v>114</v>
      </c>
      <c r="C23" s="841"/>
      <c r="D23" s="532"/>
      <c r="E23" s="533"/>
      <c r="F23" s="533"/>
      <c r="G23" s="534"/>
      <c r="H23" s="533">
        <f>'附件4-6入户门'!I34</f>
        <v>1173401.65097892</v>
      </c>
      <c r="I23" s="535"/>
    </row>
    <row r="24" spans="1:9">
      <c r="A24" s="531" t="s">
        <v>113</v>
      </c>
      <c r="B24" s="841" t="s">
        <v>186</v>
      </c>
      <c r="C24" s="841"/>
      <c r="D24" s="532"/>
      <c r="E24" s="528"/>
      <c r="F24" s="528"/>
      <c r="G24" s="529"/>
      <c r="H24" s="533" t="e">
        <f>+H23+H22+H19+H16+H7</f>
        <v>#VALUE!</v>
      </c>
      <c r="I24" s="538"/>
    </row>
  </sheetData>
  <mergeCells count="9">
    <mergeCell ref="B20:C20"/>
    <mergeCell ref="B23:C23"/>
    <mergeCell ref="B24:C24"/>
    <mergeCell ref="A1:B1"/>
    <mergeCell ref="A2:I2"/>
    <mergeCell ref="B4:C4"/>
    <mergeCell ref="B8:C8"/>
    <mergeCell ref="B17:C17"/>
    <mergeCell ref="B5:B6"/>
  </mergeCells>
  <phoneticPr fontId="7" type="noConversion"/>
  <printOptions horizontalCentered="1"/>
  <pageMargins left="0.39370078740157483" right="0.19685039370078741" top="0.39370078740157483" bottom="0.39370078740157483" header="0.19685039370078741" footer="0.19685039370078741"/>
  <pageSetup paperSize="9" scale="81" firstPageNumber="4294963191" orientation="portrait" blackAndWhite="1" r:id="rId1"/>
  <headerFooter alignWithMargins="0">
    <oddFooter>&amp;C第 &amp;P 页，共 &amp;N 页</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13"/>
    <pageSetUpPr fitToPage="1"/>
  </sheetPr>
  <dimension ref="A1:AP336"/>
  <sheetViews>
    <sheetView view="pageBreakPreview" zoomScale="90" zoomScaleNormal="100" zoomScaleSheetLayoutView="90" workbookViewId="0">
      <pane xSplit="4" ySplit="13" topLeftCell="E287" activePane="bottomRight" state="frozen"/>
      <selection activeCell="M299" sqref="M299"/>
      <selection pane="topRight" activeCell="M299" sqref="M299"/>
      <selection pane="bottomLeft" activeCell="M299" sqref="M299"/>
      <selection pane="bottomRight" activeCell="G291" sqref="G291"/>
    </sheetView>
  </sheetViews>
  <sheetFormatPr defaultColWidth="9" defaultRowHeight="14.25"/>
  <cols>
    <col min="1" max="1" width="10.25" style="384" hidden="1" customWidth="1"/>
    <col min="2" max="2" width="4.25" style="473" bestFit="1" customWidth="1"/>
    <col min="3" max="3" width="30.625" style="453" customWidth="1"/>
    <col min="4" max="4" width="4.25" style="473" bestFit="1" customWidth="1"/>
    <col min="5" max="6" width="6.375" style="565" bestFit="1" customWidth="1"/>
    <col min="7" max="7" width="7.5" style="565" bestFit="1" customWidth="1"/>
    <col min="8" max="8" width="6.375" style="565" bestFit="1" customWidth="1"/>
    <col min="9" max="9" width="7.125" style="565" bestFit="1" customWidth="1"/>
    <col min="10" max="10" width="6.375" style="565" bestFit="1" customWidth="1"/>
    <col min="11" max="11" width="7.125" style="565" bestFit="1" customWidth="1"/>
    <col min="12" max="12" width="6.375" style="565" bestFit="1" customWidth="1"/>
    <col min="13" max="13" width="10.375" style="565" customWidth="1"/>
    <col min="14" max="14" width="8.625" style="565" bestFit="1" customWidth="1"/>
    <col min="15" max="15" width="8.625" style="565" customWidth="1"/>
    <col min="16" max="16" width="8" style="565" bestFit="1" customWidth="1"/>
    <col min="17" max="20" width="10.5" style="565" bestFit="1" customWidth="1"/>
    <col min="21" max="21" width="11.125" style="565" bestFit="1" customWidth="1"/>
    <col min="22" max="22" width="10.5" style="565" bestFit="1" customWidth="1"/>
    <col min="23" max="23" width="11.125" style="565" bestFit="1" customWidth="1"/>
    <col min="24" max="24" width="10.5" style="565" bestFit="1" customWidth="1"/>
    <col min="25" max="25" width="14.125" style="453" customWidth="1"/>
    <col min="26" max="27" width="12" style="564" customWidth="1"/>
    <col min="28" max="28" width="12.625" style="564" customWidth="1"/>
    <col min="29" max="29" width="12.125" style="564" customWidth="1"/>
    <col min="30" max="30" width="12.25" style="564" customWidth="1"/>
    <col min="31" max="31" width="12" style="564" customWidth="1"/>
    <col min="32" max="32" width="11.75" style="564" customWidth="1"/>
    <col min="33" max="33" width="12.25" style="564" customWidth="1"/>
    <col min="34" max="42" width="11.875" style="564" customWidth="1"/>
    <col min="43" max="16384" width="9" style="564"/>
  </cols>
  <sheetData>
    <row r="1" spans="1:42" s="384" customFormat="1" hidden="1">
      <c r="E1" s="696"/>
      <c r="F1" s="696"/>
      <c r="G1" s="696"/>
      <c r="H1" s="696"/>
      <c r="I1" s="696"/>
      <c r="J1" s="696"/>
      <c r="K1" s="696"/>
      <c r="L1" s="696"/>
      <c r="M1" s="696"/>
      <c r="N1" s="696"/>
      <c r="O1" s="696"/>
      <c r="P1" s="696"/>
    </row>
    <row r="2" spans="1:42" s="384" customFormat="1" hidden="1">
      <c r="A2" s="299"/>
      <c r="B2" s="299"/>
      <c r="C2" s="356" t="s">
        <v>189</v>
      </c>
      <c r="D2" s="357"/>
      <c r="E2" s="697">
        <v>0</v>
      </c>
      <c r="F2" s="697">
        <v>1</v>
      </c>
      <c r="G2" s="697">
        <v>2</v>
      </c>
      <c r="H2" s="698">
        <v>0</v>
      </c>
      <c r="I2" s="697">
        <v>3</v>
      </c>
      <c r="J2" s="697">
        <v>2</v>
      </c>
      <c r="K2" s="698">
        <v>3</v>
      </c>
      <c r="L2" s="698">
        <v>0</v>
      </c>
      <c r="M2" s="696"/>
      <c r="N2" s="696"/>
      <c r="O2" s="846"/>
      <c r="P2" s="846"/>
      <c r="Q2" s="846"/>
      <c r="R2" s="846"/>
      <c r="S2" s="846"/>
      <c r="T2" s="846"/>
      <c r="U2" s="846"/>
      <c r="V2" s="846"/>
      <c r="W2" s="846"/>
      <c r="X2" s="846"/>
      <c r="Y2" s="846"/>
      <c r="Z2" s="847"/>
      <c r="AA2" s="847"/>
      <c r="AB2" s="847"/>
      <c r="AC2" s="847"/>
      <c r="AD2" s="847"/>
      <c r="AE2" s="847"/>
      <c r="AF2" s="847"/>
      <c r="AG2" s="847"/>
      <c r="AH2" s="847"/>
      <c r="AI2" s="847"/>
      <c r="AJ2" s="847"/>
      <c r="AK2" s="847"/>
      <c r="AL2" s="847"/>
      <c r="AM2" s="847"/>
      <c r="AN2" s="847"/>
      <c r="AO2" s="847"/>
      <c r="AP2" s="847"/>
    </row>
    <row r="3" spans="1:42" s="384" customFormat="1" hidden="1">
      <c r="A3" s="299"/>
      <c r="B3" s="299"/>
      <c r="C3" s="356" t="s">
        <v>190</v>
      </c>
      <c r="D3" s="357"/>
      <c r="E3" s="697">
        <v>0</v>
      </c>
      <c r="F3" s="697">
        <v>0</v>
      </c>
      <c r="G3" s="697">
        <v>0</v>
      </c>
      <c r="H3" s="698">
        <v>0</v>
      </c>
      <c r="I3" s="697">
        <v>0</v>
      </c>
      <c r="J3" s="697">
        <v>0</v>
      </c>
      <c r="K3" s="698">
        <v>0</v>
      </c>
      <c r="L3" s="698">
        <v>0</v>
      </c>
      <c r="M3" s="696"/>
      <c r="N3" s="696"/>
      <c r="O3" s="696"/>
      <c r="P3" s="696"/>
      <c r="Q3" s="359"/>
      <c r="R3" s="359"/>
      <c r="S3" s="295"/>
      <c r="T3" s="295"/>
      <c r="U3" s="295"/>
      <c r="V3" s="295"/>
      <c r="W3" s="295"/>
      <c r="X3" s="295"/>
      <c r="Y3" s="359"/>
      <c r="Z3" s="359"/>
      <c r="AA3" s="359"/>
      <c r="AB3" s="359"/>
      <c r="AC3" s="359"/>
      <c r="AD3" s="359"/>
      <c r="AE3" s="359"/>
      <c r="AF3" s="359"/>
      <c r="AG3" s="359"/>
      <c r="AH3" s="359"/>
      <c r="AI3" s="359"/>
      <c r="AJ3" s="359"/>
      <c r="AK3" s="359"/>
      <c r="AL3" s="359"/>
      <c r="AM3" s="359"/>
      <c r="AN3" s="359"/>
      <c r="AO3" s="359"/>
      <c r="AP3" s="359"/>
    </row>
    <row r="4" spans="1:42" s="384" customFormat="1" hidden="1">
      <c r="A4" s="299"/>
      <c r="B4" s="299"/>
      <c r="C4" s="356" t="s">
        <v>191</v>
      </c>
      <c r="D4" s="357"/>
      <c r="E4" s="697">
        <v>1</v>
      </c>
      <c r="F4" s="697">
        <v>1</v>
      </c>
      <c r="G4" s="697">
        <v>1</v>
      </c>
      <c r="H4" s="698">
        <v>1</v>
      </c>
      <c r="I4" s="697">
        <v>1</v>
      </c>
      <c r="J4" s="697">
        <v>1</v>
      </c>
      <c r="K4" s="698">
        <v>1</v>
      </c>
      <c r="L4" s="698">
        <v>1</v>
      </c>
      <c r="M4" s="696"/>
      <c r="N4" s="696"/>
      <c r="O4" s="846"/>
      <c r="P4" s="846"/>
      <c r="Q4" s="846"/>
      <c r="R4" s="846"/>
      <c r="S4" s="846"/>
      <c r="T4" s="385"/>
      <c r="U4" s="385"/>
      <c r="V4" s="385"/>
      <c r="W4" s="385"/>
      <c r="X4" s="385"/>
      <c r="Y4" s="359"/>
      <c r="Z4" s="847"/>
      <c r="AA4" s="847"/>
      <c r="AB4" s="847"/>
      <c r="AC4" s="847"/>
      <c r="AD4" s="847"/>
      <c r="AE4" s="847"/>
      <c r="AF4" s="847"/>
      <c r="AG4" s="847"/>
      <c r="AH4" s="847"/>
      <c r="AI4" s="847"/>
      <c r="AJ4" s="847"/>
      <c r="AK4" s="847"/>
      <c r="AL4" s="847"/>
      <c r="AM4" s="847"/>
      <c r="AN4" s="847"/>
      <c r="AO4" s="847"/>
      <c r="AP4" s="847"/>
    </row>
    <row r="5" spans="1:42" s="384" customFormat="1" hidden="1">
      <c r="A5" s="299"/>
      <c r="B5" s="299"/>
      <c r="C5" s="356" t="s">
        <v>192</v>
      </c>
      <c r="D5" s="357"/>
      <c r="E5" s="697">
        <v>0</v>
      </c>
      <c r="F5" s="697">
        <v>0</v>
      </c>
      <c r="G5" s="697">
        <v>0</v>
      </c>
      <c r="H5" s="698">
        <v>0</v>
      </c>
      <c r="I5" s="697">
        <v>0</v>
      </c>
      <c r="J5" s="697">
        <v>0</v>
      </c>
      <c r="K5" s="698">
        <v>0</v>
      </c>
      <c r="L5" s="698">
        <v>0</v>
      </c>
      <c r="M5" s="696"/>
      <c r="N5" s="696"/>
      <c r="O5" s="846"/>
      <c r="P5" s="846"/>
      <c r="Q5" s="846"/>
      <c r="R5" s="846"/>
      <c r="S5" s="295"/>
      <c r="T5" s="295"/>
      <c r="U5" s="295"/>
      <c r="V5" s="295"/>
      <c r="W5" s="295"/>
      <c r="X5" s="295"/>
      <c r="Y5" s="359"/>
      <c r="Z5" s="847"/>
      <c r="AA5" s="847"/>
      <c r="AB5" s="847"/>
      <c r="AC5" s="847"/>
      <c r="AD5" s="847"/>
      <c r="AE5" s="847"/>
      <c r="AF5" s="847"/>
      <c r="AG5" s="847"/>
      <c r="AH5" s="847"/>
      <c r="AI5" s="847"/>
      <c r="AJ5" s="847"/>
      <c r="AK5" s="847"/>
      <c r="AL5" s="847"/>
      <c r="AM5" s="847"/>
      <c r="AN5" s="847"/>
      <c r="AO5" s="847"/>
      <c r="AP5" s="847"/>
    </row>
    <row r="6" spans="1:42" s="384" customFormat="1" hidden="1">
      <c r="A6" s="299"/>
      <c r="B6" s="299"/>
      <c r="C6" s="356" t="s">
        <v>193</v>
      </c>
      <c r="D6" s="357"/>
      <c r="E6" s="697">
        <v>0</v>
      </c>
      <c r="F6" s="697">
        <v>1</v>
      </c>
      <c r="G6" s="697">
        <v>0</v>
      </c>
      <c r="H6" s="698">
        <v>0</v>
      </c>
      <c r="I6" s="697">
        <v>0</v>
      </c>
      <c r="J6" s="697">
        <v>0</v>
      </c>
      <c r="K6" s="698">
        <v>0</v>
      </c>
      <c r="L6" s="698">
        <v>0</v>
      </c>
      <c r="M6" s="696"/>
      <c r="N6" s="696"/>
      <c r="O6" s="696"/>
      <c r="P6" s="696"/>
      <c r="Q6" s="359"/>
      <c r="R6" s="359"/>
      <c r="S6" s="295"/>
      <c r="T6" s="295"/>
      <c r="U6" s="295"/>
      <c r="V6" s="295"/>
      <c r="W6" s="295"/>
      <c r="X6" s="295"/>
      <c r="Y6" s="359"/>
      <c r="Z6" s="359"/>
      <c r="AA6" s="359"/>
      <c r="AB6" s="359"/>
      <c r="AC6" s="359"/>
      <c r="AD6" s="359"/>
      <c r="AE6" s="359"/>
      <c r="AF6" s="359"/>
      <c r="AG6" s="359"/>
      <c r="AH6" s="359"/>
      <c r="AI6" s="359"/>
      <c r="AJ6" s="359"/>
      <c r="AK6" s="359"/>
      <c r="AL6" s="359"/>
      <c r="AM6" s="359"/>
      <c r="AN6" s="359"/>
      <c r="AO6" s="359"/>
      <c r="AP6" s="359"/>
    </row>
    <row r="7" spans="1:42" s="384" customFormat="1" hidden="1">
      <c r="A7" s="299"/>
      <c r="B7" s="299"/>
      <c r="C7" s="356" t="s">
        <v>194</v>
      </c>
      <c r="D7" s="357"/>
      <c r="E7" s="697">
        <v>0</v>
      </c>
      <c r="F7" s="697">
        <v>0</v>
      </c>
      <c r="G7" s="697">
        <v>1</v>
      </c>
      <c r="H7" s="698">
        <v>0</v>
      </c>
      <c r="I7" s="697">
        <v>0</v>
      </c>
      <c r="J7" s="697">
        <v>1</v>
      </c>
      <c r="K7" s="698">
        <v>0</v>
      </c>
      <c r="L7" s="698">
        <v>0</v>
      </c>
      <c r="M7" s="696"/>
      <c r="N7" s="696"/>
      <c r="O7" s="696"/>
      <c r="P7" s="696"/>
      <c r="Q7" s="295"/>
      <c r="R7" s="295"/>
      <c r="S7" s="295"/>
      <c r="T7" s="295"/>
      <c r="U7" s="295"/>
      <c r="V7" s="295"/>
      <c r="W7" s="295"/>
      <c r="X7" s="295"/>
      <c r="Y7" s="359"/>
      <c r="Z7" s="359"/>
      <c r="AA7" s="359"/>
      <c r="AB7" s="359"/>
      <c r="AC7" s="359"/>
      <c r="AD7" s="359"/>
      <c r="AE7" s="359"/>
      <c r="AF7" s="359"/>
      <c r="AG7" s="359"/>
      <c r="AH7" s="359"/>
      <c r="AI7" s="359"/>
      <c r="AJ7" s="359"/>
      <c r="AK7" s="359"/>
      <c r="AL7" s="359"/>
      <c r="AM7" s="359"/>
      <c r="AN7" s="359"/>
      <c r="AO7" s="359"/>
      <c r="AP7" s="359"/>
    </row>
    <row r="8" spans="1:42">
      <c r="B8" s="848" t="s">
        <v>195</v>
      </c>
      <c r="C8" s="849"/>
      <c r="X8" s="850" t="s">
        <v>196</v>
      </c>
      <c r="Y8" s="851"/>
    </row>
    <row r="9" spans="1:42" ht="33.75" customHeight="1">
      <c r="B9" s="852" t="s">
        <v>1862</v>
      </c>
      <c r="C9" s="853"/>
      <c r="D9" s="852"/>
      <c r="E9" s="854"/>
      <c r="F9" s="854"/>
      <c r="G9" s="854"/>
      <c r="H9" s="854"/>
      <c r="I9" s="854"/>
      <c r="J9" s="854"/>
      <c r="K9" s="854"/>
      <c r="L9" s="854"/>
      <c r="M9" s="854"/>
      <c r="N9" s="854"/>
      <c r="O9" s="854"/>
      <c r="P9" s="854"/>
      <c r="Q9" s="854"/>
      <c r="R9" s="854"/>
      <c r="S9" s="854"/>
      <c r="T9" s="854"/>
      <c r="U9" s="854"/>
      <c r="V9" s="854"/>
      <c r="W9" s="854"/>
      <c r="X9" s="854"/>
      <c r="Y9" s="853"/>
      <c r="Z9" s="360"/>
      <c r="AA9" s="360"/>
      <c r="AB9" s="360"/>
      <c r="AC9" s="360"/>
      <c r="AD9" s="360"/>
      <c r="AE9" s="360"/>
      <c r="AF9" s="360"/>
      <c r="AG9" s="360"/>
      <c r="AH9" s="360"/>
      <c r="AI9" s="360"/>
      <c r="AJ9" s="360"/>
      <c r="AK9" s="360"/>
      <c r="AL9" s="360"/>
      <c r="AM9" s="360"/>
      <c r="AN9" s="360"/>
      <c r="AO9" s="360"/>
      <c r="AP9" s="360"/>
    </row>
    <row r="10" spans="1:42" s="452" customFormat="1" ht="11.25">
      <c r="A10" s="438"/>
      <c r="B10" s="861" t="s">
        <v>54</v>
      </c>
      <c r="C10" s="861" t="s">
        <v>197</v>
      </c>
      <c r="D10" s="861" t="s">
        <v>198</v>
      </c>
      <c r="E10" s="855" t="s">
        <v>199</v>
      </c>
      <c r="F10" s="855"/>
      <c r="G10" s="855"/>
      <c r="H10" s="855"/>
      <c r="I10" s="855"/>
      <c r="J10" s="855"/>
      <c r="K10" s="855"/>
      <c r="L10" s="855"/>
      <c r="M10" s="856" t="s">
        <v>200</v>
      </c>
      <c r="N10" s="856" t="s">
        <v>201</v>
      </c>
      <c r="O10" s="856"/>
      <c r="P10" s="856"/>
      <c r="Q10" s="857" t="s">
        <v>202</v>
      </c>
      <c r="R10" s="857"/>
      <c r="S10" s="857"/>
      <c r="T10" s="857"/>
      <c r="U10" s="857"/>
      <c r="V10" s="857"/>
      <c r="W10" s="857"/>
      <c r="X10" s="857"/>
      <c r="Y10" s="856" t="s">
        <v>57</v>
      </c>
      <c r="Z10" s="858"/>
      <c r="AA10" s="858"/>
      <c r="AB10" s="858"/>
      <c r="AC10" s="858"/>
      <c r="AD10" s="858"/>
      <c r="AE10" s="858"/>
      <c r="AF10" s="858"/>
      <c r="AG10" s="858"/>
      <c r="AH10" s="858"/>
      <c r="AI10" s="858"/>
      <c r="AJ10" s="858"/>
      <c r="AK10" s="858"/>
      <c r="AL10" s="858"/>
      <c r="AM10" s="858"/>
      <c r="AN10" s="858"/>
      <c r="AO10" s="858"/>
      <c r="AP10" s="858"/>
    </row>
    <row r="11" spans="1:42" s="452" customFormat="1" ht="11.25" customHeight="1">
      <c r="A11" s="438"/>
      <c r="B11" s="861"/>
      <c r="C11" s="861"/>
      <c r="D11" s="861"/>
      <c r="E11" s="686" t="s">
        <v>158</v>
      </c>
      <c r="F11" s="686" t="s">
        <v>159</v>
      </c>
      <c r="G11" s="686" t="s">
        <v>160</v>
      </c>
      <c r="H11" s="439" t="s">
        <v>161</v>
      </c>
      <c r="I11" s="439" t="s">
        <v>162</v>
      </c>
      <c r="J11" s="439" t="s">
        <v>163</v>
      </c>
      <c r="K11" s="686" t="s">
        <v>164</v>
      </c>
      <c r="L11" s="686" t="s">
        <v>165</v>
      </c>
      <c r="M11" s="856"/>
      <c r="N11" s="856" t="s">
        <v>203</v>
      </c>
      <c r="O11" s="856" t="s">
        <v>204</v>
      </c>
      <c r="P11" s="856" t="s">
        <v>205</v>
      </c>
      <c r="Q11" s="687" t="str">
        <f>E11</f>
        <v>A户型</v>
      </c>
      <c r="R11" s="687" t="str">
        <f t="shared" ref="R11" si="0">F11</f>
        <v>C户型</v>
      </c>
      <c r="S11" s="687" t="str">
        <f t="shared" ref="S11:X12" si="1">G11</f>
        <v>B/B1户型</v>
      </c>
      <c r="T11" s="687" t="str">
        <f t="shared" si="1"/>
        <v>F户型</v>
      </c>
      <c r="U11" s="687" t="str">
        <f t="shared" si="1"/>
        <v>H户型</v>
      </c>
      <c r="V11" s="687" t="str">
        <f t="shared" si="1"/>
        <v>D户型</v>
      </c>
      <c r="W11" s="687" t="str">
        <f t="shared" si="1"/>
        <v>I户型</v>
      </c>
      <c r="X11" s="687" t="str">
        <f t="shared" si="1"/>
        <v>E户型</v>
      </c>
      <c r="Y11" s="856"/>
      <c r="Z11" s="859"/>
      <c r="AA11" s="859"/>
      <c r="AB11" s="859"/>
      <c r="AC11" s="859"/>
      <c r="AD11" s="859"/>
      <c r="AE11" s="859"/>
      <c r="AF11" s="859"/>
      <c r="AG11" s="859"/>
      <c r="AH11" s="859"/>
      <c r="AI11" s="859"/>
      <c r="AJ11" s="859"/>
      <c r="AK11" s="859"/>
      <c r="AL11" s="859"/>
      <c r="AM11" s="859"/>
      <c r="AN11" s="859"/>
      <c r="AO11" s="859"/>
      <c r="AP11" s="859"/>
    </row>
    <row r="12" spans="1:42" s="452" customFormat="1" ht="15" customHeight="1">
      <c r="A12" s="438"/>
      <c r="B12" s="861"/>
      <c r="C12" s="861"/>
      <c r="D12" s="861"/>
      <c r="E12" s="693" t="s">
        <v>131</v>
      </c>
      <c r="F12" s="693" t="s">
        <v>131</v>
      </c>
      <c r="G12" s="693" t="s">
        <v>131</v>
      </c>
      <c r="H12" s="693" t="s">
        <v>131</v>
      </c>
      <c r="I12" s="693" t="s">
        <v>131</v>
      </c>
      <c r="J12" s="693" t="s">
        <v>131</v>
      </c>
      <c r="K12" s="693" t="s">
        <v>131</v>
      </c>
      <c r="L12" s="693" t="s">
        <v>131</v>
      </c>
      <c r="M12" s="856" t="s">
        <v>206</v>
      </c>
      <c r="N12" s="856"/>
      <c r="O12" s="856"/>
      <c r="P12" s="856"/>
      <c r="Q12" s="687" t="str">
        <f t="shared" ref="Q12" si="2">E12</f>
        <v>1#</v>
      </c>
      <c r="R12" s="687" t="str">
        <f>F12</f>
        <v>1#</v>
      </c>
      <c r="S12" s="687" t="str">
        <f t="shared" si="1"/>
        <v>1#</v>
      </c>
      <c r="T12" s="687" t="str">
        <f t="shared" si="1"/>
        <v>1#</v>
      </c>
      <c r="U12" s="687" t="str">
        <f t="shared" si="1"/>
        <v>1#</v>
      </c>
      <c r="V12" s="687" t="str">
        <f t="shared" si="1"/>
        <v>1#</v>
      </c>
      <c r="W12" s="687" t="str">
        <f t="shared" si="1"/>
        <v>1#</v>
      </c>
      <c r="X12" s="687" t="str">
        <f t="shared" si="1"/>
        <v>1#</v>
      </c>
      <c r="Y12" s="856"/>
      <c r="Z12" s="860" t="s">
        <v>207</v>
      </c>
      <c r="AA12" s="856"/>
      <c r="AB12" s="856"/>
      <c r="AC12" s="856"/>
      <c r="AD12" s="856"/>
      <c r="AE12" s="856"/>
      <c r="AF12" s="856"/>
      <c r="AG12" s="856"/>
      <c r="AH12" s="682"/>
      <c r="AI12" s="856" t="s">
        <v>208</v>
      </c>
      <c r="AJ12" s="856"/>
      <c r="AK12" s="856"/>
      <c r="AL12" s="856"/>
      <c r="AM12" s="856"/>
      <c r="AN12" s="856"/>
      <c r="AO12" s="856"/>
      <c r="AP12" s="856"/>
    </row>
    <row r="13" spans="1:42" s="452" customFormat="1" ht="19.5" customHeight="1">
      <c r="A13" s="438"/>
      <c r="B13" s="861"/>
      <c r="C13" s="861"/>
      <c r="D13" s="861"/>
      <c r="E13" s="686" t="s">
        <v>209</v>
      </c>
      <c r="F13" s="686" t="s">
        <v>210</v>
      </c>
      <c r="G13" s="686" t="s">
        <v>211</v>
      </c>
      <c r="H13" s="686" t="s">
        <v>212</v>
      </c>
      <c r="I13" s="686" t="s">
        <v>213</v>
      </c>
      <c r="J13" s="686" t="s">
        <v>214</v>
      </c>
      <c r="K13" s="686" t="s">
        <v>215</v>
      </c>
      <c r="L13" s="686" t="s">
        <v>216</v>
      </c>
      <c r="M13" s="856"/>
      <c r="N13" s="684" t="s">
        <v>217</v>
      </c>
      <c r="O13" s="684" t="s">
        <v>218</v>
      </c>
      <c r="P13" s="684" t="s">
        <v>219</v>
      </c>
      <c r="Q13" s="687" t="s">
        <v>220</v>
      </c>
      <c r="R13" s="687" t="s">
        <v>221</v>
      </c>
      <c r="S13" s="687" t="s">
        <v>222</v>
      </c>
      <c r="T13" s="687" t="s">
        <v>223</v>
      </c>
      <c r="U13" s="687" t="s">
        <v>224</v>
      </c>
      <c r="V13" s="687" t="s">
        <v>225</v>
      </c>
      <c r="W13" s="687" t="s">
        <v>226</v>
      </c>
      <c r="X13" s="687" t="s">
        <v>227</v>
      </c>
      <c r="Y13" s="684"/>
      <c r="Z13" s="454" t="s">
        <v>209</v>
      </c>
      <c r="AA13" s="687" t="s">
        <v>210</v>
      </c>
      <c r="AB13" s="687" t="s">
        <v>211</v>
      </c>
      <c r="AC13" s="687" t="s">
        <v>212</v>
      </c>
      <c r="AD13" s="687" t="s">
        <v>213</v>
      </c>
      <c r="AE13" s="687" t="s">
        <v>214</v>
      </c>
      <c r="AF13" s="687" t="s">
        <v>215</v>
      </c>
      <c r="AG13" s="687" t="s">
        <v>216</v>
      </c>
      <c r="AH13" s="682"/>
      <c r="AI13" s="687" t="s">
        <v>209</v>
      </c>
      <c r="AJ13" s="687" t="s">
        <v>210</v>
      </c>
      <c r="AK13" s="687" t="s">
        <v>211</v>
      </c>
      <c r="AL13" s="687" t="s">
        <v>212</v>
      </c>
      <c r="AM13" s="687" t="s">
        <v>213</v>
      </c>
      <c r="AN13" s="687" t="s">
        <v>214</v>
      </c>
      <c r="AO13" s="687" t="s">
        <v>215</v>
      </c>
      <c r="AP13" s="687" t="s">
        <v>216</v>
      </c>
    </row>
    <row r="14" spans="1:42" ht="11.25">
      <c r="A14" s="194"/>
      <c r="B14" s="635" t="s">
        <v>58</v>
      </c>
      <c r="C14" s="636" t="s">
        <v>228</v>
      </c>
      <c r="D14" s="635"/>
      <c r="E14" s="647"/>
      <c r="F14" s="647"/>
      <c r="G14" s="647"/>
      <c r="H14" s="647"/>
      <c r="I14" s="647"/>
      <c r="J14" s="647"/>
      <c r="K14" s="647"/>
      <c r="L14" s="647"/>
      <c r="M14" s="648"/>
      <c r="N14" s="648"/>
      <c r="O14" s="648"/>
      <c r="P14" s="648"/>
      <c r="Q14" s="649"/>
      <c r="R14" s="649"/>
      <c r="S14" s="649"/>
      <c r="T14" s="649"/>
      <c r="U14" s="649"/>
      <c r="V14" s="649"/>
      <c r="W14" s="649"/>
      <c r="X14" s="649"/>
      <c r="Y14" s="640" t="s">
        <v>1860</v>
      </c>
      <c r="Z14" s="455"/>
      <c r="AA14" s="403"/>
      <c r="AB14" s="403"/>
      <c r="AC14" s="403"/>
      <c r="AD14" s="403"/>
      <c r="AE14" s="403"/>
      <c r="AF14" s="403"/>
      <c r="AG14" s="403"/>
      <c r="AH14" s="338"/>
      <c r="AI14" s="409"/>
      <c r="AJ14" s="409"/>
      <c r="AK14" s="409"/>
      <c r="AL14" s="409"/>
      <c r="AM14" s="409"/>
      <c r="AN14" s="409"/>
      <c r="AO14" s="409"/>
      <c r="AP14" s="409"/>
    </row>
    <row r="15" spans="1:42" ht="11.25">
      <c r="A15" s="191"/>
      <c r="B15" s="635" t="s">
        <v>133</v>
      </c>
      <c r="C15" s="636" t="s">
        <v>229</v>
      </c>
      <c r="D15" s="635"/>
      <c r="E15" s="647"/>
      <c r="F15" s="647"/>
      <c r="G15" s="647"/>
      <c r="H15" s="647"/>
      <c r="I15" s="647"/>
      <c r="J15" s="647"/>
      <c r="K15" s="647"/>
      <c r="L15" s="647"/>
      <c r="M15" s="648"/>
      <c r="N15" s="648"/>
      <c r="O15" s="648"/>
      <c r="P15" s="648"/>
      <c r="Q15" s="649"/>
      <c r="R15" s="649"/>
      <c r="S15" s="649"/>
      <c r="T15" s="649"/>
      <c r="U15" s="649"/>
      <c r="V15" s="649"/>
      <c r="W15" s="649"/>
      <c r="X15" s="649"/>
      <c r="Y15" s="640" t="s">
        <v>1860</v>
      </c>
      <c r="Z15" s="455"/>
      <c r="AA15" s="403"/>
      <c r="AB15" s="403"/>
      <c r="AC15" s="403"/>
      <c r="AD15" s="403"/>
      <c r="AE15" s="403"/>
      <c r="AF15" s="403"/>
      <c r="AG15" s="403"/>
      <c r="AH15" s="338"/>
      <c r="AI15" s="409"/>
      <c r="AJ15" s="409"/>
      <c r="AK15" s="409"/>
      <c r="AL15" s="409"/>
      <c r="AM15" s="409"/>
      <c r="AN15" s="409"/>
      <c r="AO15" s="409"/>
      <c r="AP15" s="409"/>
    </row>
    <row r="16" spans="1:42" s="384" customFormat="1" ht="22.5">
      <c r="A16" s="191"/>
      <c r="B16" s="689">
        <v>1</v>
      </c>
      <c r="C16" s="407" t="s">
        <v>230</v>
      </c>
      <c r="D16" s="408" t="s">
        <v>231</v>
      </c>
      <c r="E16" s="566"/>
      <c r="F16" s="566"/>
      <c r="G16" s="566"/>
      <c r="H16" s="566"/>
      <c r="I16" s="566"/>
      <c r="J16" s="566"/>
      <c r="K16" s="566"/>
      <c r="L16" s="566"/>
      <c r="M16" s="567">
        <f>N16+N16*O16%+P16</f>
        <v>84.64</v>
      </c>
      <c r="N16" s="567">
        <v>20</v>
      </c>
      <c r="O16" s="567">
        <v>10</v>
      </c>
      <c r="P16" s="567">
        <v>62.64</v>
      </c>
      <c r="Q16" s="402">
        <f t="shared" ref="Q16" si="3">E16*$M16</f>
        <v>0</v>
      </c>
      <c r="R16" s="402">
        <f t="shared" ref="R16" si="4">F16*$M16</f>
        <v>0</v>
      </c>
      <c r="S16" s="402">
        <f t="shared" ref="S16:X16" si="5">G16*$M16</f>
        <v>0</v>
      </c>
      <c r="T16" s="402">
        <f t="shared" si="5"/>
        <v>0</v>
      </c>
      <c r="U16" s="402">
        <f t="shared" si="5"/>
        <v>0</v>
      </c>
      <c r="V16" s="402">
        <f t="shared" si="5"/>
        <v>0</v>
      </c>
      <c r="W16" s="402">
        <f t="shared" si="5"/>
        <v>0</v>
      </c>
      <c r="X16" s="402">
        <f t="shared" si="5"/>
        <v>0</v>
      </c>
      <c r="Y16" s="409"/>
      <c r="Z16" s="455"/>
      <c r="AA16" s="403"/>
      <c r="AB16" s="403"/>
      <c r="AC16" s="403"/>
      <c r="AD16" s="403"/>
      <c r="AE16" s="403"/>
      <c r="AF16" s="403"/>
      <c r="AG16" s="403"/>
      <c r="AH16" s="338"/>
      <c r="AI16" s="409"/>
      <c r="AJ16" s="409"/>
      <c r="AK16" s="409"/>
      <c r="AL16" s="409"/>
      <c r="AM16" s="409"/>
      <c r="AN16" s="409"/>
      <c r="AO16" s="409"/>
      <c r="AP16" s="409"/>
    </row>
    <row r="17" spans="1:42" s="384" customFormat="1" ht="22.5">
      <c r="A17" s="191"/>
      <c r="B17" s="689">
        <v>2</v>
      </c>
      <c r="C17" s="407" t="s">
        <v>232</v>
      </c>
      <c r="D17" s="408" t="s">
        <v>231</v>
      </c>
      <c r="E17" s="566"/>
      <c r="F17" s="566"/>
      <c r="G17" s="566"/>
      <c r="H17" s="566"/>
      <c r="I17" s="566"/>
      <c r="J17" s="566"/>
      <c r="K17" s="566"/>
      <c r="L17" s="566"/>
      <c r="M17" s="567">
        <f t="shared" ref="M17" si="6">N17+N17*O17%+P17</f>
        <v>93.5</v>
      </c>
      <c r="N17" s="567">
        <v>20</v>
      </c>
      <c r="O17" s="567">
        <v>10</v>
      </c>
      <c r="P17" s="567">
        <v>71.5</v>
      </c>
      <c r="Q17" s="402">
        <f t="shared" ref="Q17:Q53" si="7">E17*$M17</f>
        <v>0</v>
      </c>
      <c r="R17" s="402">
        <f t="shared" ref="R17:R18" si="8">F17*$M17</f>
        <v>0</v>
      </c>
      <c r="S17" s="402">
        <f t="shared" ref="S17:S18" si="9">G17*$M17</f>
        <v>0</v>
      </c>
      <c r="T17" s="402">
        <f t="shared" ref="T17:T18" si="10">H17*$M17</f>
        <v>0</v>
      </c>
      <c r="U17" s="402">
        <f t="shared" ref="U17:U18" si="11">I17*$M17</f>
        <v>0</v>
      </c>
      <c r="V17" s="402">
        <f t="shared" ref="V17:V18" si="12">J17*$M17</f>
        <v>0</v>
      </c>
      <c r="W17" s="402">
        <f t="shared" ref="W17:W18" si="13">K17*$M17</f>
        <v>0</v>
      </c>
      <c r="X17" s="402">
        <f t="shared" ref="X17:X18" si="14">L17*$M17</f>
        <v>0</v>
      </c>
      <c r="Y17" s="409"/>
      <c r="Z17" s="455"/>
      <c r="AA17" s="403"/>
      <c r="AB17" s="403"/>
      <c r="AC17" s="403"/>
      <c r="AD17" s="403"/>
      <c r="AE17" s="403"/>
      <c r="AF17" s="403"/>
      <c r="AG17" s="403"/>
      <c r="AH17" s="338"/>
      <c r="AI17" s="409"/>
      <c r="AJ17" s="409"/>
      <c r="AK17" s="409"/>
      <c r="AL17" s="409"/>
      <c r="AM17" s="409"/>
      <c r="AN17" s="409"/>
      <c r="AO17" s="409"/>
      <c r="AP17" s="409"/>
    </row>
    <row r="18" spans="1:42" s="384" customFormat="1">
      <c r="A18" s="191"/>
      <c r="B18" s="689" t="s">
        <v>233</v>
      </c>
      <c r="C18" s="407" t="s">
        <v>234</v>
      </c>
      <c r="D18" s="408" t="s">
        <v>235</v>
      </c>
      <c r="E18" s="699"/>
      <c r="F18" s="699"/>
      <c r="G18" s="699"/>
      <c r="H18" s="699"/>
      <c r="I18" s="699"/>
      <c r="J18" s="699"/>
      <c r="K18" s="699"/>
      <c r="L18" s="699"/>
      <c r="M18" s="567">
        <f t="shared" ref="M18:M53" si="15">N18+N18*O18%+P18</f>
        <v>79</v>
      </c>
      <c r="N18" s="567">
        <v>40</v>
      </c>
      <c r="O18" s="567">
        <v>10</v>
      </c>
      <c r="P18" s="567">
        <v>35</v>
      </c>
      <c r="Q18" s="402">
        <f>E18*$M18</f>
        <v>0</v>
      </c>
      <c r="R18" s="402">
        <f t="shared" si="8"/>
        <v>0</v>
      </c>
      <c r="S18" s="402">
        <f t="shared" si="9"/>
        <v>0</v>
      </c>
      <c r="T18" s="402">
        <f t="shared" si="10"/>
        <v>0</v>
      </c>
      <c r="U18" s="402">
        <f t="shared" si="11"/>
        <v>0</v>
      </c>
      <c r="V18" s="402">
        <f t="shared" si="12"/>
        <v>0</v>
      </c>
      <c r="W18" s="402">
        <f t="shared" si="13"/>
        <v>0</v>
      </c>
      <c r="X18" s="402">
        <f t="shared" si="14"/>
        <v>0</v>
      </c>
      <c r="Y18" s="409"/>
      <c r="Z18" s="455"/>
      <c r="AA18" s="403"/>
      <c r="AB18" s="403"/>
      <c r="AC18" s="403"/>
      <c r="AD18" s="403"/>
      <c r="AE18" s="403"/>
      <c r="AF18" s="403"/>
      <c r="AG18" s="403"/>
      <c r="AH18" s="338"/>
      <c r="AI18" s="409"/>
      <c r="AJ18" s="409"/>
      <c r="AK18" s="409"/>
      <c r="AL18" s="409"/>
      <c r="AM18" s="409"/>
      <c r="AN18" s="409"/>
      <c r="AO18" s="409"/>
      <c r="AP18" s="409"/>
    </row>
    <row r="19" spans="1:42" s="384" customFormat="1">
      <c r="A19" s="191"/>
      <c r="B19" s="689">
        <v>3</v>
      </c>
      <c r="C19" s="407" t="s">
        <v>236</v>
      </c>
      <c r="D19" s="408" t="s">
        <v>235</v>
      </c>
      <c r="E19" s="566"/>
      <c r="F19" s="566"/>
      <c r="G19" s="566"/>
      <c r="H19" s="566"/>
      <c r="I19" s="566"/>
      <c r="J19" s="566"/>
      <c r="K19" s="566"/>
      <c r="L19" s="566"/>
      <c r="M19" s="567">
        <f t="shared" si="15"/>
        <v>15.25</v>
      </c>
      <c r="N19" s="567">
        <v>5</v>
      </c>
      <c r="O19" s="567">
        <v>9</v>
      </c>
      <c r="P19" s="567">
        <v>9.8000000000000007</v>
      </c>
      <c r="Q19" s="402">
        <f t="shared" si="7"/>
        <v>0</v>
      </c>
      <c r="R19" s="402">
        <f t="shared" ref="R19:R53" si="16">F19*$M19</f>
        <v>0</v>
      </c>
      <c r="S19" s="402">
        <f t="shared" ref="S19:S53" si="17">G19*$M19</f>
        <v>0</v>
      </c>
      <c r="T19" s="402">
        <f t="shared" ref="T19:T53" si="18">H19*$M19</f>
        <v>0</v>
      </c>
      <c r="U19" s="402">
        <f t="shared" ref="U19:U53" si="19">I19*$M19</f>
        <v>0</v>
      </c>
      <c r="V19" s="402">
        <f t="shared" ref="V19:V53" si="20">J19*$M19</f>
        <v>0</v>
      </c>
      <c r="W19" s="402">
        <f t="shared" ref="W19:W53" si="21">K19*$M19</f>
        <v>0</v>
      </c>
      <c r="X19" s="402">
        <f t="shared" ref="X19:X53" si="22">L19*$M19</f>
        <v>0</v>
      </c>
      <c r="Y19" s="409"/>
      <c r="Z19" s="455"/>
      <c r="AA19" s="403"/>
      <c r="AB19" s="403"/>
      <c r="AC19" s="403"/>
      <c r="AD19" s="403"/>
      <c r="AE19" s="403"/>
      <c r="AF19" s="403"/>
      <c r="AG19" s="403"/>
      <c r="AH19" s="338"/>
      <c r="AI19" s="409"/>
      <c r="AJ19" s="409"/>
      <c r="AK19" s="409"/>
      <c r="AL19" s="409"/>
      <c r="AM19" s="409"/>
      <c r="AN19" s="409"/>
      <c r="AO19" s="409"/>
      <c r="AP19" s="409"/>
    </row>
    <row r="20" spans="1:42" s="384" customFormat="1">
      <c r="A20" s="191"/>
      <c r="B20" s="689">
        <v>4</v>
      </c>
      <c r="C20" s="407" t="s">
        <v>237</v>
      </c>
      <c r="D20" s="408" t="s">
        <v>235</v>
      </c>
      <c r="E20" s="566"/>
      <c r="F20" s="566"/>
      <c r="G20" s="566"/>
      <c r="H20" s="566"/>
      <c r="I20" s="566"/>
      <c r="J20" s="566"/>
      <c r="K20" s="566"/>
      <c r="L20" s="566"/>
      <c r="M20" s="567">
        <f t="shared" si="15"/>
        <v>14.205000000000002</v>
      </c>
      <c r="N20" s="567">
        <v>4.5</v>
      </c>
      <c r="O20" s="567">
        <v>9</v>
      </c>
      <c r="P20" s="567">
        <v>9.3000000000000007</v>
      </c>
      <c r="Q20" s="402">
        <f t="shared" si="7"/>
        <v>0</v>
      </c>
      <c r="R20" s="402">
        <f t="shared" si="16"/>
        <v>0</v>
      </c>
      <c r="S20" s="402">
        <f t="shared" si="17"/>
        <v>0</v>
      </c>
      <c r="T20" s="402">
        <f t="shared" si="18"/>
        <v>0</v>
      </c>
      <c r="U20" s="402">
        <f t="shared" si="19"/>
        <v>0</v>
      </c>
      <c r="V20" s="402">
        <f t="shared" si="20"/>
        <v>0</v>
      </c>
      <c r="W20" s="402">
        <f t="shared" si="21"/>
        <v>0</v>
      </c>
      <c r="X20" s="402">
        <f t="shared" si="22"/>
        <v>0</v>
      </c>
      <c r="Y20" s="409"/>
      <c r="Z20" s="455"/>
      <c r="AA20" s="403"/>
      <c r="AB20" s="403"/>
      <c r="AC20" s="403"/>
      <c r="AD20" s="403"/>
      <c r="AE20" s="403"/>
      <c r="AF20" s="403"/>
      <c r="AG20" s="403"/>
      <c r="AH20" s="338"/>
      <c r="AI20" s="409"/>
      <c r="AJ20" s="409"/>
      <c r="AK20" s="409"/>
      <c r="AL20" s="409"/>
      <c r="AM20" s="409"/>
      <c r="AN20" s="409"/>
      <c r="AO20" s="409"/>
      <c r="AP20" s="409"/>
    </row>
    <row r="21" spans="1:42" s="384" customFormat="1">
      <c r="A21" s="191"/>
      <c r="B21" s="689">
        <v>5</v>
      </c>
      <c r="C21" s="407" t="s">
        <v>238</v>
      </c>
      <c r="D21" s="408" t="s">
        <v>235</v>
      </c>
      <c r="E21" s="566"/>
      <c r="F21" s="566"/>
      <c r="G21" s="566"/>
      <c r="H21" s="566"/>
      <c r="I21" s="566"/>
      <c r="J21" s="566"/>
      <c r="K21" s="566"/>
      <c r="L21" s="566"/>
      <c r="M21" s="567">
        <f t="shared" si="15"/>
        <v>13.11</v>
      </c>
      <c r="N21" s="567">
        <v>4</v>
      </c>
      <c r="O21" s="567">
        <v>9</v>
      </c>
      <c r="P21" s="567">
        <v>8.75</v>
      </c>
      <c r="Q21" s="402">
        <f t="shared" si="7"/>
        <v>0</v>
      </c>
      <c r="R21" s="402">
        <f t="shared" si="16"/>
        <v>0</v>
      </c>
      <c r="S21" s="402">
        <f t="shared" si="17"/>
        <v>0</v>
      </c>
      <c r="T21" s="402">
        <f t="shared" si="18"/>
        <v>0</v>
      </c>
      <c r="U21" s="402">
        <f t="shared" si="19"/>
        <v>0</v>
      </c>
      <c r="V21" s="402">
        <f t="shared" si="20"/>
        <v>0</v>
      </c>
      <c r="W21" s="402">
        <f t="shared" si="21"/>
        <v>0</v>
      </c>
      <c r="X21" s="402">
        <f t="shared" si="22"/>
        <v>0</v>
      </c>
      <c r="Y21" s="409"/>
      <c r="Z21" s="455"/>
      <c r="AA21" s="403"/>
      <c r="AB21" s="403"/>
      <c r="AC21" s="403"/>
      <c r="AD21" s="403"/>
      <c r="AE21" s="403"/>
      <c r="AF21" s="403"/>
      <c r="AG21" s="403"/>
      <c r="AH21" s="338"/>
      <c r="AI21" s="409"/>
      <c r="AJ21" s="409"/>
      <c r="AK21" s="409"/>
      <c r="AL21" s="409"/>
      <c r="AM21" s="409"/>
      <c r="AN21" s="409"/>
      <c r="AO21" s="409"/>
      <c r="AP21" s="409"/>
    </row>
    <row r="22" spans="1:42" s="384" customFormat="1">
      <c r="A22" s="358"/>
      <c r="B22" s="689">
        <v>6</v>
      </c>
      <c r="C22" s="651" t="s">
        <v>1910</v>
      </c>
      <c r="D22" s="402" t="s">
        <v>235</v>
      </c>
      <c r="E22" s="700"/>
      <c r="F22" s="566"/>
      <c r="G22" s="566"/>
      <c r="H22" s="566"/>
      <c r="I22" s="566"/>
      <c r="J22" s="566"/>
      <c r="K22" s="566"/>
      <c r="L22" s="566"/>
      <c r="M22" s="567">
        <f t="shared" si="15"/>
        <v>13.11</v>
      </c>
      <c r="N22" s="567">
        <v>4</v>
      </c>
      <c r="O22" s="567">
        <v>9</v>
      </c>
      <c r="P22" s="567">
        <v>8.75</v>
      </c>
      <c r="Q22" s="402">
        <f t="shared" si="7"/>
        <v>0</v>
      </c>
      <c r="R22" s="402">
        <f t="shared" si="16"/>
        <v>0</v>
      </c>
      <c r="S22" s="402">
        <f t="shared" si="17"/>
        <v>0</v>
      </c>
      <c r="T22" s="402">
        <f t="shared" si="18"/>
        <v>0</v>
      </c>
      <c r="U22" s="402">
        <f t="shared" si="19"/>
        <v>0</v>
      </c>
      <c r="V22" s="402">
        <f t="shared" si="20"/>
        <v>0</v>
      </c>
      <c r="W22" s="402">
        <f t="shared" si="21"/>
        <v>0</v>
      </c>
      <c r="X22" s="402">
        <f t="shared" si="22"/>
        <v>0</v>
      </c>
      <c r="Y22" s="409"/>
      <c r="Z22" s="455"/>
      <c r="AA22" s="403"/>
      <c r="AB22" s="403"/>
      <c r="AC22" s="403"/>
      <c r="AD22" s="403"/>
      <c r="AE22" s="403"/>
      <c r="AF22" s="403"/>
      <c r="AG22" s="403"/>
      <c r="AH22" s="338"/>
      <c r="AI22" s="409"/>
      <c r="AJ22" s="409"/>
      <c r="AK22" s="409"/>
      <c r="AL22" s="409"/>
      <c r="AM22" s="409"/>
      <c r="AN22" s="409"/>
      <c r="AO22" s="409"/>
      <c r="AP22" s="409"/>
    </row>
    <row r="23" spans="1:42" s="384" customFormat="1">
      <c r="A23" s="191"/>
      <c r="B23" s="689">
        <v>7</v>
      </c>
      <c r="C23" s="407" t="s">
        <v>240</v>
      </c>
      <c r="D23" s="408" t="s">
        <v>235</v>
      </c>
      <c r="E23" s="566"/>
      <c r="F23" s="566"/>
      <c r="G23" s="566"/>
      <c r="H23" s="566"/>
      <c r="I23" s="566"/>
      <c r="J23" s="566"/>
      <c r="K23" s="566"/>
      <c r="L23" s="566"/>
      <c r="M23" s="567">
        <f t="shared" si="15"/>
        <v>12.025</v>
      </c>
      <c r="N23" s="567">
        <v>3.5</v>
      </c>
      <c r="O23" s="567">
        <v>9</v>
      </c>
      <c r="P23" s="567">
        <v>8.2100000000000009</v>
      </c>
      <c r="Q23" s="402">
        <f t="shared" si="7"/>
        <v>0</v>
      </c>
      <c r="R23" s="402">
        <f t="shared" si="16"/>
        <v>0</v>
      </c>
      <c r="S23" s="402">
        <f t="shared" si="17"/>
        <v>0</v>
      </c>
      <c r="T23" s="402">
        <f t="shared" si="18"/>
        <v>0</v>
      </c>
      <c r="U23" s="402">
        <f t="shared" si="19"/>
        <v>0</v>
      </c>
      <c r="V23" s="402">
        <f t="shared" si="20"/>
        <v>0</v>
      </c>
      <c r="W23" s="402">
        <f t="shared" si="21"/>
        <v>0</v>
      </c>
      <c r="X23" s="402">
        <f t="shared" si="22"/>
        <v>0</v>
      </c>
      <c r="Y23" s="409"/>
      <c r="Z23" s="455"/>
      <c r="AA23" s="403"/>
      <c r="AB23" s="403"/>
      <c r="AC23" s="403"/>
      <c r="AD23" s="403"/>
      <c r="AE23" s="403"/>
      <c r="AF23" s="403"/>
      <c r="AG23" s="403"/>
      <c r="AH23" s="338"/>
      <c r="AI23" s="409"/>
      <c r="AJ23" s="409"/>
      <c r="AK23" s="409"/>
      <c r="AL23" s="409"/>
      <c r="AM23" s="409"/>
      <c r="AN23" s="409"/>
      <c r="AO23" s="409"/>
      <c r="AP23" s="409"/>
    </row>
    <row r="24" spans="1:42" s="384" customFormat="1">
      <c r="A24" s="191"/>
      <c r="B24" s="689">
        <v>8</v>
      </c>
      <c r="C24" s="407" t="s">
        <v>241</v>
      </c>
      <c r="D24" s="408" t="s">
        <v>235</v>
      </c>
      <c r="E24" s="566"/>
      <c r="F24" s="566"/>
      <c r="G24" s="566"/>
      <c r="H24" s="566"/>
      <c r="I24" s="566"/>
      <c r="J24" s="566"/>
      <c r="K24" s="566"/>
      <c r="L24" s="566"/>
      <c r="M24" s="567">
        <f t="shared" si="15"/>
        <v>12.025</v>
      </c>
      <c r="N24" s="567">
        <v>3.5</v>
      </c>
      <c r="O24" s="567">
        <v>9</v>
      </c>
      <c r="P24" s="567">
        <v>8.2100000000000009</v>
      </c>
      <c r="Q24" s="402">
        <f t="shared" si="7"/>
        <v>0</v>
      </c>
      <c r="R24" s="402">
        <f t="shared" si="16"/>
        <v>0</v>
      </c>
      <c r="S24" s="402">
        <f t="shared" si="17"/>
        <v>0</v>
      </c>
      <c r="T24" s="402">
        <f t="shared" si="18"/>
        <v>0</v>
      </c>
      <c r="U24" s="402">
        <f t="shared" si="19"/>
        <v>0</v>
      </c>
      <c r="V24" s="402">
        <f t="shared" si="20"/>
        <v>0</v>
      </c>
      <c r="W24" s="402">
        <f t="shared" si="21"/>
        <v>0</v>
      </c>
      <c r="X24" s="402">
        <f t="shared" si="22"/>
        <v>0</v>
      </c>
      <c r="Y24" s="409"/>
      <c r="Z24" s="455"/>
      <c r="AA24" s="403"/>
      <c r="AB24" s="403"/>
      <c r="AC24" s="403"/>
      <c r="AD24" s="403"/>
      <c r="AE24" s="403"/>
      <c r="AF24" s="403"/>
      <c r="AG24" s="403"/>
      <c r="AH24" s="338"/>
      <c r="AI24" s="409"/>
      <c r="AJ24" s="409"/>
      <c r="AK24" s="409"/>
      <c r="AL24" s="409"/>
      <c r="AM24" s="409"/>
      <c r="AN24" s="409"/>
      <c r="AO24" s="409"/>
      <c r="AP24" s="409"/>
    </row>
    <row r="25" spans="1:42" s="384" customFormat="1">
      <c r="A25" s="191"/>
      <c r="B25" s="689">
        <v>9</v>
      </c>
      <c r="C25" s="407" t="s">
        <v>242</v>
      </c>
      <c r="D25" s="408" t="s">
        <v>235</v>
      </c>
      <c r="E25" s="566"/>
      <c r="F25" s="566"/>
      <c r="G25" s="566"/>
      <c r="H25" s="566"/>
      <c r="I25" s="566"/>
      <c r="J25" s="566"/>
      <c r="K25" s="566"/>
      <c r="L25" s="566"/>
      <c r="M25" s="567">
        <f t="shared" si="15"/>
        <v>13.11</v>
      </c>
      <c r="N25" s="567">
        <v>4</v>
      </c>
      <c r="O25" s="567">
        <v>9</v>
      </c>
      <c r="P25" s="567">
        <v>8.75</v>
      </c>
      <c r="Q25" s="402">
        <f t="shared" si="7"/>
        <v>0</v>
      </c>
      <c r="R25" s="402">
        <f t="shared" si="16"/>
        <v>0</v>
      </c>
      <c r="S25" s="402">
        <f t="shared" si="17"/>
        <v>0</v>
      </c>
      <c r="T25" s="402">
        <f t="shared" si="18"/>
        <v>0</v>
      </c>
      <c r="U25" s="402">
        <f t="shared" si="19"/>
        <v>0</v>
      </c>
      <c r="V25" s="402">
        <f t="shared" si="20"/>
        <v>0</v>
      </c>
      <c r="W25" s="402">
        <f t="shared" si="21"/>
        <v>0</v>
      </c>
      <c r="X25" s="402">
        <f t="shared" si="22"/>
        <v>0</v>
      </c>
      <c r="Y25" s="409"/>
      <c r="Z25" s="455"/>
      <c r="AA25" s="403"/>
      <c r="AB25" s="403"/>
      <c r="AC25" s="403"/>
      <c r="AD25" s="403"/>
      <c r="AE25" s="403"/>
      <c r="AF25" s="403"/>
      <c r="AG25" s="403"/>
      <c r="AH25" s="338"/>
      <c r="AI25" s="409"/>
      <c r="AJ25" s="409"/>
      <c r="AK25" s="409"/>
      <c r="AL25" s="409"/>
      <c r="AM25" s="409"/>
      <c r="AN25" s="409"/>
      <c r="AO25" s="409"/>
      <c r="AP25" s="409"/>
    </row>
    <row r="26" spans="1:42" ht="22.5">
      <c r="A26" s="191"/>
      <c r="B26" s="689">
        <v>10</v>
      </c>
      <c r="C26" s="407" t="s">
        <v>243</v>
      </c>
      <c r="D26" s="408" t="s">
        <v>231</v>
      </c>
      <c r="E26" s="566">
        <v>0</v>
      </c>
      <c r="F26" s="566">
        <f>C单元!$E$18+3.6*0.1+17.45*(0.256+0.124)+16.61*0.07</f>
        <v>36.923699999999997</v>
      </c>
      <c r="G26" s="566">
        <f>B单元!$E$18+15.54*(0.256+0.124)+14.7*0.07</f>
        <v>32.464200000000005</v>
      </c>
      <c r="H26" s="566">
        <v>0</v>
      </c>
      <c r="I26" s="566">
        <f>H单元!E18+17.96*(0.256+0.124)+17.12*0.07</f>
        <v>39.523200000000003</v>
      </c>
      <c r="J26" s="566">
        <f>'D单元 '!E18+17.18*(0.256+0.124)+16.56*0.07</f>
        <v>34.047599999999996</v>
      </c>
      <c r="K26" s="566">
        <f>I单元!$E$18+20.61*(0.256+0.124)+19.77*0.07</f>
        <v>43.145699999999998</v>
      </c>
      <c r="L26" s="566">
        <v>0</v>
      </c>
      <c r="M26" s="567">
        <f t="shared" si="15"/>
        <v>21.428709999999999</v>
      </c>
      <c r="N26" s="567">
        <f>'附件4-8甲供材料清单'!N123</f>
        <v>2.2087100000000004</v>
      </c>
      <c r="O26" s="567"/>
      <c r="P26" s="567">
        <v>19.22</v>
      </c>
      <c r="Q26" s="411">
        <f t="shared" si="7"/>
        <v>0</v>
      </c>
      <c r="R26" s="411">
        <f t="shared" si="16"/>
        <v>791.22725942699992</v>
      </c>
      <c r="S26" s="411">
        <f t="shared" si="17"/>
        <v>695.66592718200002</v>
      </c>
      <c r="T26" s="411">
        <f t="shared" si="18"/>
        <v>0</v>
      </c>
      <c r="U26" s="411">
        <f t="shared" si="19"/>
        <v>846.93119107200005</v>
      </c>
      <c r="V26" s="411">
        <f t="shared" si="20"/>
        <v>729.59614659599981</v>
      </c>
      <c r="W26" s="411">
        <f t="shared" si="21"/>
        <v>924.55669304699995</v>
      </c>
      <c r="X26" s="411">
        <f t="shared" si="22"/>
        <v>0</v>
      </c>
      <c r="Y26" s="409" t="s">
        <v>244</v>
      </c>
      <c r="Z26" s="455">
        <f>Q26</f>
        <v>0</v>
      </c>
      <c r="AA26" s="403">
        <f t="shared" ref="AA26" si="23">R26</f>
        <v>791.22725942699992</v>
      </c>
      <c r="AB26" s="403">
        <f t="shared" ref="AB26:AG27" si="24">S26</f>
        <v>695.66592718200002</v>
      </c>
      <c r="AC26" s="403">
        <f t="shared" si="24"/>
        <v>0</v>
      </c>
      <c r="AD26" s="403">
        <f t="shared" si="24"/>
        <v>846.93119107200005</v>
      </c>
      <c r="AE26" s="403">
        <f t="shared" si="24"/>
        <v>729.59614659599981</v>
      </c>
      <c r="AF26" s="403">
        <f t="shared" si="24"/>
        <v>924.55669304699995</v>
      </c>
      <c r="AG26" s="403">
        <f t="shared" si="24"/>
        <v>0</v>
      </c>
      <c r="AH26" s="323"/>
      <c r="AI26" s="403">
        <f>E26*$N26*(1+$O26%)</f>
        <v>0</v>
      </c>
      <c r="AJ26" s="403">
        <f t="shared" ref="AJ26" si="25">F26*$N26*(1+$O26%)</f>
        <v>81.55374542700001</v>
      </c>
      <c r="AK26" s="403">
        <f t="shared" ref="AK26:AP27" si="26">G26*$N26*(1+$O26%)</f>
        <v>71.704003182000022</v>
      </c>
      <c r="AL26" s="403">
        <f t="shared" si="26"/>
        <v>0</v>
      </c>
      <c r="AM26" s="403">
        <f t="shared" si="26"/>
        <v>87.295287072000022</v>
      </c>
      <c r="AN26" s="403">
        <f t="shared" si="26"/>
        <v>75.201274596000005</v>
      </c>
      <c r="AO26" s="403">
        <f t="shared" si="26"/>
        <v>95.296339047000018</v>
      </c>
      <c r="AP26" s="403">
        <f t="shared" si="26"/>
        <v>0</v>
      </c>
    </row>
    <row r="27" spans="1:42" ht="22.5">
      <c r="A27" s="191"/>
      <c r="B27" s="689" t="s">
        <v>233</v>
      </c>
      <c r="C27" s="407" t="s">
        <v>245</v>
      </c>
      <c r="D27" s="408" t="s">
        <v>231</v>
      </c>
      <c r="E27" s="568"/>
      <c r="F27" s="566"/>
      <c r="G27" s="566"/>
      <c r="H27" s="566"/>
      <c r="I27" s="566"/>
      <c r="J27" s="566"/>
      <c r="K27" s="566"/>
      <c r="L27" s="566"/>
      <c r="M27" s="567">
        <f t="shared" si="15"/>
        <v>23.988709999999998</v>
      </c>
      <c r="N27" s="567">
        <f>N26</f>
        <v>2.2087100000000004</v>
      </c>
      <c r="O27" s="567"/>
      <c r="P27" s="567">
        <f>19.22+2.56</f>
        <v>21.779999999999998</v>
      </c>
      <c r="Q27" s="411">
        <f t="shared" si="7"/>
        <v>0</v>
      </c>
      <c r="R27" s="411">
        <f t="shared" si="16"/>
        <v>0</v>
      </c>
      <c r="S27" s="411">
        <f t="shared" si="17"/>
        <v>0</v>
      </c>
      <c r="T27" s="411">
        <f t="shared" si="18"/>
        <v>0</v>
      </c>
      <c r="U27" s="411">
        <f t="shared" si="19"/>
        <v>0</v>
      </c>
      <c r="V27" s="411">
        <f t="shared" si="20"/>
        <v>0</v>
      </c>
      <c r="W27" s="411">
        <f t="shared" si="21"/>
        <v>0</v>
      </c>
      <c r="X27" s="411">
        <f t="shared" si="22"/>
        <v>0</v>
      </c>
      <c r="Y27" s="409" t="s">
        <v>244</v>
      </c>
      <c r="Z27" s="455">
        <f>Q27</f>
        <v>0</v>
      </c>
      <c r="AA27" s="403">
        <f t="shared" ref="AA27" si="27">R27</f>
        <v>0</v>
      </c>
      <c r="AB27" s="403">
        <f t="shared" si="24"/>
        <v>0</v>
      </c>
      <c r="AC27" s="403">
        <f t="shared" si="24"/>
        <v>0</v>
      </c>
      <c r="AD27" s="403">
        <f t="shared" si="24"/>
        <v>0</v>
      </c>
      <c r="AE27" s="403">
        <f t="shared" si="24"/>
        <v>0</v>
      </c>
      <c r="AF27" s="403">
        <f t="shared" si="24"/>
        <v>0</v>
      </c>
      <c r="AG27" s="403">
        <f t="shared" si="24"/>
        <v>0</v>
      </c>
      <c r="AH27" s="323"/>
      <c r="AI27" s="403">
        <f>E27*$N27*(1+$O27%)</f>
        <v>0</v>
      </c>
      <c r="AJ27" s="403">
        <f t="shared" ref="AJ27" si="28">F27*$N27*(1+$O27%)</f>
        <v>0</v>
      </c>
      <c r="AK27" s="403">
        <f t="shared" si="26"/>
        <v>0</v>
      </c>
      <c r="AL27" s="403">
        <f t="shared" si="26"/>
        <v>0</v>
      </c>
      <c r="AM27" s="403">
        <f t="shared" si="26"/>
        <v>0</v>
      </c>
      <c r="AN27" s="403">
        <f t="shared" si="26"/>
        <v>0</v>
      </c>
      <c r="AO27" s="403">
        <f t="shared" si="26"/>
        <v>0</v>
      </c>
      <c r="AP27" s="403">
        <f t="shared" si="26"/>
        <v>0</v>
      </c>
    </row>
    <row r="28" spans="1:42" ht="11.25">
      <c r="A28" s="285"/>
      <c r="B28" s="635" t="s">
        <v>246</v>
      </c>
      <c r="C28" s="636" t="s">
        <v>247</v>
      </c>
      <c r="D28" s="642"/>
      <c r="E28" s="647"/>
      <c r="F28" s="647"/>
      <c r="G28" s="647"/>
      <c r="H28" s="647"/>
      <c r="I28" s="647"/>
      <c r="J28" s="647"/>
      <c r="K28" s="647"/>
      <c r="L28" s="647"/>
      <c r="M28" s="648"/>
      <c r="N28" s="648"/>
      <c r="O28" s="648"/>
      <c r="P28" s="648"/>
      <c r="Q28" s="649"/>
      <c r="R28" s="649"/>
      <c r="S28" s="649"/>
      <c r="T28" s="649"/>
      <c r="U28" s="649"/>
      <c r="V28" s="649"/>
      <c r="W28" s="649"/>
      <c r="X28" s="649"/>
      <c r="Y28" s="640" t="s">
        <v>1860</v>
      </c>
      <c r="Z28" s="455"/>
      <c r="AA28" s="403"/>
      <c r="AB28" s="403"/>
      <c r="AC28" s="403"/>
      <c r="AD28" s="403"/>
      <c r="AE28" s="403"/>
      <c r="AF28" s="403"/>
      <c r="AG28" s="403"/>
      <c r="AH28" s="323"/>
      <c r="AI28" s="423"/>
      <c r="AJ28" s="423"/>
      <c r="AK28" s="423"/>
      <c r="AL28" s="423"/>
      <c r="AM28" s="423"/>
      <c r="AN28" s="423"/>
      <c r="AO28" s="423"/>
      <c r="AP28" s="423"/>
    </row>
    <row r="29" spans="1:42" ht="22.5">
      <c r="A29" s="191"/>
      <c r="B29" s="689">
        <v>1</v>
      </c>
      <c r="C29" s="407" t="s">
        <v>248</v>
      </c>
      <c r="D29" s="408" t="s">
        <v>231</v>
      </c>
      <c r="E29" s="566">
        <f>A单元!E25+A单元!E56</f>
        <v>28.26</v>
      </c>
      <c r="F29" s="566">
        <f>C单元!E18</f>
        <v>28.77</v>
      </c>
      <c r="G29" s="566">
        <f>B单元!E18</f>
        <v>25.53</v>
      </c>
      <c r="H29" s="566">
        <f>F单元!$E$25+F单元!$E$56</f>
        <v>32.28</v>
      </c>
      <c r="I29" s="566">
        <f>H单元!E18</f>
        <v>31.5</v>
      </c>
      <c r="J29" s="566">
        <f>'D单元 '!E18</f>
        <v>26.36</v>
      </c>
      <c r="K29" s="566">
        <f>I单元!$E$18</f>
        <v>33.93</v>
      </c>
      <c r="L29" s="566">
        <f>E单元!$E$25+E单元!$E$56</f>
        <v>35.58</v>
      </c>
      <c r="M29" s="567">
        <f t="shared" si="15"/>
        <v>137.26249999999999</v>
      </c>
      <c r="N29" s="567">
        <f>'附件4-8甲供材料清单'!M7</f>
        <v>78.124999999999986</v>
      </c>
      <c r="O29" s="567">
        <v>14</v>
      </c>
      <c r="P29" s="567">
        <v>48.2</v>
      </c>
      <c r="Q29" s="411">
        <f t="shared" si="7"/>
        <v>3879.0382500000001</v>
      </c>
      <c r="R29" s="411">
        <f t="shared" si="16"/>
        <v>3949.0421249999995</v>
      </c>
      <c r="S29" s="411">
        <f t="shared" si="17"/>
        <v>3504.3116249999998</v>
      </c>
      <c r="T29" s="411">
        <f t="shared" si="18"/>
        <v>4430.8334999999997</v>
      </c>
      <c r="U29" s="411">
        <f t="shared" si="19"/>
        <v>4323.7687499999993</v>
      </c>
      <c r="V29" s="411">
        <f t="shared" si="20"/>
        <v>3618.2394999999997</v>
      </c>
      <c r="W29" s="411">
        <f t="shared" si="21"/>
        <v>4657.3166249999995</v>
      </c>
      <c r="X29" s="411">
        <f t="shared" si="22"/>
        <v>4883.7997499999992</v>
      </c>
      <c r="Y29" s="409" t="s">
        <v>244</v>
      </c>
      <c r="Z29" s="455">
        <f t="shared" ref="Z29" si="29">Q29</f>
        <v>3879.0382500000001</v>
      </c>
      <c r="AA29" s="403">
        <f t="shared" ref="AA29:AG30" si="30">R29</f>
        <v>3949.0421249999995</v>
      </c>
      <c r="AB29" s="403">
        <f t="shared" si="30"/>
        <v>3504.3116249999998</v>
      </c>
      <c r="AC29" s="403">
        <f t="shared" si="30"/>
        <v>4430.8334999999997</v>
      </c>
      <c r="AD29" s="403">
        <f t="shared" si="30"/>
        <v>4323.7687499999993</v>
      </c>
      <c r="AE29" s="403">
        <f t="shared" si="30"/>
        <v>3618.2394999999997</v>
      </c>
      <c r="AF29" s="403">
        <f t="shared" si="30"/>
        <v>4657.3166249999995</v>
      </c>
      <c r="AG29" s="403">
        <f t="shared" si="30"/>
        <v>4883.7997499999992</v>
      </c>
      <c r="AH29" s="323"/>
      <c r="AI29" s="403">
        <f t="shared" ref="AI29" si="31">E29*$N29*(1+$O29%)</f>
        <v>2516.9062499999995</v>
      </c>
      <c r="AJ29" s="403">
        <f t="shared" ref="AJ29:AP30" si="32">F29*$N29*(1+$O29%)</f>
        <v>2562.3281249999995</v>
      </c>
      <c r="AK29" s="403">
        <f t="shared" si="32"/>
        <v>2273.765625</v>
      </c>
      <c r="AL29" s="403">
        <f t="shared" si="32"/>
        <v>2874.9375</v>
      </c>
      <c r="AM29" s="403">
        <f t="shared" si="32"/>
        <v>2805.46875</v>
      </c>
      <c r="AN29" s="403">
        <f t="shared" si="32"/>
        <v>2347.6874999999995</v>
      </c>
      <c r="AO29" s="403">
        <f t="shared" si="32"/>
        <v>3021.890625</v>
      </c>
      <c r="AP29" s="403">
        <f t="shared" si="32"/>
        <v>3168.84375</v>
      </c>
    </row>
    <row r="30" spans="1:42" ht="33.75">
      <c r="A30" s="191" t="s">
        <v>249</v>
      </c>
      <c r="B30" s="689">
        <v>2</v>
      </c>
      <c r="C30" s="407" t="s">
        <v>250</v>
      </c>
      <c r="D30" s="408" t="s">
        <v>235</v>
      </c>
      <c r="E30" s="566"/>
      <c r="F30" s="566"/>
      <c r="G30" s="566"/>
      <c r="H30" s="566"/>
      <c r="I30" s="566"/>
      <c r="J30" s="566"/>
      <c r="K30" s="566"/>
      <c r="L30" s="566"/>
      <c r="M30" s="567">
        <f t="shared" si="15"/>
        <v>24.23</v>
      </c>
      <c r="N30" s="567">
        <f>'附件4-8甲供材料清单'!M9</f>
        <v>15</v>
      </c>
      <c r="O30" s="567">
        <v>5</v>
      </c>
      <c r="P30" s="567">
        <v>8.48</v>
      </c>
      <c r="Q30" s="411">
        <f t="shared" si="7"/>
        <v>0</v>
      </c>
      <c r="R30" s="411">
        <f t="shared" si="16"/>
        <v>0</v>
      </c>
      <c r="S30" s="411">
        <f t="shared" si="17"/>
        <v>0</v>
      </c>
      <c r="T30" s="411">
        <f t="shared" si="18"/>
        <v>0</v>
      </c>
      <c r="U30" s="411">
        <f t="shared" si="19"/>
        <v>0</v>
      </c>
      <c r="V30" s="411">
        <f t="shared" si="20"/>
        <v>0</v>
      </c>
      <c r="W30" s="411">
        <f t="shared" si="21"/>
        <v>0</v>
      </c>
      <c r="X30" s="411">
        <f t="shared" si="22"/>
        <v>0</v>
      </c>
      <c r="Y30" s="409" t="s">
        <v>244</v>
      </c>
      <c r="Z30" s="455">
        <f>Q30</f>
        <v>0</v>
      </c>
      <c r="AA30" s="403">
        <f t="shared" si="30"/>
        <v>0</v>
      </c>
      <c r="AB30" s="403">
        <f t="shared" si="30"/>
        <v>0</v>
      </c>
      <c r="AC30" s="403">
        <f t="shared" si="30"/>
        <v>0</v>
      </c>
      <c r="AD30" s="403">
        <f t="shared" si="30"/>
        <v>0</v>
      </c>
      <c r="AE30" s="403">
        <f t="shared" si="30"/>
        <v>0</v>
      </c>
      <c r="AF30" s="403">
        <f t="shared" si="30"/>
        <v>0</v>
      </c>
      <c r="AG30" s="403">
        <f t="shared" si="30"/>
        <v>0</v>
      </c>
      <c r="AH30" s="323"/>
      <c r="AI30" s="403">
        <f>E30*$N30*(1+$O30%)</f>
        <v>0</v>
      </c>
      <c r="AJ30" s="403">
        <f t="shared" si="32"/>
        <v>0</v>
      </c>
      <c r="AK30" s="403">
        <f t="shared" si="32"/>
        <v>0</v>
      </c>
      <c r="AL30" s="403">
        <f t="shared" si="32"/>
        <v>0</v>
      </c>
      <c r="AM30" s="403">
        <f t="shared" si="32"/>
        <v>0</v>
      </c>
      <c r="AN30" s="403">
        <f t="shared" si="32"/>
        <v>0</v>
      </c>
      <c r="AO30" s="403">
        <f t="shared" si="32"/>
        <v>0</v>
      </c>
      <c r="AP30" s="403">
        <f t="shared" si="32"/>
        <v>0</v>
      </c>
    </row>
    <row r="31" spans="1:42" s="384" customFormat="1">
      <c r="A31" s="191"/>
      <c r="B31" s="689">
        <v>3</v>
      </c>
      <c r="C31" s="407" t="s">
        <v>251</v>
      </c>
      <c r="D31" s="408" t="s">
        <v>231</v>
      </c>
      <c r="E31" s="566"/>
      <c r="F31" s="566"/>
      <c r="G31" s="566"/>
      <c r="H31" s="566"/>
      <c r="I31" s="566"/>
      <c r="J31" s="566"/>
      <c r="K31" s="566"/>
      <c r="L31" s="566"/>
      <c r="M31" s="567">
        <f t="shared" si="15"/>
        <v>411.6</v>
      </c>
      <c r="N31" s="411">
        <v>300</v>
      </c>
      <c r="O31" s="411">
        <v>3</v>
      </c>
      <c r="P31" s="567">
        <v>102.6</v>
      </c>
      <c r="Q31" s="402">
        <f t="shared" si="7"/>
        <v>0</v>
      </c>
      <c r="R31" s="402">
        <f t="shared" si="16"/>
        <v>0</v>
      </c>
      <c r="S31" s="402">
        <f t="shared" si="17"/>
        <v>0</v>
      </c>
      <c r="T31" s="402">
        <f t="shared" si="18"/>
        <v>0</v>
      </c>
      <c r="U31" s="402">
        <f t="shared" si="19"/>
        <v>0</v>
      </c>
      <c r="V31" s="402">
        <f t="shared" si="20"/>
        <v>0</v>
      </c>
      <c r="W31" s="402">
        <f t="shared" si="21"/>
        <v>0</v>
      </c>
      <c r="X31" s="402">
        <f t="shared" si="22"/>
        <v>0</v>
      </c>
      <c r="Y31" s="409"/>
      <c r="Z31" s="455"/>
      <c r="AA31" s="403"/>
      <c r="AB31" s="403"/>
      <c r="AC31" s="403"/>
      <c r="AD31" s="403"/>
      <c r="AE31" s="403"/>
      <c r="AF31" s="403"/>
      <c r="AG31" s="403"/>
      <c r="AH31" s="323"/>
      <c r="AI31" s="423"/>
      <c r="AJ31" s="423"/>
      <c r="AK31" s="423"/>
      <c r="AL31" s="423"/>
      <c r="AM31" s="423"/>
      <c r="AN31" s="423"/>
      <c r="AO31" s="423"/>
      <c r="AP31" s="423"/>
    </row>
    <row r="32" spans="1:42" s="384" customFormat="1">
      <c r="A32" s="191"/>
      <c r="B32" s="689">
        <v>4</v>
      </c>
      <c r="C32" s="407" t="s">
        <v>252</v>
      </c>
      <c r="D32" s="408" t="s">
        <v>231</v>
      </c>
      <c r="E32" s="566">
        <f>A单元!$L$17*0.047+A单元!$L$22*(0.047+0.056)+A单元!$J$6*0.231*A单元!$J$17+A单元!$G$6*0.14*A单元!$G$17+A单元!$H$6*0.12*A单元!$H$17</f>
        <v>0.26780000000000004</v>
      </c>
      <c r="F32" s="566">
        <f>C单元!$L$17*0.047+C单元!$L$22*(0.047+0.056)+C单元!$J$6*0.231*C单元!$J$17+C单元!$G$6*0.14*C单元!$G$17+C单元!$H$6*0.12*C单元!$H$17</f>
        <v>0.91888999999999998</v>
      </c>
      <c r="G32" s="566">
        <f>B单元!$L$17*0.047+B单元!$L$22*(0.047+0.056)+B单元!$J$6*0.231*B单元!$J$17+B单元!$G$6*0.14*B单元!$G$17+B单元!$H$6*0.12*B单元!$H$17</f>
        <v>0.68250000000000011</v>
      </c>
      <c r="H32" s="566">
        <f>F单元!$L$17*0.047+F单元!$L$22*(0.047+0.056)+F单元!$J$6*0.231*F单元!$J$17+F单元!$G$6*0.14*F单元!$G$17+F单元!$H$6*0.12*F单元!$H$17</f>
        <v>0.2472</v>
      </c>
      <c r="I32" s="566">
        <f>H单元!$L$17*0.047+H单元!$L$22*(0.047+0.056)+H单元!$J$6*0.231*H单元!$J$17+H单元!$G$6*0.14*H单元!$G$17+H单元!$H$6*0.12*H单元!$H$17</f>
        <v>0.90876000000000001</v>
      </c>
      <c r="J32" s="566">
        <f>'D单元 '!$L$17*0.047+'D单元 '!$L$22*(0.047+0.056)+'D单元 '!$J$6*0.231*'D单元 '!$J$17+'D单元 '!$G$6*0.14*'D单元 '!$G$17+'D单元 '!$H$6*0.12*'D单元 '!$H$17</f>
        <v>0.50180000000000002</v>
      </c>
      <c r="K32" s="566">
        <f>I单元!$L$17*0.047+I单元!$L$22*(0.047+0.056)+I单元!$J$6*0.231*I单元!$J$17+I单元!$G$6*0.14*I单元!$G$17+I单元!$H$6*0.12*I单元!$H$17</f>
        <v>0.92935999999999996</v>
      </c>
      <c r="L32" s="566">
        <f>E单元!$L$17*0.047+E单元!$L$22*(0.047+0.056)+E单元!$J$6*0.231*E单元!$J$17+E单元!$G$6*0.14*E单元!$G$17+E单元!$H$6*0.12*E单元!$H$17</f>
        <v>0.26780000000000004</v>
      </c>
      <c r="M32" s="567">
        <f t="shared" si="15"/>
        <v>449.4</v>
      </c>
      <c r="N32" s="411">
        <v>300</v>
      </c>
      <c r="O32" s="411">
        <v>3</v>
      </c>
      <c r="P32" s="567">
        <v>140.4</v>
      </c>
      <c r="Q32" s="402">
        <f t="shared" si="7"/>
        <v>120.34932000000001</v>
      </c>
      <c r="R32" s="402">
        <f t="shared" si="16"/>
        <v>412.94916599999999</v>
      </c>
      <c r="S32" s="402">
        <f t="shared" si="17"/>
        <v>306.71550000000002</v>
      </c>
      <c r="T32" s="402">
        <f t="shared" si="18"/>
        <v>111.09168</v>
      </c>
      <c r="U32" s="402">
        <f t="shared" si="19"/>
        <v>408.39674400000001</v>
      </c>
      <c r="V32" s="402">
        <f t="shared" si="20"/>
        <v>225.50891999999999</v>
      </c>
      <c r="W32" s="402">
        <f t="shared" si="21"/>
        <v>417.65438399999994</v>
      </c>
      <c r="X32" s="402">
        <f t="shared" si="22"/>
        <v>120.34932000000001</v>
      </c>
      <c r="Y32" s="409"/>
      <c r="Z32" s="455"/>
      <c r="AA32" s="403"/>
      <c r="AB32" s="403"/>
      <c r="AC32" s="403"/>
      <c r="AD32" s="403"/>
      <c r="AE32" s="403"/>
      <c r="AF32" s="403"/>
      <c r="AG32" s="403"/>
      <c r="AH32" s="323"/>
      <c r="AI32" s="423"/>
      <c r="AJ32" s="423"/>
      <c r="AK32" s="423"/>
      <c r="AL32" s="423"/>
      <c r="AM32" s="423"/>
      <c r="AN32" s="423"/>
      <c r="AO32" s="423"/>
      <c r="AP32" s="423"/>
    </row>
    <row r="33" spans="1:42" s="384" customFormat="1">
      <c r="A33" s="191"/>
      <c r="B33" s="689">
        <v>5</v>
      </c>
      <c r="C33" s="407" t="s">
        <v>253</v>
      </c>
      <c r="D33" s="408" t="s">
        <v>231</v>
      </c>
      <c r="E33" s="566"/>
      <c r="F33" s="566"/>
      <c r="G33" s="566"/>
      <c r="H33" s="566"/>
      <c r="I33" s="566"/>
      <c r="J33" s="566"/>
      <c r="K33" s="566"/>
      <c r="L33" s="566"/>
      <c r="M33" s="567">
        <f t="shared" si="15"/>
        <v>514.20000000000005</v>
      </c>
      <c r="N33" s="411">
        <v>300</v>
      </c>
      <c r="O33" s="411">
        <v>3</v>
      </c>
      <c r="P33" s="567">
        <v>205.2</v>
      </c>
      <c r="Q33" s="402">
        <f t="shared" si="7"/>
        <v>0</v>
      </c>
      <c r="R33" s="402">
        <f t="shared" si="16"/>
        <v>0</v>
      </c>
      <c r="S33" s="402">
        <f t="shared" si="17"/>
        <v>0</v>
      </c>
      <c r="T33" s="402">
        <f t="shared" si="18"/>
        <v>0</v>
      </c>
      <c r="U33" s="402">
        <f t="shared" si="19"/>
        <v>0</v>
      </c>
      <c r="V33" s="402">
        <f t="shared" si="20"/>
        <v>0</v>
      </c>
      <c r="W33" s="402">
        <f t="shared" si="21"/>
        <v>0</v>
      </c>
      <c r="X33" s="402">
        <f t="shared" si="22"/>
        <v>0</v>
      </c>
      <c r="Y33" s="409"/>
      <c r="Z33" s="455"/>
      <c r="AA33" s="403"/>
      <c r="AB33" s="403"/>
      <c r="AC33" s="403"/>
      <c r="AD33" s="403"/>
      <c r="AE33" s="403"/>
      <c r="AF33" s="403"/>
      <c r="AG33" s="403"/>
      <c r="AH33" s="323"/>
      <c r="AI33" s="423"/>
      <c r="AJ33" s="423"/>
      <c r="AK33" s="423"/>
      <c r="AL33" s="423"/>
      <c r="AM33" s="423"/>
      <c r="AN33" s="423"/>
      <c r="AO33" s="423"/>
      <c r="AP33" s="423"/>
    </row>
    <row r="34" spans="1:42" ht="33.75">
      <c r="A34" s="191"/>
      <c r="B34" s="689" t="s">
        <v>233</v>
      </c>
      <c r="C34" s="407" t="s">
        <v>254</v>
      </c>
      <c r="D34" s="408" t="s">
        <v>231</v>
      </c>
      <c r="E34" s="566"/>
      <c r="F34" s="566"/>
      <c r="G34" s="566"/>
      <c r="H34" s="566"/>
      <c r="I34" s="566"/>
      <c r="J34" s="566"/>
      <c r="K34" s="566"/>
      <c r="L34" s="566"/>
      <c r="M34" s="567">
        <f t="shared" si="15"/>
        <v>578.54239999999993</v>
      </c>
      <c r="N34" s="567">
        <f>'附件4-8甲供材料清单'!K143</f>
        <v>462.08</v>
      </c>
      <c r="O34" s="567">
        <v>3</v>
      </c>
      <c r="P34" s="567">
        <v>102.6</v>
      </c>
      <c r="Q34" s="411">
        <f t="shared" si="7"/>
        <v>0</v>
      </c>
      <c r="R34" s="411">
        <f t="shared" si="16"/>
        <v>0</v>
      </c>
      <c r="S34" s="411">
        <f t="shared" si="17"/>
        <v>0</v>
      </c>
      <c r="T34" s="411">
        <f t="shared" si="18"/>
        <v>0</v>
      </c>
      <c r="U34" s="411">
        <f t="shared" si="19"/>
        <v>0</v>
      </c>
      <c r="V34" s="411">
        <f t="shared" si="20"/>
        <v>0</v>
      </c>
      <c r="W34" s="411">
        <f t="shared" si="21"/>
        <v>0</v>
      </c>
      <c r="X34" s="411">
        <f t="shared" si="22"/>
        <v>0</v>
      </c>
      <c r="Y34" s="409" t="s">
        <v>244</v>
      </c>
      <c r="Z34" s="455">
        <f t="shared" ref="Z34" si="33">Q34</f>
        <v>0</v>
      </c>
      <c r="AA34" s="403">
        <f t="shared" ref="AA34" si="34">R34</f>
        <v>0</v>
      </c>
      <c r="AB34" s="403">
        <f t="shared" ref="AB34" si="35">S34</f>
        <v>0</v>
      </c>
      <c r="AC34" s="403">
        <f t="shared" ref="AC34" si="36">T34</f>
        <v>0</v>
      </c>
      <c r="AD34" s="403">
        <f t="shared" ref="AD34" si="37">U34</f>
        <v>0</v>
      </c>
      <c r="AE34" s="403">
        <f t="shared" ref="AE34" si="38">V34</f>
        <v>0</v>
      </c>
      <c r="AF34" s="403">
        <f t="shared" ref="AF34" si="39">W34</f>
        <v>0</v>
      </c>
      <c r="AG34" s="403">
        <f t="shared" ref="AG34" si="40">X34</f>
        <v>0</v>
      </c>
      <c r="AH34" s="323"/>
      <c r="AI34" s="403">
        <f t="shared" ref="AI34" si="41">E34*$N34*(1+$O34%)</f>
        <v>0</v>
      </c>
      <c r="AJ34" s="403">
        <f t="shared" ref="AJ34" si="42">F34*$N34*(1+$O34%)</f>
        <v>0</v>
      </c>
      <c r="AK34" s="403">
        <f t="shared" ref="AK34" si="43">G34*$N34*(1+$O34%)</f>
        <v>0</v>
      </c>
      <c r="AL34" s="403">
        <f t="shared" ref="AL34" si="44">H34*$N34*(1+$O34%)</f>
        <v>0</v>
      </c>
      <c r="AM34" s="403">
        <f t="shared" ref="AM34" si="45">I34*$N34*(1+$O34%)</f>
        <v>0</v>
      </c>
      <c r="AN34" s="403">
        <f t="shared" ref="AN34" si="46">J34*$N34*(1+$O34%)</f>
        <v>0</v>
      </c>
      <c r="AO34" s="403">
        <f t="shared" ref="AO34" si="47">K34*$N34*(1+$O34%)</f>
        <v>0</v>
      </c>
      <c r="AP34" s="403">
        <f t="shared" ref="AP34" si="48">L34*$N34*(1+$O34%)</f>
        <v>0</v>
      </c>
    </row>
    <row r="35" spans="1:42" ht="33.75">
      <c r="A35" s="191"/>
      <c r="B35" s="689" t="s">
        <v>233</v>
      </c>
      <c r="C35" s="407" t="s">
        <v>255</v>
      </c>
      <c r="D35" s="408" t="s">
        <v>231</v>
      </c>
      <c r="E35" s="566"/>
      <c r="F35" s="566"/>
      <c r="G35" s="566"/>
      <c r="H35" s="566"/>
      <c r="I35" s="566"/>
      <c r="J35" s="566"/>
      <c r="K35" s="566"/>
      <c r="L35" s="566"/>
      <c r="M35" s="567">
        <f t="shared" si="15"/>
        <v>616.3424</v>
      </c>
      <c r="N35" s="567">
        <f>'附件4-8甲供材料清单'!K143</f>
        <v>462.08</v>
      </c>
      <c r="O35" s="567">
        <v>3</v>
      </c>
      <c r="P35" s="567">
        <v>140.4</v>
      </c>
      <c r="Q35" s="411">
        <f t="shared" si="7"/>
        <v>0</v>
      </c>
      <c r="R35" s="411">
        <f t="shared" si="16"/>
        <v>0</v>
      </c>
      <c r="S35" s="411">
        <f t="shared" si="17"/>
        <v>0</v>
      </c>
      <c r="T35" s="411">
        <f t="shared" si="18"/>
        <v>0</v>
      </c>
      <c r="U35" s="411">
        <f t="shared" si="19"/>
        <v>0</v>
      </c>
      <c r="V35" s="411">
        <f t="shared" si="20"/>
        <v>0</v>
      </c>
      <c r="W35" s="411">
        <f t="shared" si="21"/>
        <v>0</v>
      </c>
      <c r="X35" s="411">
        <f t="shared" si="22"/>
        <v>0</v>
      </c>
      <c r="Y35" s="409" t="s">
        <v>244</v>
      </c>
      <c r="Z35" s="455">
        <f t="shared" ref="Z35:AG40" si="49">Q35</f>
        <v>0</v>
      </c>
      <c r="AA35" s="403">
        <f t="shared" si="49"/>
        <v>0</v>
      </c>
      <c r="AB35" s="403">
        <f t="shared" si="49"/>
        <v>0</v>
      </c>
      <c r="AC35" s="403">
        <f t="shared" si="49"/>
        <v>0</v>
      </c>
      <c r="AD35" s="403">
        <f t="shared" si="49"/>
        <v>0</v>
      </c>
      <c r="AE35" s="403">
        <f t="shared" si="49"/>
        <v>0</v>
      </c>
      <c r="AF35" s="403">
        <f t="shared" si="49"/>
        <v>0</v>
      </c>
      <c r="AG35" s="403">
        <f t="shared" si="49"/>
        <v>0</v>
      </c>
      <c r="AH35" s="323"/>
      <c r="AI35" s="403">
        <f t="shared" ref="AI35:AP40" si="50">E35*$N35*(1+$O35%)</f>
        <v>0</v>
      </c>
      <c r="AJ35" s="403">
        <f t="shared" si="50"/>
        <v>0</v>
      </c>
      <c r="AK35" s="403">
        <f t="shared" si="50"/>
        <v>0</v>
      </c>
      <c r="AL35" s="403">
        <f t="shared" si="50"/>
        <v>0</v>
      </c>
      <c r="AM35" s="403">
        <f t="shared" si="50"/>
        <v>0</v>
      </c>
      <c r="AN35" s="403">
        <f t="shared" si="50"/>
        <v>0</v>
      </c>
      <c r="AO35" s="403">
        <f t="shared" si="50"/>
        <v>0</v>
      </c>
      <c r="AP35" s="403">
        <f t="shared" si="50"/>
        <v>0</v>
      </c>
    </row>
    <row r="36" spans="1:42" ht="33.75">
      <c r="A36" s="191"/>
      <c r="B36" s="689" t="s">
        <v>233</v>
      </c>
      <c r="C36" s="407" t="s">
        <v>256</v>
      </c>
      <c r="D36" s="408" t="s">
        <v>231</v>
      </c>
      <c r="E36" s="566"/>
      <c r="F36" s="566"/>
      <c r="G36" s="566"/>
      <c r="H36" s="566"/>
      <c r="I36" s="566"/>
      <c r="J36" s="566"/>
      <c r="K36" s="566"/>
      <c r="L36" s="566"/>
      <c r="M36" s="567">
        <f t="shared" si="15"/>
        <v>681.14239999999995</v>
      </c>
      <c r="N36" s="567">
        <f>'附件4-8甲供材料清单'!K143</f>
        <v>462.08</v>
      </c>
      <c r="O36" s="567">
        <v>3</v>
      </c>
      <c r="P36" s="567">
        <v>205.2</v>
      </c>
      <c r="Q36" s="411">
        <f t="shared" si="7"/>
        <v>0</v>
      </c>
      <c r="R36" s="411">
        <f t="shared" si="16"/>
        <v>0</v>
      </c>
      <c r="S36" s="411">
        <f t="shared" si="17"/>
        <v>0</v>
      </c>
      <c r="T36" s="411">
        <f t="shared" si="18"/>
        <v>0</v>
      </c>
      <c r="U36" s="411">
        <f t="shared" si="19"/>
        <v>0</v>
      </c>
      <c r="V36" s="411">
        <f t="shared" si="20"/>
        <v>0</v>
      </c>
      <c r="W36" s="411">
        <f t="shared" si="21"/>
        <v>0</v>
      </c>
      <c r="X36" s="411">
        <f t="shared" si="22"/>
        <v>0</v>
      </c>
      <c r="Y36" s="409" t="s">
        <v>244</v>
      </c>
      <c r="Z36" s="455">
        <f t="shared" si="49"/>
        <v>0</v>
      </c>
      <c r="AA36" s="403">
        <f t="shared" si="49"/>
        <v>0</v>
      </c>
      <c r="AB36" s="403">
        <f t="shared" si="49"/>
        <v>0</v>
      </c>
      <c r="AC36" s="403">
        <f t="shared" si="49"/>
        <v>0</v>
      </c>
      <c r="AD36" s="403">
        <f t="shared" si="49"/>
        <v>0</v>
      </c>
      <c r="AE36" s="403">
        <f t="shared" si="49"/>
        <v>0</v>
      </c>
      <c r="AF36" s="403">
        <f t="shared" si="49"/>
        <v>0</v>
      </c>
      <c r="AG36" s="403">
        <f t="shared" si="49"/>
        <v>0</v>
      </c>
      <c r="AH36" s="323"/>
      <c r="AI36" s="403">
        <f t="shared" si="50"/>
        <v>0</v>
      </c>
      <c r="AJ36" s="403">
        <f t="shared" si="50"/>
        <v>0</v>
      </c>
      <c r="AK36" s="403">
        <f t="shared" si="50"/>
        <v>0</v>
      </c>
      <c r="AL36" s="403">
        <f t="shared" si="50"/>
        <v>0</v>
      </c>
      <c r="AM36" s="403">
        <f t="shared" si="50"/>
        <v>0</v>
      </c>
      <c r="AN36" s="403">
        <f t="shared" si="50"/>
        <v>0</v>
      </c>
      <c r="AO36" s="403">
        <f t="shared" si="50"/>
        <v>0</v>
      </c>
      <c r="AP36" s="403">
        <f t="shared" si="50"/>
        <v>0</v>
      </c>
    </row>
    <row r="37" spans="1:42" ht="22.5">
      <c r="A37" s="191"/>
      <c r="B37" s="689" t="s">
        <v>233</v>
      </c>
      <c r="C37" s="407" t="s">
        <v>257</v>
      </c>
      <c r="D37" s="408" t="s">
        <v>231</v>
      </c>
      <c r="E37" s="566"/>
      <c r="F37" s="566"/>
      <c r="G37" s="566"/>
      <c r="H37" s="566"/>
      <c r="I37" s="566"/>
      <c r="J37" s="566"/>
      <c r="K37" s="566"/>
      <c r="L37" s="566"/>
      <c r="M37" s="567">
        <f t="shared" si="15"/>
        <v>578.54239999999993</v>
      </c>
      <c r="N37" s="411">
        <f>'附件4-8甲供材料清单'!K143</f>
        <v>462.08</v>
      </c>
      <c r="O37" s="567">
        <v>3</v>
      </c>
      <c r="P37" s="567">
        <v>102.6</v>
      </c>
      <c r="Q37" s="411">
        <f t="shared" si="7"/>
        <v>0</v>
      </c>
      <c r="R37" s="411">
        <f t="shared" si="16"/>
        <v>0</v>
      </c>
      <c r="S37" s="411">
        <f t="shared" si="17"/>
        <v>0</v>
      </c>
      <c r="T37" s="411">
        <f t="shared" si="18"/>
        <v>0</v>
      </c>
      <c r="U37" s="411">
        <f t="shared" si="19"/>
        <v>0</v>
      </c>
      <c r="V37" s="411">
        <f t="shared" si="20"/>
        <v>0</v>
      </c>
      <c r="W37" s="411">
        <f t="shared" si="21"/>
        <v>0</v>
      </c>
      <c r="X37" s="411">
        <f t="shared" si="22"/>
        <v>0</v>
      </c>
      <c r="Y37" s="409" t="s">
        <v>244</v>
      </c>
      <c r="Z37" s="455">
        <f t="shared" si="49"/>
        <v>0</v>
      </c>
      <c r="AA37" s="403">
        <f t="shared" si="49"/>
        <v>0</v>
      </c>
      <c r="AB37" s="403">
        <f t="shared" si="49"/>
        <v>0</v>
      </c>
      <c r="AC37" s="403">
        <f t="shared" si="49"/>
        <v>0</v>
      </c>
      <c r="AD37" s="403">
        <f t="shared" si="49"/>
        <v>0</v>
      </c>
      <c r="AE37" s="403">
        <f t="shared" si="49"/>
        <v>0</v>
      </c>
      <c r="AF37" s="403">
        <f t="shared" si="49"/>
        <v>0</v>
      </c>
      <c r="AG37" s="403">
        <f t="shared" si="49"/>
        <v>0</v>
      </c>
      <c r="AH37" s="323"/>
      <c r="AI37" s="403">
        <f t="shared" si="50"/>
        <v>0</v>
      </c>
      <c r="AJ37" s="403">
        <f t="shared" si="50"/>
        <v>0</v>
      </c>
      <c r="AK37" s="403">
        <f t="shared" si="50"/>
        <v>0</v>
      </c>
      <c r="AL37" s="403">
        <f t="shared" si="50"/>
        <v>0</v>
      </c>
      <c r="AM37" s="403">
        <f t="shared" si="50"/>
        <v>0</v>
      </c>
      <c r="AN37" s="403">
        <f t="shared" si="50"/>
        <v>0</v>
      </c>
      <c r="AO37" s="403">
        <f t="shared" si="50"/>
        <v>0</v>
      </c>
      <c r="AP37" s="403">
        <f t="shared" si="50"/>
        <v>0</v>
      </c>
    </row>
    <row r="38" spans="1:42" ht="33.75">
      <c r="A38" s="191"/>
      <c r="B38" s="689" t="s">
        <v>233</v>
      </c>
      <c r="C38" s="407" t="s">
        <v>258</v>
      </c>
      <c r="D38" s="408" t="s">
        <v>231</v>
      </c>
      <c r="E38" s="566"/>
      <c r="F38" s="566"/>
      <c r="G38" s="566"/>
      <c r="H38" s="566"/>
      <c r="I38" s="566"/>
      <c r="J38" s="566"/>
      <c r="K38" s="566"/>
      <c r="L38" s="566"/>
      <c r="M38" s="567">
        <f t="shared" si="15"/>
        <v>133.28749999999999</v>
      </c>
      <c r="N38" s="411">
        <f>N29</f>
        <v>78.124999999999986</v>
      </c>
      <c r="O38" s="567">
        <v>2</v>
      </c>
      <c r="P38" s="567">
        <v>53.6</v>
      </c>
      <c r="Q38" s="411">
        <f t="shared" si="7"/>
        <v>0</v>
      </c>
      <c r="R38" s="411">
        <f t="shared" si="16"/>
        <v>0</v>
      </c>
      <c r="S38" s="411">
        <f t="shared" si="17"/>
        <v>0</v>
      </c>
      <c r="T38" s="411">
        <f t="shared" si="18"/>
        <v>0</v>
      </c>
      <c r="U38" s="411">
        <f t="shared" si="19"/>
        <v>0</v>
      </c>
      <c r="V38" s="411">
        <f t="shared" si="20"/>
        <v>0</v>
      </c>
      <c r="W38" s="411">
        <f t="shared" si="21"/>
        <v>0</v>
      </c>
      <c r="X38" s="411">
        <f t="shared" si="22"/>
        <v>0</v>
      </c>
      <c r="Y38" s="409" t="s">
        <v>244</v>
      </c>
      <c r="Z38" s="455">
        <f t="shared" si="49"/>
        <v>0</v>
      </c>
      <c r="AA38" s="403">
        <f t="shared" si="49"/>
        <v>0</v>
      </c>
      <c r="AB38" s="403">
        <f t="shared" si="49"/>
        <v>0</v>
      </c>
      <c r="AC38" s="403">
        <f t="shared" si="49"/>
        <v>0</v>
      </c>
      <c r="AD38" s="403">
        <f t="shared" si="49"/>
        <v>0</v>
      </c>
      <c r="AE38" s="403">
        <f t="shared" si="49"/>
        <v>0</v>
      </c>
      <c r="AF38" s="403">
        <f t="shared" si="49"/>
        <v>0</v>
      </c>
      <c r="AG38" s="403">
        <f t="shared" si="49"/>
        <v>0</v>
      </c>
      <c r="AH38" s="323"/>
      <c r="AI38" s="403">
        <f t="shared" si="50"/>
        <v>0</v>
      </c>
      <c r="AJ38" s="403">
        <f t="shared" si="50"/>
        <v>0</v>
      </c>
      <c r="AK38" s="403">
        <f t="shared" si="50"/>
        <v>0</v>
      </c>
      <c r="AL38" s="403">
        <f t="shared" si="50"/>
        <v>0</v>
      </c>
      <c r="AM38" s="403">
        <f t="shared" si="50"/>
        <v>0</v>
      </c>
      <c r="AN38" s="403">
        <f t="shared" si="50"/>
        <v>0</v>
      </c>
      <c r="AO38" s="403">
        <f t="shared" si="50"/>
        <v>0</v>
      </c>
      <c r="AP38" s="403">
        <f t="shared" si="50"/>
        <v>0</v>
      </c>
    </row>
    <row r="39" spans="1:42" ht="22.5">
      <c r="A39" s="191"/>
      <c r="B39" s="689" t="s">
        <v>233</v>
      </c>
      <c r="C39" s="407" t="s">
        <v>259</v>
      </c>
      <c r="D39" s="408" t="s">
        <v>231</v>
      </c>
      <c r="E39" s="566"/>
      <c r="F39" s="566"/>
      <c r="G39" s="566"/>
      <c r="H39" s="566"/>
      <c r="I39" s="566"/>
      <c r="J39" s="566"/>
      <c r="K39" s="566"/>
      <c r="L39" s="566"/>
      <c r="M39" s="567">
        <f t="shared" si="15"/>
        <v>143.82499999999999</v>
      </c>
      <c r="N39" s="411">
        <f>'附件4-8甲供材料清单'!M8</f>
        <v>93.749999999999986</v>
      </c>
      <c r="O39" s="567">
        <v>2</v>
      </c>
      <c r="P39" s="567">
        <v>48.2</v>
      </c>
      <c r="Q39" s="411">
        <f t="shared" si="7"/>
        <v>0</v>
      </c>
      <c r="R39" s="411">
        <f t="shared" si="16"/>
        <v>0</v>
      </c>
      <c r="S39" s="411">
        <f t="shared" si="17"/>
        <v>0</v>
      </c>
      <c r="T39" s="411">
        <f t="shared" si="18"/>
        <v>0</v>
      </c>
      <c r="U39" s="411">
        <f t="shared" si="19"/>
        <v>0</v>
      </c>
      <c r="V39" s="411">
        <f t="shared" si="20"/>
        <v>0</v>
      </c>
      <c r="W39" s="411">
        <f t="shared" si="21"/>
        <v>0</v>
      </c>
      <c r="X39" s="411">
        <f t="shared" si="22"/>
        <v>0</v>
      </c>
      <c r="Y39" s="409" t="s">
        <v>244</v>
      </c>
      <c r="Z39" s="455">
        <f t="shared" si="49"/>
        <v>0</v>
      </c>
      <c r="AA39" s="403">
        <f t="shared" si="49"/>
        <v>0</v>
      </c>
      <c r="AB39" s="403">
        <f t="shared" si="49"/>
        <v>0</v>
      </c>
      <c r="AC39" s="403">
        <f t="shared" si="49"/>
        <v>0</v>
      </c>
      <c r="AD39" s="403">
        <f t="shared" si="49"/>
        <v>0</v>
      </c>
      <c r="AE39" s="403">
        <f t="shared" si="49"/>
        <v>0</v>
      </c>
      <c r="AF39" s="403">
        <f t="shared" si="49"/>
        <v>0</v>
      </c>
      <c r="AG39" s="403">
        <f t="shared" si="49"/>
        <v>0</v>
      </c>
      <c r="AH39" s="323"/>
      <c r="AI39" s="403">
        <f t="shared" si="50"/>
        <v>0</v>
      </c>
      <c r="AJ39" s="403">
        <f t="shared" si="50"/>
        <v>0</v>
      </c>
      <c r="AK39" s="403">
        <f t="shared" si="50"/>
        <v>0</v>
      </c>
      <c r="AL39" s="403">
        <f t="shared" si="50"/>
        <v>0</v>
      </c>
      <c r="AM39" s="403">
        <f t="shared" si="50"/>
        <v>0</v>
      </c>
      <c r="AN39" s="403">
        <f t="shared" si="50"/>
        <v>0</v>
      </c>
      <c r="AO39" s="403">
        <f t="shared" si="50"/>
        <v>0</v>
      </c>
      <c r="AP39" s="403">
        <f t="shared" si="50"/>
        <v>0</v>
      </c>
    </row>
    <row r="40" spans="1:42" ht="33.75">
      <c r="A40" s="191"/>
      <c r="B40" s="689" t="s">
        <v>233</v>
      </c>
      <c r="C40" s="407" t="s">
        <v>260</v>
      </c>
      <c r="D40" s="408" t="s">
        <v>231</v>
      </c>
      <c r="E40" s="566"/>
      <c r="F40" s="566"/>
      <c r="G40" s="566"/>
      <c r="H40" s="566"/>
      <c r="I40" s="566"/>
      <c r="J40" s="566"/>
      <c r="K40" s="566"/>
      <c r="L40" s="566"/>
      <c r="M40" s="567">
        <f t="shared" si="15"/>
        <v>213</v>
      </c>
      <c r="N40" s="411">
        <f>'附件4-8甲供材料清单'!M10</f>
        <v>99.999999999999986</v>
      </c>
      <c r="O40" s="567">
        <v>5</v>
      </c>
      <c r="P40" s="567">
        <v>108</v>
      </c>
      <c r="Q40" s="411">
        <f t="shared" si="7"/>
        <v>0</v>
      </c>
      <c r="R40" s="411">
        <f t="shared" si="16"/>
        <v>0</v>
      </c>
      <c r="S40" s="411">
        <f t="shared" si="17"/>
        <v>0</v>
      </c>
      <c r="T40" s="411">
        <f t="shared" si="18"/>
        <v>0</v>
      </c>
      <c r="U40" s="411">
        <f t="shared" si="19"/>
        <v>0</v>
      </c>
      <c r="V40" s="411">
        <f t="shared" si="20"/>
        <v>0</v>
      </c>
      <c r="W40" s="411">
        <f t="shared" si="21"/>
        <v>0</v>
      </c>
      <c r="X40" s="411">
        <f t="shared" si="22"/>
        <v>0</v>
      </c>
      <c r="Y40" s="409" t="s">
        <v>244</v>
      </c>
      <c r="Z40" s="455">
        <f t="shared" si="49"/>
        <v>0</v>
      </c>
      <c r="AA40" s="403">
        <f t="shared" si="49"/>
        <v>0</v>
      </c>
      <c r="AB40" s="403">
        <f t="shared" si="49"/>
        <v>0</v>
      </c>
      <c r="AC40" s="403">
        <f t="shared" si="49"/>
        <v>0</v>
      </c>
      <c r="AD40" s="403">
        <f t="shared" si="49"/>
        <v>0</v>
      </c>
      <c r="AE40" s="403">
        <f t="shared" si="49"/>
        <v>0</v>
      </c>
      <c r="AF40" s="403">
        <f t="shared" si="49"/>
        <v>0</v>
      </c>
      <c r="AG40" s="403">
        <f t="shared" si="49"/>
        <v>0</v>
      </c>
      <c r="AH40" s="323"/>
      <c r="AI40" s="403">
        <f t="shared" si="50"/>
        <v>0</v>
      </c>
      <c r="AJ40" s="403">
        <f t="shared" si="50"/>
        <v>0</v>
      </c>
      <c r="AK40" s="403">
        <f t="shared" si="50"/>
        <v>0</v>
      </c>
      <c r="AL40" s="403">
        <f t="shared" si="50"/>
        <v>0</v>
      </c>
      <c r="AM40" s="403">
        <f t="shared" si="50"/>
        <v>0</v>
      </c>
      <c r="AN40" s="403">
        <f t="shared" si="50"/>
        <v>0</v>
      </c>
      <c r="AO40" s="403">
        <f t="shared" si="50"/>
        <v>0</v>
      </c>
      <c r="AP40" s="403">
        <f t="shared" si="50"/>
        <v>0</v>
      </c>
    </row>
    <row r="41" spans="1:42" ht="11.25">
      <c r="A41" s="194"/>
      <c r="B41" s="635" t="s">
        <v>136</v>
      </c>
      <c r="C41" s="636" t="s">
        <v>261</v>
      </c>
      <c r="D41" s="642"/>
      <c r="E41" s="647"/>
      <c r="F41" s="647"/>
      <c r="G41" s="647"/>
      <c r="H41" s="647"/>
      <c r="I41" s="647"/>
      <c r="J41" s="647"/>
      <c r="K41" s="647"/>
      <c r="L41" s="647"/>
      <c r="M41" s="648"/>
      <c r="N41" s="648"/>
      <c r="O41" s="648"/>
      <c r="P41" s="648"/>
      <c r="Q41" s="649"/>
      <c r="R41" s="649"/>
      <c r="S41" s="649"/>
      <c r="T41" s="649"/>
      <c r="U41" s="649"/>
      <c r="V41" s="649"/>
      <c r="W41" s="649"/>
      <c r="X41" s="649"/>
      <c r="Y41" s="640" t="s">
        <v>1860</v>
      </c>
      <c r="Z41" s="455"/>
      <c r="AA41" s="403"/>
      <c r="AB41" s="403"/>
      <c r="AC41" s="403"/>
      <c r="AD41" s="403"/>
      <c r="AE41" s="403"/>
      <c r="AF41" s="403"/>
      <c r="AG41" s="403"/>
      <c r="AH41" s="323"/>
      <c r="AI41" s="423"/>
      <c r="AJ41" s="423"/>
      <c r="AK41" s="423"/>
      <c r="AL41" s="423"/>
      <c r="AM41" s="423"/>
      <c r="AN41" s="423"/>
      <c r="AO41" s="423"/>
      <c r="AP41" s="423"/>
    </row>
    <row r="42" spans="1:42" ht="22.5">
      <c r="A42" s="191"/>
      <c r="B42" s="689">
        <v>1</v>
      </c>
      <c r="C42" s="407" t="s">
        <v>262</v>
      </c>
      <c r="D42" s="408" t="s">
        <v>231</v>
      </c>
      <c r="E42" s="566">
        <f>A单元!S36-E155</f>
        <v>32.827192000000004</v>
      </c>
      <c r="F42" s="566">
        <f>C单元!$S$18+4.3*0.1</f>
        <v>37.762223999999996</v>
      </c>
      <c r="G42" s="566">
        <f>B单元!$S$18+4.3*0.1</f>
        <v>47.19967599999999</v>
      </c>
      <c r="H42" s="566">
        <f>F单元!$S$36-H155</f>
        <v>38.426241999999995</v>
      </c>
      <c r="I42" s="566">
        <f>H单元!S18+(7.6+2.75+6.49)*0.1+3.8*0.05</f>
        <v>58.453348000000005</v>
      </c>
      <c r="J42" s="566">
        <f>'D单元 '!S18+(13.07+6.3)*0.1</f>
        <v>42.556405999999988</v>
      </c>
      <c r="K42" s="566">
        <f>I单元!$S$18+(3.5+17.52)*0.1</f>
        <v>57.313147999999998</v>
      </c>
      <c r="L42" s="566">
        <f>E单元!$S$36-K155</f>
        <v>42.326471999999988</v>
      </c>
      <c r="M42" s="567">
        <f t="shared" si="15"/>
        <v>21.428709999999999</v>
      </c>
      <c r="N42" s="567">
        <f>'附件4-8甲供材料清单'!N125</f>
        <v>2.2087100000000004</v>
      </c>
      <c r="O42" s="567"/>
      <c r="P42" s="567">
        <v>19.22</v>
      </c>
      <c r="Q42" s="411">
        <f t="shared" si="7"/>
        <v>703.44437748232008</v>
      </c>
      <c r="R42" s="411">
        <f t="shared" si="16"/>
        <v>809.19574705103992</v>
      </c>
      <c r="S42" s="411">
        <f t="shared" si="17"/>
        <v>1011.4281690979598</v>
      </c>
      <c r="T42" s="411">
        <f t="shared" si="18"/>
        <v>823.4247962078199</v>
      </c>
      <c r="U42" s="411">
        <f t="shared" si="19"/>
        <v>1252.5798428210801</v>
      </c>
      <c r="V42" s="411">
        <f t="shared" si="20"/>
        <v>911.92888281625972</v>
      </c>
      <c r="W42" s="411">
        <f t="shared" si="21"/>
        <v>1228.1468276790799</v>
      </c>
      <c r="X42" s="411">
        <f t="shared" si="22"/>
        <v>907.00169381111971</v>
      </c>
      <c r="Y42" s="409" t="s">
        <v>244</v>
      </c>
      <c r="Z42" s="455">
        <f t="shared" ref="Z42" si="51">Q42</f>
        <v>703.44437748232008</v>
      </c>
      <c r="AA42" s="403">
        <f t="shared" ref="AA42:AG44" si="52">R42</f>
        <v>809.19574705103992</v>
      </c>
      <c r="AB42" s="403">
        <f t="shared" si="52"/>
        <v>1011.4281690979598</v>
      </c>
      <c r="AC42" s="403">
        <f t="shared" si="52"/>
        <v>823.4247962078199</v>
      </c>
      <c r="AD42" s="403">
        <f t="shared" si="52"/>
        <v>1252.5798428210801</v>
      </c>
      <c r="AE42" s="403">
        <f t="shared" si="52"/>
        <v>911.92888281625972</v>
      </c>
      <c r="AF42" s="403">
        <f t="shared" si="52"/>
        <v>1228.1468276790799</v>
      </c>
      <c r="AG42" s="403">
        <f t="shared" si="52"/>
        <v>907.00169381111971</v>
      </c>
      <c r="AH42" s="323"/>
      <c r="AI42" s="403">
        <f t="shared" ref="AI42" si="53">E42*$N42*(1+$O42%)</f>
        <v>72.505747242320027</v>
      </c>
      <c r="AJ42" s="403">
        <f t="shared" ref="AJ42:AP44" si="54">F42*$N42*(1+$O42%)</f>
        <v>83.405801771040004</v>
      </c>
      <c r="AK42" s="403">
        <f t="shared" si="54"/>
        <v>104.25039637796</v>
      </c>
      <c r="AL42" s="403">
        <f t="shared" si="54"/>
        <v>84.87242496782001</v>
      </c>
      <c r="AM42" s="403">
        <f t="shared" si="54"/>
        <v>129.10649426108003</v>
      </c>
      <c r="AN42" s="403">
        <f t="shared" si="54"/>
        <v>93.994759496259988</v>
      </c>
      <c r="AO42" s="403">
        <f t="shared" si="54"/>
        <v>126.58812311908002</v>
      </c>
      <c r="AP42" s="403">
        <f t="shared" si="54"/>
        <v>93.486901971119991</v>
      </c>
    </row>
    <row r="43" spans="1:42" ht="33.75">
      <c r="A43" s="191"/>
      <c r="B43" s="689" t="s">
        <v>233</v>
      </c>
      <c r="C43" s="407" t="s">
        <v>263</v>
      </c>
      <c r="D43" s="408" t="s">
        <v>231</v>
      </c>
      <c r="E43" s="566"/>
      <c r="F43" s="566"/>
      <c r="G43" s="566"/>
      <c r="H43" s="566"/>
      <c r="I43" s="566"/>
      <c r="J43" s="566"/>
      <c r="K43" s="566"/>
      <c r="L43" s="566"/>
      <c r="M43" s="567">
        <f t="shared" si="15"/>
        <v>23.988709999999998</v>
      </c>
      <c r="N43" s="567">
        <f>N42</f>
        <v>2.2087100000000004</v>
      </c>
      <c r="O43" s="567"/>
      <c r="P43" s="567">
        <f>19.22+2.56</f>
        <v>21.779999999999998</v>
      </c>
      <c r="Q43" s="411">
        <f t="shared" si="7"/>
        <v>0</v>
      </c>
      <c r="R43" s="411">
        <f t="shared" si="16"/>
        <v>0</v>
      </c>
      <c r="S43" s="411">
        <f t="shared" si="17"/>
        <v>0</v>
      </c>
      <c r="T43" s="411">
        <f t="shared" si="18"/>
        <v>0</v>
      </c>
      <c r="U43" s="411">
        <f t="shared" si="19"/>
        <v>0</v>
      </c>
      <c r="V43" s="411">
        <f t="shared" si="20"/>
        <v>0</v>
      </c>
      <c r="W43" s="411">
        <f t="shared" si="21"/>
        <v>0</v>
      </c>
      <c r="X43" s="411">
        <f t="shared" si="22"/>
        <v>0</v>
      </c>
      <c r="Y43" s="409" t="s">
        <v>244</v>
      </c>
      <c r="Z43" s="455">
        <f>Q43</f>
        <v>0</v>
      </c>
      <c r="AA43" s="403">
        <f t="shared" si="52"/>
        <v>0</v>
      </c>
      <c r="AB43" s="403">
        <f t="shared" si="52"/>
        <v>0</v>
      </c>
      <c r="AC43" s="403">
        <f t="shared" si="52"/>
        <v>0</v>
      </c>
      <c r="AD43" s="403">
        <f t="shared" si="52"/>
        <v>0</v>
      </c>
      <c r="AE43" s="403">
        <f t="shared" si="52"/>
        <v>0</v>
      </c>
      <c r="AF43" s="403">
        <f t="shared" si="52"/>
        <v>0</v>
      </c>
      <c r="AG43" s="403">
        <f t="shared" si="52"/>
        <v>0</v>
      </c>
      <c r="AH43" s="323"/>
      <c r="AI43" s="403">
        <f>E43*$N43*(1+$O43%)</f>
        <v>0</v>
      </c>
      <c r="AJ43" s="403">
        <f t="shared" si="54"/>
        <v>0</v>
      </c>
      <c r="AK43" s="403">
        <f t="shared" si="54"/>
        <v>0</v>
      </c>
      <c r="AL43" s="403">
        <f t="shared" si="54"/>
        <v>0</v>
      </c>
      <c r="AM43" s="403">
        <f t="shared" si="54"/>
        <v>0</v>
      </c>
      <c r="AN43" s="403">
        <f t="shared" si="54"/>
        <v>0</v>
      </c>
      <c r="AO43" s="403">
        <f t="shared" si="54"/>
        <v>0</v>
      </c>
      <c r="AP43" s="403">
        <f t="shared" si="54"/>
        <v>0</v>
      </c>
    </row>
    <row r="44" spans="1:42" ht="22.5">
      <c r="A44" s="191"/>
      <c r="B44" s="689">
        <v>2</v>
      </c>
      <c r="C44" s="407" t="s">
        <v>264</v>
      </c>
      <c r="D44" s="408" t="s">
        <v>231</v>
      </c>
      <c r="E44" s="566"/>
      <c r="F44" s="566"/>
      <c r="G44" s="566"/>
      <c r="H44" s="566"/>
      <c r="I44" s="566"/>
      <c r="J44" s="566"/>
      <c r="K44" s="566"/>
      <c r="L44" s="566"/>
      <c r="M44" s="567">
        <f t="shared" si="15"/>
        <v>32.799999999999997</v>
      </c>
      <c r="N44" s="567">
        <f>'附件4-8甲供材料清单'!K121</f>
        <v>8</v>
      </c>
      <c r="O44" s="567">
        <v>10</v>
      </c>
      <c r="P44" s="567">
        <v>24</v>
      </c>
      <c r="Q44" s="411">
        <f t="shared" si="7"/>
        <v>0</v>
      </c>
      <c r="R44" s="411">
        <f t="shared" si="16"/>
        <v>0</v>
      </c>
      <c r="S44" s="411">
        <f t="shared" si="17"/>
        <v>0</v>
      </c>
      <c r="T44" s="411">
        <f t="shared" si="18"/>
        <v>0</v>
      </c>
      <c r="U44" s="411">
        <f t="shared" si="19"/>
        <v>0</v>
      </c>
      <c r="V44" s="411">
        <f t="shared" si="20"/>
        <v>0</v>
      </c>
      <c r="W44" s="411">
        <f t="shared" si="21"/>
        <v>0</v>
      </c>
      <c r="X44" s="411">
        <f t="shared" si="22"/>
        <v>0</v>
      </c>
      <c r="Y44" s="409" t="s">
        <v>244</v>
      </c>
      <c r="Z44" s="455">
        <f>Q44</f>
        <v>0</v>
      </c>
      <c r="AA44" s="403">
        <f t="shared" si="52"/>
        <v>0</v>
      </c>
      <c r="AB44" s="403">
        <f t="shared" si="52"/>
        <v>0</v>
      </c>
      <c r="AC44" s="403">
        <f t="shared" si="52"/>
        <v>0</v>
      </c>
      <c r="AD44" s="403">
        <f t="shared" si="52"/>
        <v>0</v>
      </c>
      <c r="AE44" s="403">
        <f t="shared" si="52"/>
        <v>0</v>
      </c>
      <c r="AF44" s="403">
        <f t="shared" si="52"/>
        <v>0</v>
      </c>
      <c r="AG44" s="403">
        <f t="shared" si="52"/>
        <v>0</v>
      </c>
      <c r="AH44" s="323"/>
      <c r="AI44" s="403">
        <f>E44*$N44*(1+$O44%)</f>
        <v>0</v>
      </c>
      <c r="AJ44" s="403">
        <f t="shared" si="54"/>
        <v>0</v>
      </c>
      <c r="AK44" s="403">
        <f t="shared" si="54"/>
        <v>0</v>
      </c>
      <c r="AL44" s="403">
        <f t="shared" si="54"/>
        <v>0</v>
      </c>
      <c r="AM44" s="403">
        <f t="shared" si="54"/>
        <v>0</v>
      </c>
      <c r="AN44" s="403">
        <f t="shared" si="54"/>
        <v>0</v>
      </c>
      <c r="AO44" s="403">
        <f t="shared" si="54"/>
        <v>0</v>
      </c>
      <c r="AP44" s="403">
        <f t="shared" si="54"/>
        <v>0</v>
      </c>
    </row>
    <row r="45" spans="1:42" s="384" customFormat="1" ht="22.5">
      <c r="A45" s="191"/>
      <c r="B45" s="689" t="s">
        <v>233</v>
      </c>
      <c r="C45" s="407" t="s">
        <v>265</v>
      </c>
      <c r="D45" s="408" t="s">
        <v>235</v>
      </c>
      <c r="E45" s="566"/>
      <c r="F45" s="566"/>
      <c r="G45" s="566"/>
      <c r="H45" s="566"/>
      <c r="I45" s="566"/>
      <c r="J45" s="566"/>
      <c r="K45" s="566"/>
      <c r="L45" s="566"/>
      <c r="M45" s="567">
        <f t="shared" si="15"/>
        <v>105.575</v>
      </c>
      <c r="N45" s="567">
        <v>65.25</v>
      </c>
      <c r="O45" s="567">
        <v>10</v>
      </c>
      <c r="P45" s="567">
        <v>33.799999999999997</v>
      </c>
      <c r="Q45" s="402">
        <f t="shared" si="7"/>
        <v>0</v>
      </c>
      <c r="R45" s="402">
        <f t="shared" si="16"/>
        <v>0</v>
      </c>
      <c r="S45" s="402">
        <f t="shared" si="17"/>
        <v>0</v>
      </c>
      <c r="T45" s="402">
        <f t="shared" si="18"/>
        <v>0</v>
      </c>
      <c r="U45" s="402">
        <f t="shared" si="19"/>
        <v>0</v>
      </c>
      <c r="V45" s="402">
        <f t="shared" si="20"/>
        <v>0</v>
      </c>
      <c r="W45" s="402">
        <f t="shared" si="21"/>
        <v>0</v>
      </c>
      <c r="X45" s="402">
        <f t="shared" si="22"/>
        <v>0</v>
      </c>
      <c r="Y45" s="409" t="s">
        <v>266</v>
      </c>
      <c r="Z45" s="455"/>
      <c r="AA45" s="403"/>
      <c r="AB45" s="403"/>
      <c r="AC45" s="403"/>
      <c r="AD45" s="403"/>
      <c r="AE45" s="403"/>
      <c r="AF45" s="403"/>
      <c r="AG45" s="403"/>
      <c r="AH45" s="323"/>
      <c r="AI45" s="423"/>
      <c r="AJ45" s="423"/>
      <c r="AK45" s="423"/>
      <c r="AL45" s="423"/>
      <c r="AM45" s="423"/>
      <c r="AN45" s="423"/>
      <c r="AO45" s="423"/>
      <c r="AP45" s="423"/>
    </row>
    <row r="46" spans="1:42" ht="22.5">
      <c r="A46" s="191"/>
      <c r="B46" s="689" t="s">
        <v>267</v>
      </c>
      <c r="C46" s="407" t="s">
        <v>268</v>
      </c>
      <c r="D46" s="689" t="s">
        <v>235</v>
      </c>
      <c r="E46" s="566"/>
      <c r="F46" s="566"/>
      <c r="G46" s="566"/>
      <c r="H46" s="566"/>
      <c r="I46" s="566"/>
      <c r="J46" s="566"/>
      <c r="K46" s="566"/>
      <c r="L46" s="566"/>
      <c r="M46" s="567">
        <f t="shared" si="15"/>
        <v>68.099999999999994</v>
      </c>
      <c r="N46" s="567">
        <v>42</v>
      </c>
      <c r="O46" s="567">
        <v>5</v>
      </c>
      <c r="P46" s="567">
        <v>24</v>
      </c>
      <c r="Q46" s="411">
        <f t="shared" si="7"/>
        <v>0</v>
      </c>
      <c r="R46" s="411">
        <f t="shared" si="16"/>
        <v>0</v>
      </c>
      <c r="S46" s="411">
        <f t="shared" si="17"/>
        <v>0</v>
      </c>
      <c r="T46" s="411">
        <f t="shared" si="18"/>
        <v>0</v>
      </c>
      <c r="U46" s="411">
        <f t="shared" si="19"/>
        <v>0</v>
      </c>
      <c r="V46" s="411">
        <f t="shared" si="20"/>
        <v>0</v>
      </c>
      <c r="W46" s="411">
        <f t="shared" si="21"/>
        <v>0</v>
      </c>
      <c r="X46" s="411">
        <f t="shared" si="22"/>
        <v>0</v>
      </c>
      <c r="Y46" s="409" t="s">
        <v>244</v>
      </c>
      <c r="Z46" s="455">
        <f t="shared" ref="Z46" si="55">Q46</f>
        <v>0</v>
      </c>
      <c r="AA46" s="403">
        <f t="shared" ref="AA46" si="56">R46</f>
        <v>0</v>
      </c>
      <c r="AB46" s="403">
        <f t="shared" ref="AB46" si="57">S46</f>
        <v>0</v>
      </c>
      <c r="AC46" s="403">
        <f t="shared" ref="AC46" si="58">T46</f>
        <v>0</v>
      </c>
      <c r="AD46" s="403">
        <f t="shared" ref="AD46" si="59">U46</f>
        <v>0</v>
      </c>
      <c r="AE46" s="403">
        <f t="shared" ref="AE46" si="60">V46</f>
        <v>0</v>
      </c>
      <c r="AF46" s="403">
        <f t="shared" ref="AF46" si="61">W46</f>
        <v>0</v>
      </c>
      <c r="AG46" s="403">
        <f t="shared" ref="AG46" si="62">X46</f>
        <v>0</v>
      </c>
      <c r="AH46" s="323"/>
      <c r="AI46" s="403">
        <f t="shared" ref="AI46" si="63">E46*$N46*(1+$O46%)</f>
        <v>0</v>
      </c>
      <c r="AJ46" s="403">
        <f t="shared" ref="AJ46" si="64">F46*$N46*(1+$O46%)</f>
        <v>0</v>
      </c>
      <c r="AK46" s="403">
        <f t="shared" ref="AK46" si="65">G46*$N46*(1+$O46%)</f>
        <v>0</v>
      </c>
      <c r="AL46" s="403">
        <f t="shared" ref="AL46" si="66">H46*$N46*(1+$O46%)</f>
        <v>0</v>
      </c>
      <c r="AM46" s="403">
        <f t="shared" ref="AM46" si="67">I46*$N46*(1+$O46%)</f>
        <v>0</v>
      </c>
      <c r="AN46" s="403">
        <f t="shared" ref="AN46" si="68">J46*$N46*(1+$O46%)</f>
        <v>0</v>
      </c>
      <c r="AO46" s="403">
        <f t="shared" ref="AO46" si="69">K46*$N46*(1+$O46%)</f>
        <v>0</v>
      </c>
      <c r="AP46" s="403">
        <f t="shared" ref="AP46" si="70">L46*$N46*(1+$O46%)</f>
        <v>0</v>
      </c>
    </row>
    <row r="47" spans="1:42" ht="22.5">
      <c r="A47" s="191"/>
      <c r="B47" s="689" t="s">
        <v>267</v>
      </c>
      <c r="C47" s="407" t="s">
        <v>269</v>
      </c>
      <c r="D47" s="689" t="s">
        <v>270</v>
      </c>
      <c r="E47" s="566"/>
      <c r="F47" s="566"/>
      <c r="G47" s="566"/>
      <c r="H47" s="566"/>
      <c r="I47" s="566"/>
      <c r="J47" s="566"/>
      <c r="K47" s="566"/>
      <c r="L47" s="566"/>
      <c r="M47" s="567">
        <f t="shared" si="15"/>
        <v>34.659999999999997</v>
      </c>
      <c r="N47" s="567">
        <v>22</v>
      </c>
      <c r="O47" s="567">
        <v>3</v>
      </c>
      <c r="P47" s="567">
        <v>12</v>
      </c>
      <c r="Q47" s="411">
        <f t="shared" si="7"/>
        <v>0</v>
      </c>
      <c r="R47" s="411">
        <f t="shared" si="16"/>
        <v>0</v>
      </c>
      <c r="S47" s="411">
        <f t="shared" si="17"/>
        <v>0</v>
      </c>
      <c r="T47" s="411">
        <f t="shared" si="18"/>
        <v>0</v>
      </c>
      <c r="U47" s="411">
        <f t="shared" si="19"/>
        <v>0</v>
      </c>
      <c r="V47" s="411">
        <f t="shared" si="20"/>
        <v>0</v>
      </c>
      <c r="W47" s="411">
        <f t="shared" si="21"/>
        <v>0</v>
      </c>
      <c r="X47" s="411">
        <f t="shared" si="22"/>
        <v>0</v>
      </c>
      <c r="Y47" s="409" t="s">
        <v>244</v>
      </c>
      <c r="Z47" s="455">
        <f t="shared" ref="Z47:AG52" si="71">Q47</f>
        <v>0</v>
      </c>
      <c r="AA47" s="403">
        <f t="shared" si="71"/>
        <v>0</v>
      </c>
      <c r="AB47" s="403">
        <f t="shared" si="71"/>
        <v>0</v>
      </c>
      <c r="AC47" s="403">
        <f t="shared" si="71"/>
        <v>0</v>
      </c>
      <c r="AD47" s="403">
        <f t="shared" si="71"/>
        <v>0</v>
      </c>
      <c r="AE47" s="403">
        <f t="shared" si="71"/>
        <v>0</v>
      </c>
      <c r="AF47" s="403">
        <f t="shared" si="71"/>
        <v>0</v>
      </c>
      <c r="AG47" s="403">
        <f t="shared" si="71"/>
        <v>0</v>
      </c>
      <c r="AH47" s="323"/>
      <c r="AI47" s="403">
        <f t="shared" ref="AI47:AP52" si="72">E47*$N47*(1+$O47%)</f>
        <v>0</v>
      </c>
      <c r="AJ47" s="403">
        <f t="shared" si="72"/>
        <v>0</v>
      </c>
      <c r="AK47" s="403">
        <f t="shared" si="72"/>
        <v>0</v>
      </c>
      <c r="AL47" s="403">
        <f t="shared" si="72"/>
        <v>0</v>
      </c>
      <c r="AM47" s="403">
        <f t="shared" si="72"/>
        <v>0</v>
      </c>
      <c r="AN47" s="403">
        <f t="shared" si="72"/>
        <v>0</v>
      </c>
      <c r="AO47" s="403">
        <f t="shared" si="72"/>
        <v>0</v>
      </c>
      <c r="AP47" s="403">
        <f t="shared" si="72"/>
        <v>0</v>
      </c>
    </row>
    <row r="48" spans="1:42" ht="22.5">
      <c r="A48" s="191"/>
      <c r="B48" s="689">
        <v>4</v>
      </c>
      <c r="C48" s="407" t="s">
        <v>271</v>
      </c>
      <c r="D48" s="408" t="s">
        <v>235</v>
      </c>
      <c r="E48" s="566">
        <f>A单元!$T$25</f>
        <v>20.096</v>
      </c>
      <c r="F48" s="566">
        <f>C单元!$T$18</f>
        <v>17.481999999999999</v>
      </c>
      <c r="G48" s="566">
        <f>B单元!$T$18</f>
        <v>19.827999999999999</v>
      </c>
      <c r="H48" s="566">
        <f>F单元!$T$25</f>
        <v>22.225999999999999</v>
      </c>
      <c r="I48" s="566">
        <f>H单元!$T$18</f>
        <v>24.624000000000002</v>
      </c>
      <c r="J48" s="566">
        <f>'D单元 '!T18</f>
        <v>17.137999999999998</v>
      </c>
      <c r="K48" s="566">
        <f>I单元!$T$18</f>
        <v>24.264000000000003</v>
      </c>
      <c r="L48" s="566">
        <f>E单元!$T$25</f>
        <v>23.195999999999998</v>
      </c>
      <c r="M48" s="567">
        <f t="shared" si="15"/>
        <v>25.310000000000002</v>
      </c>
      <c r="N48" s="567">
        <f>'附件4-8甲供材料清单'!M11</f>
        <v>15</v>
      </c>
      <c r="O48" s="567">
        <v>5</v>
      </c>
      <c r="P48" s="567">
        <v>9.56</v>
      </c>
      <c r="Q48" s="411">
        <f t="shared" si="7"/>
        <v>508.62976000000003</v>
      </c>
      <c r="R48" s="411">
        <f t="shared" si="16"/>
        <v>442.46942000000001</v>
      </c>
      <c r="S48" s="411">
        <f t="shared" si="17"/>
        <v>501.84668000000005</v>
      </c>
      <c r="T48" s="411">
        <f t="shared" si="18"/>
        <v>562.54006000000004</v>
      </c>
      <c r="U48" s="411">
        <f t="shared" si="19"/>
        <v>623.23344000000009</v>
      </c>
      <c r="V48" s="411">
        <f t="shared" si="20"/>
        <v>433.76277999999996</v>
      </c>
      <c r="W48" s="411">
        <f t="shared" si="21"/>
        <v>614.12184000000013</v>
      </c>
      <c r="X48" s="411">
        <f t="shared" si="22"/>
        <v>587.09076000000005</v>
      </c>
      <c r="Y48" s="409" t="s">
        <v>244</v>
      </c>
      <c r="Z48" s="455">
        <f t="shared" si="71"/>
        <v>508.62976000000003</v>
      </c>
      <c r="AA48" s="403">
        <f t="shared" si="71"/>
        <v>442.46942000000001</v>
      </c>
      <c r="AB48" s="403">
        <f t="shared" si="71"/>
        <v>501.84668000000005</v>
      </c>
      <c r="AC48" s="403">
        <f t="shared" si="71"/>
        <v>562.54006000000004</v>
      </c>
      <c r="AD48" s="403">
        <f t="shared" si="71"/>
        <v>623.23344000000009</v>
      </c>
      <c r="AE48" s="403">
        <f t="shared" si="71"/>
        <v>433.76277999999996</v>
      </c>
      <c r="AF48" s="403">
        <f t="shared" si="71"/>
        <v>614.12184000000013</v>
      </c>
      <c r="AG48" s="403">
        <f t="shared" si="71"/>
        <v>587.09076000000005</v>
      </c>
      <c r="AH48" s="323"/>
      <c r="AI48" s="403">
        <f t="shared" si="72"/>
        <v>316.512</v>
      </c>
      <c r="AJ48" s="403">
        <f t="shared" si="72"/>
        <v>275.34150000000005</v>
      </c>
      <c r="AK48" s="403">
        <f t="shared" si="72"/>
        <v>312.29100000000005</v>
      </c>
      <c r="AL48" s="403">
        <f t="shared" si="72"/>
        <v>350.05950000000001</v>
      </c>
      <c r="AM48" s="403">
        <f t="shared" si="72"/>
        <v>387.82800000000003</v>
      </c>
      <c r="AN48" s="403">
        <f t="shared" si="72"/>
        <v>269.92349999999999</v>
      </c>
      <c r="AO48" s="403">
        <f t="shared" si="72"/>
        <v>382.15800000000007</v>
      </c>
      <c r="AP48" s="403">
        <f t="shared" si="72"/>
        <v>365.33699999999993</v>
      </c>
    </row>
    <row r="49" spans="1:42" ht="22.5">
      <c r="A49" s="194"/>
      <c r="B49" s="689">
        <v>5</v>
      </c>
      <c r="C49" s="407" t="s">
        <v>272</v>
      </c>
      <c r="D49" s="408" t="s">
        <v>231</v>
      </c>
      <c r="E49" s="566">
        <f>A单元!$U$36</f>
        <v>0</v>
      </c>
      <c r="F49" s="566">
        <f>C单元!$U$36</f>
        <v>0</v>
      </c>
      <c r="G49" s="566">
        <f>B单元!$U$36</f>
        <v>0.216</v>
      </c>
      <c r="H49" s="566">
        <f>F单元!$U$36</f>
        <v>0</v>
      </c>
      <c r="I49" s="566">
        <f>H单元!$U$36</f>
        <v>0.18</v>
      </c>
      <c r="J49" s="566">
        <f>'D单元 '!$U$36</f>
        <v>0.432</v>
      </c>
      <c r="K49" s="566">
        <f>I单元!$U$36</f>
        <v>0.20399999999999999</v>
      </c>
      <c r="L49" s="566">
        <f>E单元!$U$36</f>
        <v>0</v>
      </c>
      <c r="M49" s="567">
        <f t="shared" si="15"/>
        <v>486.39</v>
      </c>
      <c r="N49" s="567">
        <f>'附件4-8甲供材料清单'!K156</f>
        <v>373</v>
      </c>
      <c r="O49" s="567">
        <v>3</v>
      </c>
      <c r="P49" s="567">
        <v>102.2</v>
      </c>
      <c r="Q49" s="411">
        <f t="shared" si="7"/>
        <v>0</v>
      </c>
      <c r="R49" s="411">
        <f t="shared" si="16"/>
        <v>0</v>
      </c>
      <c r="S49" s="411">
        <f t="shared" si="17"/>
        <v>105.06023999999999</v>
      </c>
      <c r="T49" s="411">
        <f t="shared" si="18"/>
        <v>0</v>
      </c>
      <c r="U49" s="411">
        <f t="shared" si="19"/>
        <v>87.55019999999999</v>
      </c>
      <c r="V49" s="411">
        <f t="shared" si="20"/>
        <v>210.12047999999999</v>
      </c>
      <c r="W49" s="411">
        <f t="shared" si="21"/>
        <v>99.223559999999992</v>
      </c>
      <c r="X49" s="411">
        <f t="shared" si="22"/>
        <v>0</v>
      </c>
      <c r="Y49" s="409" t="s">
        <v>244</v>
      </c>
      <c r="Z49" s="455">
        <f t="shared" si="71"/>
        <v>0</v>
      </c>
      <c r="AA49" s="403">
        <f t="shared" si="71"/>
        <v>0</v>
      </c>
      <c r="AB49" s="403">
        <f t="shared" si="71"/>
        <v>105.06023999999999</v>
      </c>
      <c r="AC49" s="403">
        <f t="shared" si="71"/>
        <v>0</v>
      </c>
      <c r="AD49" s="403">
        <f t="shared" si="71"/>
        <v>87.55019999999999</v>
      </c>
      <c r="AE49" s="403">
        <f t="shared" si="71"/>
        <v>210.12047999999999</v>
      </c>
      <c r="AF49" s="403">
        <f t="shared" si="71"/>
        <v>99.223559999999992</v>
      </c>
      <c r="AG49" s="403">
        <f t="shared" si="71"/>
        <v>0</v>
      </c>
      <c r="AH49" s="323"/>
      <c r="AI49" s="403">
        <f t="shared" si="72"/>
        <v>0</v>
      </c>
      <c r="AJ49" s="403">
        <f t="shared" si="72"/>
        <v>0</v>
      </c>
      <c r="AK49" s="403">
        <f t="shared" si="72"/>
        <v>82.985039999999998</v>
      </c>
      <c r="AL49" s="403">
        <f t="shared" si="72"/>
        <v>0</v>
      </c>
      <c r="AM49" s="403">
        <f t="shared" si="72"/>
        <v>69.154200000000003</v>
      </c>
      <c r="AN49" s="403">
        <f t="shared" si="72"/>
        <v>165.97008</v>
      </c>
      <c r="AO49" s="403">
        <f t="shared" si="72"/>
        <v>78.374759999999995</v>
      </c>
      <c r="AP49" s="403">
        <f t="shared" si="72"/>
        <v>0</v>
      </c>
    </row>
    <row r="50" spans="1:42" ht="22.5">
      <c r="A50" s="191"/>
      <c r="B50" s="689">
        <v>6</v>
      </c>
      <c r="C50" s="407" t="s">
        <v>273</v>
      </c>
      <c r="D50" s="408" t="s">
        <v>231</v>
      </c>
      <c r="E50" s="566"/>
      <c r="F50" s="566"/>
      <c r="G50" s="566"/>
      <c r="H50" s="566"/>
      <c r="I50" s="566"/>
      <c r="J50" s="566"/>
      <c r="K50" s="566"/>
      <c r="L50" s="566"/>
      <c r="M50" s="567">
        <f t="shared" si="15"/>
        <v>463.71</v>
      </c>
      <c r="N50" s="567">
        <f>'附件4-8甲供材料清单'!K156</f>
        <v>373</v>
      </c>
      <c r="O50" s="567">
        <v>3</v>
      </c>
      <c r="P50" s="567">
        <v>79.52</v>
      </c>
      <c r="Q50" s="411">
        <f t="shared" si="7"/>
        <v>0</v>
      </c>
      <c r="R50" s="411">
        <f t="shared" si="16"/>
        <v>0</v>
      </c>
      <c r="S50" s="411">
        <f t="shared" si="17"/>
        <v>0</v>
      </c>
      <c r="T50" s="411">
        <f t="shared" si="18"/>
        <v>0</v>
      </c>
      <c r="U50" s="411">
        <f t="shared" si="19"/>
        <v>0</v>
      </c>
      <c r="V50" s="411">
        <f t="shared" si="20"/>
        <v>0</v>
      </c>
      <c r="W50" s="411">
        <f t="shared" si="21"/>
        <v>0</v>
      </c>
      <c r="X50" s="411">
        <f t="shared" si="22"/>
        <v>0</v>
      </c>
      <c r="Y50" s="409" t="s">
        <v>244</v>
      </c>
      <c r="Z50" s="455">
        <f t="shared" si="71"/>
        <v>0</v>
      </c>
      <c r="AA50" s="403">
        <f t="shared" si="71"/>
        <v>0</v>
      </c>
      <c r="AB50" s="403">
        <f t="shared" si="71"/>
        <v>0</v>
      </c>
      <c r="AC50" s="403">
        <f t="shared" si="71"/>
        <v>0</v>
      </c>
      <c r="AD50" s="403">
        <f t="shared" si="71"/>
        <v>0</v>
      </c>
      <c r="AE50" s="403">
        <f t="shared" si="71"/>
        <v>0</v>
      </c>
      <c r="AF50" s="403">
        <f t="shared" si="71"/>
        <v>0</v>
      </c>
      <c r="AG50" s="403">
        <f t="shared" si="71"/>
        <v>0</v>
      </c>
      <c r="AH50" s="323"/>
      <c r="AI50" s="403">
        <f t="shared" si="72"/>
        <v>0</v>
      </c>
      <c r="AJ50" s="403">
        <f t="shared" si="72"/>
        <v>0</v>
      </c>
      <c r="AK50" s="403">
        <f t="shared" si="72"/>
        <v>0</v>
      </c>
      <c r="AL50" s="403">
        <f t="shared" si="72"/>
        <v>0</v>
      </c>
      <c r="AM50" s="403">
        <f t="shared" si="72"/>
        <v>0</v>
      </c>
      <c r="AN50" s="403">
        <f t="shared" si="72"/>
        <v>0</v>
      </c>
      <c r="AO50" s="403">
        <f t="shared" si="72"/>
        <v>0</v>
      </c>
      <c r="AP50" s="403">
        <f t="shared" si="72"/>
        <v>0</v>
      </c>
    </row>
    <row r="51" spans="1:42" ht="22.5">
      <c r="A51" s="191"/>
      <c r="B51" s="689">
        <v>7</v>
      </c>
      <c r="C51" s="407" t="s">
        <v>274</v>
      </c>
      <c r="D51" s="408" t="s">
        <v>235</v>
      </c>
      <c r="E51" s="566"/>
      <c r="F51" s="566"/>
      <c r="G51" s="566"/>
      <c r="H51" s="566"/>
      <c r="I51" s="566"/>
      <c r="J51" s="566"/>
      <c r="K51" s="566"/>
      <c r="L51" s="566"/>
      <c r="M51" s="567">
        <f t="shared" si="15"/>
        <v>30</v>
      </c>
      <c r="N51" s="567">
        <f>'附件4-8甲供材料清单'!K157</f>
        <v>30</v>
      </c>
      <c r="O51" s="567"/>
      <c r="P51" s="567"/>
      <c r="Q51" s="411">
        <f t="shared" si="7"/>
        <v>0</v>
      </c>
      <c r="R51" s="411">
        <f t="shared" si="16"/>
        <v>0</v>
      </c>
      <c r="S51" s="411">
        <f t="shared" si="17"/>
        <v>0</v>
      </c>
      <c r="T51" s="411">
        <f t="shared" si="18"/>
        <v>0</v>
      </c>
      <c r="U51" s="411">
        <f t="shared" si="19"/>
        <v>0</v>
      </c>
      <c r="V51" s="411">
        <f t="shared" si="20"/>
        <v>0</v>
      </c>
      <c r="W51" s="411">
        <f t="shared" si="21"/>
        <v>0</v>
      </c>
      <c r="X51" s="411">
        <f t="shared" si="22"/>
        <v>0</v>
      </c>
      <c r="Y51" s="409" t="s">
        <v>244</v>
      </c>
      <c r="Z51" s="455">
        <f t="shared" si="71"/>
        <v>0</v>
      </c>
      <c r="AA51" s="403">
        <f t="shared" si="71"/>
        <v>0</v>
      </c>
      <c r="AB51" s="403">
        <f t="shared" si="71"/>
        <v>0</v>
      </c>
      <c r="AC51" s="403">
        <f t="shared" si="71"/>
        <v>0</v>
      </c>
      <c r="AD51" s="403">
        <f t="shared" si="71"/>
        <v>0</v>
      </c>
      <c r="AE51" s="403">
        <f t="shared" si="71"/>
        <v>0</v>
      </c>
      <c r="AF51" s="403">
        <f t="shared" si="71"/>
        <v>0</v>
      </c>
      <c r="AG51" s="403">
        <f t="shared" si="71"/>
        <v>0</v>
      </c>
      <c r="AH51" s="323"/>
      <c r="AI51" s="403">
        <f t="shared" si="72"/>
        <v>0</v>
      </c>
      <c r="AJ51" s="403">
        <f t="shared" si="72"/>
        <v>0</v>
      </c>
      <c r="AK51" s="403">
        <f t="shared" si="72"/>
        <v>0</v>
      </c>
      <c r="AL51" s="403">
        <f t="shared" si="72"/>
        <v>0</v>
      </c>
      <c r="AM51" s="403">
        <f t="shared" si="72"/>
        <v>0</v>
      </c>
      <c r="AN51" s="403">
        <f t="shared" si="72"/>
        <v>0</v>
      </c>
      <c r="AO51" s="403">
        <f t="shared" si="72"/>
        <v>0</v>
      </c>
      <c r="AP51" s="403">
        <f t="shared" si="72"/>
        <v>0</v>
      </c>
    </row>
    <row r="52" spans="1:42" ht="22.5">
      <c r="A52" s="191"/>
      <c r="B52" s="689">
        <v>8</v>
      </c>
      <c r="C52" s="407" t="s">
        <v>275</v>
      </c>
      <c r="D52" s="408" t="s">
        <v>235</v>
      </c>
      <c r="E52" s="566"/>
      <c r="F52" s="566"/>
      <c r="G52" s="566"/>
      <c r="H52" s="566"/>
      <c r="I52" s="566"/>
      <c r="J52" s="566"/>
      <c r="K52" s="566"/>
      <c r="L52" s="566"/>
      <c r="M52" s="567">
        <f t="shared" si="15"/>
        <v>193.86</v>
      </c>
      <c r="N52" s="567">
        <f>'附件4-8甲供材料清单'!K166</f>
        <v>162</v>
      </c>
      <c r="O52" s="567">
        <v>1</v>
      </c>
      <c r="P52" s="567">
        <v>30.24</v>
      </c>
      <c r="Q52" s="411">
        <f t="shared" si="7"/>
        <v>0</v>
      </c>
      <c r="R52" s="411">
        <f t="shared" si="16"/>
        <v>0</v>
      </c>
      <c r="S52" s="411">
        <f t="shared" si="17"/>
        <v>0</v>
      </c>
      <c r="T52" s="411">
        <f t="shared" si="18"/>
        <v>0</v>
      </c>
      <c r="U52" s="411">
        <f t="shared" si="19"/>
        <v>0</v>
      </c>
      <c r="V52" s="411">
        <f t="shared" si="20"/>
        <v>0</v>
      </c>
      <c r="W52" s="411">
        <f t="shared" si="21"/>
        <v>0</v>
      </c>
      <c r="X52" s="411">
        <f t="shared" si="22"/>
        <v>0</v>
      </c>
      <c r="Y52" s="409" t="s">
        <v>244</v>
      </c>
      <c r="Z52" s="455">
        <f t="shared" si="71"/>
        <v>0</v>
      </c>
      <c r="AA52" s="403">
        <f t="shared" si="71"/>
        <v>0</v>
      </c>
      <c r="AB52" s="403">
        <f t="shared" si="71"/>
        <v>0</v>
      </c>
      <c r="AC52" s="403">
        <f t="shared" si="71"/>
        <v>0</v>
      </c>
      <c r="AD52" s="403">
        <f t="shared" si="71"/>
        <v>0</v>
      </c>
      <c r="AE52" s="403">
        <f t="shared" si="71"/>
        <v>0</v>
      </c>
      <c r="AF52" s="403">
        <f t="shared" si="71"/>
        <v>0</v>
      </c>
      <c r="AG52" s="403">
        <f t="shared" si="71"/>
        <v>0</v>
      </c>
      <c r="AH52" s="323"/>
      <c r="AI52" s="403">
        <f t="shared" si="72"/>
        <v>0</v>
      </c>
      <c r="AJ52" s="403">
        <f t="shared" si="72"/>
        <v>0</v>
      </c>
      <c r="AK52" s="403">
        <f t="shared" si="72"/>
        <v>0</v>
      </c>
      <c r="AL52" s="403">
        <f t="shared" si="72"/>
        <v>0</v>
      </c>
      <c r="AM52" s="403">
        <f t="shared" si="72"/>
        <v>0</v>
      </c>
      <c r="AN52" s="403">
        <f t="shared" si="72"/>
        <v>0</v>
      </c>
      <c r="AO52" s="403">
        <f t="shared" si="72"/>
        <v>0</v>
      </c>
      <c r="AP52" s="403">
        <f t="shared" si="72"/>
        <v>0</v>
      </c>
    </row>
    <row r="53" spans="1:42" s="384" customFormat="1" ht="21" customHeight="1">
      <c r="A53" s="191"/>
      <c r="B53" s="689">
        <v>9</v>
      </c>
      <c r="C53" s="407" t="s">
        <v>276</v>
      </c>
      <c r="D53" s="412" t="s">
        <v>231</v>
      </c>
      <c r="E53" s="566"/>
      <c r="F53" s="566"/>
      <c r="G53" s="566"/>
      <c r="H53" s="566"/>
      <c r="I53" s="566"/>
      <c r="J53" s="566"/>
      <c r="K53" s="566"/>
      <c r="L53" s="566"/>
      <c r="M53" s="567">
        <f t="shared" si="15"/>
        <v>358.84</v>
      </c>
      <c r="N53" s="567">
        <v>260</v>
      </c>
      <c r="O53" s="567">
        <v>2</v>
      </c>
      <c r="P53" s="567">
        <v>93.64</v>
      </c>
      <c r="Q53" s="402">
        <f t="shared" si="7"/>
        <v>0</v>
      </c>
      <c r="R53" s="402">
        <f t="shared" si="16"/>
        <v>0</v>
      </c>
      <c r="S53" s="402">
        <f t="shared" si="17"/>
        <v>0</v>
      </c>
      <c r="T53" s="402">
        <f t="shared" si="18"/>
        <v>0</v>
      </c>
      <c r="U53" s="402">
        <f t="shared" si="19"/>
        <v>0</v>
      </c>
      <c r="V53" s="402">
        <f t="shared" si="20"/>
        <v>0</v>
      </c>
      <c r="W53" s="402">
        <f t="shared" si="21"/>
        <v>0</v>
      </c>
      <c r="X53" s="402">
        <f t="shared" si="22"/>
        <v>0</v>
      </c>
      <c r="Y53" s="409"/>
      <c r="Z53" s="455"/>
      <c r="AA53" s="403"/>
      <c r="AB53" s="403"/>
      <c r="AC53" s="403"/>
      <c r="AD53" s="403"/>
      <c r="AE53" s="403"/>
      <c r="AF53" s="403"/>
      <c r="AG53" s="403"/>
      <c r="AH53" s="323"/>
      <c r="AI53" s="403"/>
      <c r="AJ53" s="403"/>
      <c r="AK53" s="403"/>
      <c r="AL53" s="403"/>
      <c r="AM53" s="403"/>
      <c r="AN53" s="403"/>
      <c r="AO53" s="403"/>
      <c r="AP53" s="403"/>
    </row>
    <row r="54" spans="1:42" s="384" customFormat="1" ht="22.5">
      <c r="A54" s="194" t="s">
        <v>277</v>
      </c>
      <c r="B54" s="689" t="s">
        <v>278</v>
      </c>
      <c r="C54" s="407" t="s">
        <v>279</v>
      </c>
      <c r="D54" s="412"/>
      <c r="E54" s="566"/>
      <c r="F54" s="566"/>
      <c r="G54" s="566"/>
      <c r="H54" s="566"/>
      <c r="I54" s="566"/>
      <c r="J54" s="566"/>
      <c r="K54" s="566"/>
      <c r="L54" s="566"/>
      <c r="M54" s="567"/>
      <c r="N54" s="567"/>
      <c r="O54" s="567"/>
      <c r="P54" s="567"/>
      <c r="Q54" s="402"/>
      <c r="R54" s="402"/>
      <c r="S54" s="402"/>
      <c r="T54" s="402"/>
      <c r="U54" s="402"/>
      <c r="V54" s="402"/>
      <c r="W54" s="402"/>
      <c r="X54" s="402"/>
      <c r="Y54" s="409"/>
      <c r="Z54" s="455"/>
      <c r="AA54" s="403"/>
      <c r="AB54" s="403"/>
      <c r="AC54" s="403"/>
      <c r="AD54" s="403"/>
      <c r="AE54" s="403"/>
      <c r="AF54" s="403"/>
      <c r="AG54" s="403"/>
      <c r="AH54" s="323"/>
      <c r="AI54" s="403"/>
      <c r="AJ54" s="403"/>
      <c r="AK54" s="403"/>
      <c r="AL54" s="403"/>
      <c r="AM54" s="403"/>
      <c r="AN54" s="403"/>
      <c r="AO54" s="403"/>
      <c r="AP54" s="403"/>
    </row>
    <row r="55" spans="1:42" ht="22.5">
      <c r="A55" s="194" t="s">
        <v>277</v>
      </c>
      <c r="B55" s="689" t="s">
        <v>278</v>
      </c>
      <c r="C55" s="414" t="s">
        <v>280</v>
      </c>
      <c r="D55" s="408" t="s">
        <v>231</v>
      </c>
      <c r="E55" s="566"/>
      <c r="F55" s="566"/>
      <c r="G55" s="566"/>
      <c r="H55" s="566"/>
      <c r="I55" s="566"/>
      <c r="J55" s="566"/>
      <c r="K55" s="566"/>
      <c r="L55" s="566"/>
      <c r="M55" s="567">
        <f t="shared" ref="M55" si="73">N55+N55*O55%+P55</f>
        <v>1089.97</v>
      </c>
      <c r="N55" s="567">
        <f>'附件4-8甲供材料清单'!$K$158</f>
        <v>959</v>
      </c>
      <c r="O55" s="567">
        <v>3</v>
      </c>
      <c r="P55" s="567">
        <v>102.2</v>
      </c>
      <c r="Q55" s="411">
        <f t="shared" ref="Q55" si="74">E55*$M55</f>
        <v>0</v>
      </c>
      <c r="R55" s="411">
        <f t="shared" ref="R55" si="75">F55*$M55</f>
        <v>0</v>
      </c>
      <c r="S55" s="411">
        <f t="shared" ref="S55" si="76">G55*$M55</f>
        <v>0</v>
      </c>
      <c r="T55" s="411">
        <f t="shared" ref="T55" si="77">H55*$M55</f>
        <v>0</v>
      </c>
      <c r="U55" s="411">
        <f t="shared" ref="U55" si="78">I55*$M55</f>
        <v>0</v>
      </c>
      <c r="V55" s="411">
        <f t="shared" ref="V55" si="79">J55*$M55</f>
        <v>0</v>
      </c>
      <c r="W55" s="411">
        <f t="shared" ref="W55" si="80">K55*$M55</f>
        <v>0</v>
      </c>
      <c r="X55" s="411">
        <f t="shared" ref="X55" si="81">L55*$M55</f>
        <v>0</v>
      </c>
      <c r="Y55" s="409" t="s">
        <v>244</v>
      </c>
      <c r="Z55" s="455">
        <f t="shared" ref="Z55" si="82">Q55</f>
        <v>0</v>
      </c>
      <c r="AA55" s="403">
        <f t="shared" ref="AA55" si="83">R55</f>
        <v>0</v>
      </c>
      <c r="AB55" s="403">
        <f t="shared" ref="AB55" si="84">S55</f>
        <v>0</v>
      </c>
      <c r="AC55" s="403">
        <f t="shared" ref="AC55" si="85">T55</f>
        <v>0</v>
      </c>
      <c r="AD55" s="403">
        <f t="shared" ref="AD55" si="86">U55</f>
        <v>0</v>
      </c>
      <c r="AE55" s="403">
        <f t="shared" ref="AE55" si="87">V55</f>
        <v>0</v>
      </c>
      <c r="AF55" s="403">
        <f t="shared" ref="AF55" si="88">W55</f>
        <v>0</v>
      </c>
      <c r="AG55" s="403">
        <f t="shared" ref="AG55" si="89">X55</f>
        <v>0</v>
      </c>
      <c r="AH55" s="323"/>
      <c r="AI55" s="403">
        <f t="shared" ref="AI55" si="90">E55*$N55*(1+$O55%)</f>
        <v>0</v>
      </c>
      <c r="AJ55" s="403">
        <f t="shared" ref="AJ55:AP57" si="91">F55*$N55*(1+$O55%)</f>
        <v>0</v>
      </c>
      <c r="AK55" s="403">
        <f t="shared" si="91"/>
        <v>0</v>
      </c>
      <c r="AL55" s="403">
        <f t="shared" si="91"/>
        <v>0</v>
      </c>
      <c r="AM55" s="403">
        <f t="shared" si="91"/>
        <v>0</v>
      </c>
      <c r="AN55" s="403">
        <f t="shared" si="91"/>
        <v>0</v>
      </c>
      <c r="AO55" s="403">
        <f t="shared" si="91"/>
        <v>0</v>
      </c>
      <c r="AP55" s="403">
        <f t="shared" si="91"/>
        <v>0</v>
      </c>
    </row>
    <row r="56" spans="1:42" ht="22.5">
      <c r="A56" s="194" t="s">
        <v>277</v>
      </c>
      <c r="B56" s="689" t="s">
        <v>278</v>
      </c>
      <c r="C56" s="414" t="s">
        <v>281</v>
      </c>
      <c r="D56" s="408" t="s">
        <v>231</v>
      </c>
      <c r="E56" s="566"/>
      <c r="F56" s="566"/>
      <c r="G56" s="566"/>
      <c r="H56" s="566"/>
      <c r="I56" s="566"/>
      <c r="J56" s="566"/>
      <c r="K56" s="566"/>
      <c r="L56" s="566"/>
      <c r="M56" s="567">
        <f>N56+N56*O56%+P56</f>
        <v>1067.29</v>
      </c>
      <c r="N56" s="567">
        <f>'附件4-8甲供材料清单'!$K$158</f>
        <v>959</v>
      </c>
      <c r="O56" s="567">
        <v>3</v>
      </c>
      <c r="P56" s="567">
        <v>79.52</v>
      </c>
      <c r="Q56" s="411">
        <f t="shared" ref="Q56:X57" si="92">E56*$M56</f>
        <v>0</v>
      </c>
      <c r="R56" s="411">
        <f t="shared" si="92"/>
        <v>0</v>
      </c>
      <c r="S56" s="411">
        <f t="shared" si="92"/>
        <v>0</v>
      </c>
      <c r="T56" s="411">
        <f t="shared" si="92"/>
        <v>0</v>
      </c>
      <c r="U56" s="411">
        <f t="shared" si="92"/>
        <v>0</v>
      </c>
      <c r="V56" s="411">
        <f t="shared" si="92"/>
        <v>0</v>
      </c>
      <c r="W56" s="411">
        <f t="shared" si="92"/>
        <v>0</v>
      </c>
      <c r="X56" s="411">
        <f t="shared" si="92"/>
        <v>0</v>
      </c>
      <c r="Y56" s="409" t="s">
        <v>244</v>
      </c>
      <c r="Z56" s="455">
        <f t="shared" ref="Z56:AG57" si="93">Q56</f>
        <v>0</v>
      </c>
      <c r="AA56" s="403">
        <f t="shared" si="93"/>
        <v>0</v>
      </c>
      <c r="AB56" s="403">
        <f t="shared" si="93"/>
        <v>0</v>
      </c>
      <c r="AC56" s="403">
        <f t="shared" si="93"/>
        <v>0</v>
      </c>
      <c r="AD56" s="403">
        <f t="shared" si="93"/>
        <v>0</v>
      </c>
      <c r="AE56" s="403">
        <f t="shared" si="93"/>
        <v>0</v>
      </c>
      <c r="AF56" s="403">
        <f t="shared" si="93"/>
        <v>0</v>
      </c>
      <c r="AG56" s="403">
        <f t="shared" si="93"/>
        <v>0</v>
      </c>
      <c r="AH56" s="323"/>
      <c r="AI56" s="403">
        <f>E56*$N56*(1+$O56%)</f>
        <v>0</v>
      </c>
      <c r="AJ56" s="403">
        <f t="shared" si="91"/>
        <v>0</v>
      </c>
      <c r="AK56" s="403">
        <f t="shared" si="91"/>
        <v>0</v>
      </c>
      <c r="AL56" s="403">
        <f t="shared" si="91"/>
        <v>0</v>
      </c>
      <c r="AM56" s="403">
        <f t="shared" si="91"/>
        <v>0</v>
      </c>
      <c r="AN56" s="403">
        <f t="shared" si="91"/>
        <v>0</v>
      </c>
      <c r="AO56" s="403">
        <f t="shared" si="91"/>
        <v>0</v>
      </c>
      <c r="AP56" s="403">
        <f t="shared" si="91"/>
        <v>0</v>
      </c>
    </row>
    <row r="57" spans="1:42" ht="22.5">
      <c r="A57" s="194" t="s">
        <v>277</v>
      </c>
      <c r="B57" s="689" t="s">
        <v>278</v>
      </c>
      <c r="C57" s="414" t="s">
        <v>282</v>
      </c>
      <c r="D57" s="408" t="s">
        <v>235</v>
      </c>
      <c r="E57" s="566"/>
      <c r="F57" s="566"/>
      <c r="G57" s="566"/>
      <c r="H57" s="566"/>
      <c r="I57" s="566"/>
      <c r="J57" s="566"/>
      <c r="K57" s="566"/>
      <c r="L57" s="566"/>
      <c r="M57" s="567">
        <f>N57+N57*O57%+P57</f>
        <v>44</v>
      </c>
      <c r="N57" s="567">
        <f>'附件4-8甲供材料清单'!$K$159</f>
        <v>44</v>
      </c>
      <c r="O57" s="567"/>
      <c r="P57" s="567"/>
      <c r="Q57" s="411">
        <f t="shared" si="92"/>
        <v>0</v>
      </c>
      <c r="R57" s="411">
        <f t="shared" si="92"/>
        <v>0</v>
      </c>
      <c r="S57" s="411">
        <f t="shared" si="92"/>
        <v>0</v>
      </c>
      <c r="T57" s="411">
        <f t="shared" si="92"/>
        <v>0</v>
      </c>
      <c r="U57" s="411">
        <f t="shared" si="92"/>
        <v>0</v>
      </c>
      <c r="V57" s="411">
        <f t="shared" si="92"/>
        <v>0</v>
      </c>
      <c r="W57" s="411">
        <f t="shared" si="92"/>
        <v>0</v>
      </c>
      <c r="X57" s="411">
        <f t="shared" si="92"/>
        <v>0</v>
      </c>
      <c r="Y57" s="409" t="s">
        <v>244</v>
      </c>
      <c r="Z57" s="455">
        <f t="shared" si="93"/>
        <v>0</v>
      </c>
      <c r="AA57" s="403">
        <f t="shared" si="93"/>
        <v>0</v>
      </c>
      <c r="AB57" s="403">
        <f t="shared" si="93"/>
        <v>0</v>
      </c>
      <c r="AC57" s="403">
        <f t="shared" si="93"/>
        <v>0</v>
      </c>
      <c r="AD57" s="403">
        <f t="shared" si="93"/>
        <v>0</v>
      </c>
      <c r="AE57" s="403">
        <f t="shared" si="93"/>
        <v>0</v>
      </c>
      <c r="AF57" s="403">
        <f t="shared" si="93"/>
        <v>0</v>
      </c>
      <c r="AG57" s="403">
        <f t="shared" si="93"/>
        <v>0</v>
      </c>
      <c r="AH57" s="323"/>
      <c r="AI57" s="403">
        <f>E57*$N57*(1+$O57%)</f>
        <v>0</v>
      </c>
      <c r="AJ57" s="403">
        <f t="shared" si="91"/>
        <v>0</v>
      </c>
      <c r="AK57" s="403">
        <f t="shared" si="91"/>
        <v>0</v>
      </c>
      <c r="AL57" s="403">
        <f t="shared" si="91"/>
        <v>0</v>
      </c>
      <c r="AM57" s="403">
        <f t="shared" si="91"/>
        <v>0</v>
      </c>
      <c r="AN57" s="403">
        <f t="shared" si="91"/>
        <v>0</v>
      </c>
      <c r="AO57" s="403">
        <f t="shared" si="91"/>
        <v>0</v>
      </c>
      <c r="AP57" s="403">
        <f t="shared" si="91"/>
        <v>0</v>
      </c>
    </row>
    <row r="58" spans="1:42" ht="11.25">
      <c r="A58" s="194"/>
      <c r="B58" s="635" t="s">
        <v>60</v>
      </c>
      <c r="C58" s="636" t="s">
        <v>283</v>
      </c>
      <c r="D58" s="642"/>
      <c r="E58" s="647"/>
      <c r="F58" s="647"/>
      <c r="G58" s="647"/>
      <c r="H58" s="647"/>
      <c r="I58" s="647"/>
      <c r="J58" s="647"/>
      <c r="K58" s="647"/>
      <c r="L58" s="647"/>
      <c r="M58" s="648"/>
      <c r="N58" s="648"/>
      <c r="O58" s="648"/>
      <c r="P58" s="648"/>
      <c r="Q58" s="649"/>
      <c r="R58" s="649"/>
      <c r="S58" s="649"/>
      <c r="T58" s="649"/>
      <c r="U58" s="649"/>
      <c r="V58" s="649"/>
      <c r="W58" s="649"/>
      <c r="X58" s="649"/>
      <c r="Y58" s="640" t="s">
        <v>1860</v>
      </c>
      <c r="Z58" s="455"/>
      <c r="AA58" s="403"/>
      <c r="AB58" s="403"/>
      <c r="AC58" s="403"/>
      <c r="AD58" s="403"/>
      <c r="AE58" s="403"/>
      <c r="AF58" s="403"/>
      <c r="AG58" s="403"/>
      <c r="AH58" s="323"/>
      <c r="AI58" s="403"/>
      <c r="AJ58" s="403"/>
      <c r="AK58" s="403"/>
      <c r="AL58" s="403"/>
      <c r="AM58" s="403"/>
      <c r="AN58" s="403"/>
      <c r="AO58" s="403"/>
      <c r="AP58" s="403"/>
    </row>
    <row r="59" spans="1:42" ht="11.25">
      <c r="A59" s="194"/>
      <c r="B59" s="635" t="s">
        <v>133</v>
      </c>
      <c r="C59" s="636" t="s">
        <v>229</v>
      </c>
      <c r="D59" s="642"/>
      <c r="E59" s="647"/>
      <c r="F59" s="647"/>
      <c r="G59" s="647"/>
      <c r="H59" s="647"/>
      <c r="I59" s="647"/>
      <c r="J59" s="647"/>
      <c r="K59" s="647"/>
      <c r="L59" s="647"/>
      <c r="M59" s="648"/>
      <c r="N59" s="648"/>
      <c r="O59" s="648"/>
      <c r="P59" s="648"/>
      <c r="Q59" s="649"/>
      <c r="R59" s="649"/>
      <c r="S59" s="649"/>
      <c r="T59" s="649"/>
      <c r="U59" s="649"/>
      <c r="V59" s="649"/>
      <c r="W59" s="649"/>
      <c r="X59" s="649"/>
      <c r="Y59" s="640" t="s">
        <v>1860</v>
      </c>
      <c r="Z59" s="455"/>
      <c r="AA59" s="403"/>
      <c r="AB59" s="403"/>
      <c r="AC59" s="403"/>
      <c r="AD59" s="403"/>
      <c r="AE59" s="403"/>
      <c r="AF59" s="403"/>
      <c r="AG59" s="403"/>
      <c r="AH59" s="323"/>
      <c r="AI59" s="423"/>
      <c r="AJ59" s="423"/>
      <c r="AK59" s="423"/>
      <c r="AL59" s="423"/>
      <c r="AM59" s="423"/>
      <c r="AN59" s="423"/>
      <c r="AO59" s="423"/>
      <c r="AP59" s="423"/>
    </row>
    <row r="60" spans="1:42" s="384" customFormat="1" ht="22.5">
      <c r="A60" s="191"/>
      <c r="B60" s="689">
        <v>1</v>
      </c>
      <c r="C60" s="407" t="s">
        <v>284</v>
      </c>
      <c r="D60" s="408" t="s">
        <v>231</v>
      </c>
      <c r="E60" s="566"/>
      <c r="F60" s="566"/>
      <c r="G60" s="566"/>
      <c r="H60" s="566"/>
      <c r="I60" s="566"/>
      <c r="J60" s="566"/>
      <c r="K60" s="566"/>
      <c r="L60" s="566"/>
      <c r="M60" s="567">
        <f t="shared" ref="M60:M78" si="94">N60+N60*O60%+P60</f>
        <v>84.64</v>
      </c>
      <c r="N60" s="567">
        <v>20</v>
      </c>
      <c r="O60" s="567">
        <v>10</v>
      </c>
      <c r="P60" s="567">
        <v>62.64</v>
      </c>
      <c r="Q60" s="402">
        <f t="shared" ref="Q60:Q78" si="95">E60*$M60</f>
        <v>0</v>
      </c>
      <c r="R60" s="402">
        <f t="shared" ref="R60:R78" si="96">F60*$M60</f>
        <v>0</v>
      </c>
      <c r="S60" s="402">
        <f t="shared" ref="S60:S78" si="97">G60*$M60</f>
        <v>0</v>
      </c>
      <c r="T60" s="402">
        <f t="shared" ref="T60:T78" si="98">H60*$M60</f>
        <v>0</v>
      </c>
      <c r="U60" s="402">
        <f t="shared" ref="U60:U78" si="99">I60*$M60</f>
        <v>0</v>
      </c>
      <c r="V60" s="402">
        <f t="shared" ref="V60:V78" si="100">J60*$M60</f>
        <v>0</v>
      </c>
      <c r="W60" s="402">
        <f t="shared" ref="W60:W78" si="101">K60*$M60</f>
        <v>0</v>
      </c>
      <c r="X60" s="402">
        <f t="shared" ref="X60:X78" si="102">L60*$M60</f>
        <v>0</v>
      </c>
      <c r="Y60" s="409"/>
      <c r="Z60" s="455"/>
      <c r="AA60" s="403"/>
      <c r="AB60" s="403"/>
      <c r="AC60" s="403"/>
      <c r="AD60" s="403"/>
      <c r="AE60" s="403"/>
      <c r="AF60" s="403"/>
      <c r="AG60" s="403"/>
      <c r="AH60" s="323"/>
      <c r="AI60" s="423"/>
      <c r="AJ60" s="423"/>
      <c r="AK60" s="423"/>
      <c r="AL60" s="423"/>
      <c r="AM60" s="423"/>
      <c r="AN60" s="423"/>
      <c r="AO60" s="423"/>
      <c r="AP60" s="423"/>
    </row>
    <row r="61" spans="1:42" s="384" customFormat="1">
      <c r="A61" s="191"/>
      <c r="B61" s="689">
        <v>2</v>
      </c>
      <c r="C61" s="407" t="s">
        <v>240</v>
      </c>
      <c r="D61" s="408" t="s">
        <v>235</v>
      </c>
      <c r="E61" s="566"/>
      <c r="F61" s="566"/>
      <c r="G61" s="566"/>
      <c r="H61" s="566"/>
      <c r="I61" s="566"/>
      <c r="J61" s="566"/>
      <c r="K61" s="566"/>
      <c r="L61" s="566"/>
      <c r="M61" s="567">
        <f t="shared" si="94"/>
        <v>12.025</v>
      </c>
      <c r="N61" s="567">
        <v>3.5</v>
      </c>
      <c r="O61" s="567">
        <v>9</v>
      </c>
      <c r="P61" s="567">
        <v>8.2100000000000009</v>
      </c>
      <c r="Q61" s="402">
        <f t="shared" si="95"/>
        <v>0</v>
      </c>
      <c r="R61" s="402">
        <f t="shared" si="96"/>
        <v>0</v>
      </c>
      <c r="S61" s="402">
        <f t="shared" si="97"/>
        <v>0</v>
      </c>
      <c r="T61" s="402">
        <f t="shared" si="98"/>
        <v>0</v>
      </c>
      <c r="U61" s="402">
        <f t="shared" si="99"/>
        <v>0</v>
      </c>
      <c r="V61" s="402">
        <f t="shared" si="100"/>
        <v>0</v>
      </c>
      <c r="W61" s="402">
        <f t="shared" si="101"/>
        <v>0</v>
      </c>
      <c r="X61" s="402">
        <f t="shared" si="102"/>
        <v>0</v>
      </c>
      <c r="Y61" s="409"/>
      <c r="Z61" s="455"/>
      <c r="AA61" s="403"/>
      <c r="AB61" s="403"/>
      <c r="AC61" s="403"/>
      <c r="AD61" s="403"/>
      <c r="AE61" s="403"/>
      <c r="AF61" s="403"/>
      <c r="AG61" s="403"/>
      <c r="AH61" s="323"/>
      <c r="AI61" s="423"/>
      <c r="AJ61" s="423"/>
      <c r="AK61" s="423"/>
      <c r="AL61" s="423"/>
      <c r="AM61" s="423"/>
      <c r="AN61" s="423"/>
      <c r="AO61" s="423"/>
      <c r="AP61" s="423"/>
    </row>
    <row r="62" spans="1:42" s="384" customFormat="1">
      <c r="A62" s="191"/>
      <c r="B62" s="689">
        <v>3</v>
      </c>
      <c r="C62" s="407" t="s">
        <v>285</v>
      </c>
      <c r="D62" s="408" t="s">
        <v>235</v>
      </c>
      <c r="E62" s="566">
        <f>A单元!$D$24</f>
        <v>0</v>
      </c>
      <c r="F62" s="566">
        <f>C单元!$D$24</f>
        <v>14.4</v>
      </c>
      <c r="G62" s="566">
        <f>B单元!$D$24+B单元!$D$29</f>
        <v>24.6</v>
      </c>
      <c r="H62" s="566">
        <f>F单元!$D$24+F单元!$D$29</f>
        <v>0</v>
      </c>
      <c r="I62" s="566">
        <f>H单元!$D$24+H单元!$D$29+H单元!$D$34</f>
        <v>41.28</v>
      </c>
      <c r="J62" s="566">
        <f>'D单元 '!D24+'D单元 '!D29</f>
        <v>24.47</v>
      </c>
      <c r="K62" s="566">
        <f>I单元!$D$24+I单元!$D$29+I单元!$D$34</f>
        <v>45.13</v>
      </c>
      <c r="L62" s="566">
        <f>E单元!$D$24</f>
        <v>0</v>
      </c>
      <c r="M62" s="567">
        <f t="shared" si="94"/>
        <v>13.11</v>
      </c>
      <c r="N62" s="567">
        <v>4</v>
      </c>
      <c r="O62" s="567">
        <v>9</v>
      </c>
      <c r="P62" s="567">
        <v>8.75</v>
      </c>
      <c r="Q62" s="402">
        <f t="shared" si="95"/>
        <v>0</v>
      </c>
      <c r="R62" s="402">
        <f t="shared" si="96"/>
        <v>188.78399999999999</v>
      </c>
      <c r="S62" s="402">
        <f t="shared" si="97"/>
        <v>322.50600000000003</v>
      </c>
      <c r="T62" s="402">
        <f t="shared" si="98"/>
        <v>0</v>
      </c>
      <c r="U62" s="402">
        <f t="shared" si="99"/>
        <v>541.18079999999998</v>
      </c>
      <c r="V62" s="402">
        <f t="shared" si="100"/>
        <v>320.80169999999998</v>
      </c>
      <c r="W62" s="402">
        <f t="shared" si="101"/>
        <v>591.65430000000003</v>
      </c>
      <c r="X62" s="402">
        <f t="shared" si="102"/>
        <v>0</v>
      </c>
      <c r="Y62" s="409"/>
      <c r="Z62" s="455"/>
      <c r="AA62" s="403"/>
      <c r="AB62" s="403"/>
      <c r="AC62" s="403"/>
      <c r="AD62" s="403"/>
      <c r="AE62" s="403"/>
      <c r="AF62" s="403"/>
      <c r="AG62" s="403"/>
      <c r="AH62" s="323"/>
      <c r="AI62" s="423"/>
      <c r="AJ62" s="423"/>
      <c r="AK62" s="423"/>
      <c r="AL62" s="423"/>
      <c r="AM62" s="423"/>
      <c r="AN62" s="423"/>
      <c r="AO62" s="423"/>
      <c r="AP62" s="423"/>
    </row>
    <row r="63" spans="1:42" ht="33.75">
      <c r="A63" s="191"/>
      <c r="B63" s="689">
        <v>4</v>
      </c>
      <c r="C63" s="407" t="s">
        <v>286</v>
      </c>
      <c r="D63" s="408" t="s">
        <v>231</v>
      </c>
      <c r="E63" s="566">
        <f>A单元!$E$36+3.46*0.1+16.6*(0.256+0.124)+E292*0.07</f>
        <v>31.047000000000001</v>
      </c>
      <c r="F63" s="566">
        <f>C单元!$E$36+C单元!D24*0.1-4.3*0.1</f>
        <v>13.91</v>
      </c>
      <c r="G63" s="566">
        <f>B单元!$E$36+C单元!E24*0.1-3.4*0.1</f>
        <v>19.63</v>
      </c>
      <c r="H63" s="566">
        <f>F单元!$E$36+3.37*0.1+16.27*(0.256+0.124)+H292*0.07</f>
        <v>35.131799999999998</v>
      </c>
      <c r="I63" s="566">
        <f>H单元!E36+I62*0.1-(7.6+2.75+6.49)*0.1-3.8*0.05</f>
        <v>42.564</v>
      </c>
      <c r="J63" s="566">
        <f>'D单元 '!E36+J62*0.1-(13.07+6.3)*0.1</f>
        <v>21.169999999999998</v>
      </c>
      <c r="K63" s="566">
        <f>I单元!$E$36+K62*0.1-(3.5+17.52)*0.1</f>
        <v>49.981000000000002</v>
      </c>
      <c r="L63" s="566">
        <f>E单元!$E$36+3.46*0.1+16.6*(0.256+0.124)+L292*0.07</f>
        <v>37.28</v>
      </c>
      <c r="M63" s="567">
        <f t="shared" si="94"/>
        <v>21.428709999999999</v>
      </c>
      <c r="N63" s="567">
        <f>'附件4-8甲供材料清单'!N123</f>
        <v>2.2087100000000004</v>
      </c>
      <c r="O63" s="567"/>
      <c r="P63" s="567">
        <v>19.22</v>
      </c>
      <c r="Q63" s="411">
        <f t="shared" si="95"/>
        <v>665.29715937000003</v>
      </c>
      <c r="R63" s="411">
        <f t="shared" si="96"/>
        <v>298.07335610000001</v>
      </c>
      <c r="S63" s="411">
        <f t="shared" si="97"/>
        <v>420.64557729999996</v>
      </c>
      <c r="T63" s="411">
        <f t="shared" si="98"/>
        <v>752.82915397799991</v>
      </c>
      <c r="U63" s="411">
        <f t="shared" si="99"/>
        <v>912.09161243999995</v>
      </c>
      <c r="V63" s="411">
        <f t="shared" si="100"/>
        <v>453.64579069999996</v>
      </c>
      <c r="W63" s="411">
        <f t="shared" si="101"/>
        <v>1071.0283545099999</v>
      </c>
      <c r="X63" s="411">
        <f t="shared" si="102"/>
        <v>798.86230879999994</v>
      </c>
      <c r="Y63" s="409" t="s">
        <v>244</v>
      </c>
      <c r="Z63" s="455">
        <f t="shared" ref="Z63" si="103">Q63</f>
        <v>665.29715937000003</v>
      </c>
      <c r="AA63" s="403">
        <f t="shared" ref="AA63:AG64" si="104">R63</f>
        <v>298.07335610000001</v>
      </c>
      <c r="AB63" s="403">
        <f t="shared" si="104"/>
        <v>420.64557729999996</v>
      </c>
      <c r="AC63" s="403">
        <f t="shared" si="104"/>
        <v>752.82915397799991</v>
      </c>
      <c r="AD63" s="403">
        <f t="shared" si="104"/>
        <v>912.09161243999995</v>
      </c>
      <c r="AE63" s="403">
        <f t="shared" si="104"/>
        <v>453.64579069999996</v>
      </c>
      <c r="AF63" s="403">
        <f t="shared" si="104"/>
        <v>1071.0283545099999</v>
      </c>
      <c r="AG63" s="403">
        <f t="shared" si="104"/>
        <v>798.86230879999994</v>
      </c>
      <c r="AH63" s="323"/>
      <c r="AI63" s="403">
        <f t="shared" ref="AI63" si="105">E63*$N63*(1+$O63%)</f>
        <v>68.57381937000001</v>
      </c>
      <c r="AJ63" s="403">
        <f t="shared" ref="AJ63:AP64" si="106">F63*$N63*(1+$O63%)</f>
        <v>30.723156100000004</v>
      </c>
      <c r="AK63" s="403">
        <f t="shared" si="106"/>
        <v>43.356977300000004</v>
      </c>
      <c r="AL63" s="403">
        <f t="shared" si="106"/>
        <v>77.595957978000015</v>
      </c>
      <c r="AM63" s="403">
        <f t="shared" si="106"/>
        <v>94.011532440000011</v>
      </c>
      <c r="AN63" s="403">
        <f t="shared" si="106"/>
        <v>46.758390700000007</v>
      </c>
      <c r="AO63" s="403">
        <f t="shared" si="106"/>
        <v>110.39353451000002</v>
      </c>
      <c r="AP63" s="403">
        <f t="shared" si="106"/>
        <v>82.340708800000016</v>
      </c>
    </row>
    <row r="64" spans="1:42" ht="33.75">
      <c r="A64" s="191"/>
      <c r="B64" s="689" t="s">
        <v>233</v>
      </c>
      <c r="C64" s="407" t="s">
        <v>287</v>
      </c>
      <c r="D64" s="408" t="s">
        <v>231</v>
      </c>
      <c r="E64" s="566"/>
      <c r="F64" s="566"/>
      <c r="G64" s="566"/>
      <c r="H64" s="566"/>
      <c r="I64" s="566"/>
      <c r="J64" s="566"/>
      <c r="K64" s="566"/>
      <c r="L64" s="566"/>
      <c r="M64" s="567">
        <f t="shared" si="94"/>
        <v>23.988709999999998</v>
      </c>
      <c r="N64" s="567">
        <f>N63</f>
        <v>2.2087100000000004</v>
      </c>
      <c r="O64" s="567"/>
      <c r="P64" s="567">
        <f>2.56+19.22</f>
        <v>21.779999999999998</v>
      </c>
      <c r="Q64" s="411">
        <f t="shared" si="95"/>
        <v>0</v>
      </c>
      <c r="R64" s="411">
        <f t="shared" si="96"/>
        <v>0</v>
      </c>
      <c r="S64" s="411">
        <f t="shared" si="97"/>
        <v>0</v>
      </c>
      <c r="T64" s="411">
        <f t="shared" si="98"/>
        <v>0</v>
      </c>
      <c r="U64" s="411">
        <f t="shared" si="99"/>
        <v>0</v>
      </c>
      <c r="V64" s="411">
        <f t="shared" si="100"/>
        <v>0</v>
      </c>
      <c r="W64" s="411">
        <f t="shared" si="101"/>
        <v>0</v>
      </c>
      <c r="X64" s="411">
        <f t="shared" si="102"/>
        <v>0</v>
      </c>
      <c r="Y64" s="409" t="s">
        <v>244</v>
      </c>
      <c r="Z64" s="455">
        <f>Q64</f>
        <v>0</v>
      </c>
      <c r="AA64" s="403">
        <f t="shared" si="104"/>
        <v>0</v>
      </c>
      <c r="AB64" s="403">
        <f t="shared" si="104"/>
        <v>0</v>
      </c>
      <c r="AC64" s="403">
        <f t="shared" si="104"/>
        <v>0</v>
      </c>
      <c r="AD64" s="403">
        <f t="shared" si="104"/>
        <v>0</v>
      </c>
      <c r="AE64" s="403">
        <f t="shared" si="104"/>
        <v>0</v>
      </c>
      <c r="AF64" s="403">
        <f t="shared" si="104"/>
        <v>0</v>
      </c>
      <c r="AG64" s="403">
        <f t="shared" si="104"/>
        <v>0</v>
      </c>
      <c r="AH64" s="323"/>
      <c r="AI64" s="403">
        <f>E64*$N64*(1+$O64%)</f>
        <v>0</v>
      </c>
      <c r="AJ64" s="403">
        <f t="shared" si="106"/>
        <v>0</v>
      </c>
      <c r="AK64" s="403">
        <f t="shared" si="106"/>
        <v>0</v>
      </c>
      <c r="AL64" s="403">
        <f t="shared" si="106"/>
        <v>0</v>
      </c>
      <c r="AM64" s="403">
        <f t="shared" si="106"/>
        <v>0</v>
      </c>
      <c r="AN64" s="403">
        <f t="shared" si="106"/>
        <v>0</v>
      </c>
      <c r="AO64" s="403">
        <f t="shared" si="106"/>
        <v>0</v>
      </c>
      <c r="AP64" s="403">
        <f t="shared" si="106"/>
        <v>0</v>
      </c>
    </row>
    <row r="65" spans="1:42" s="384" customFormat="1">
      <c r="A65" s="191"/>
      <c r="B65" s="689">
        <v>5</v>
      </c>
      <c r="C65" s="407" t="s">
        <v>288</v>
      </c>
      <c r="D65" s="408" t="s">
        <v>235</v>
      </c>
      <c r="E65" s="566"/>
      <c r="F65" s="566"/>
      <c r="G65" s="566"/>
      <c r="H65" s="566"/>
      <c r="I65" s="566"/>
      <c r="J65" s="566"/>
      <c r="K65" s="566"/>
      <c r="L65" s="566"/>
      <c r="M65" s="567">
        <f t="shared" si="94"/>
        <v>41.45</v>
      </c>
      <c r="N65" s="567">
        <v>30</v>
      </c>
      <c r="O65" s="567">
        <v>9</v>
      </c>
      <c r="P65" s="567">
        <v>8.75</v>
      </c>
      <c r="Q65" s="402">
        <f t="shared" si="95"/>
        <v>0</v>
      </c>
      <c r="R65" s="402">
        <f t="shared" si="96"/>
        <v>0</v>
      </c>
      <c r="S65" s="402">
        <f t="shared" si="97"/>
        <v>0</v>
      </c>
      <c r="T65" s="402">
        <f t="shared" si="98"/>
        <v>0</v>
      </c>
      <c r="U65" s="402">
        <f t="shared" si="99"/>
        <v>0</v>
      </c>
      <c r="V65" s="402">
        <f t="shared" si="100"/>
        <v>0</v>
      </c>
      <c r="W65" s="402">
        <f t="shared" si="101"/>
        <v>0</v>
      </c>
      <c r="X65" s="402">
        <f t="shared" si="102"/>
        <v>0</v>
      </c>
      <c r="Y65" s="409"/>
      <c r="Z65" s="455"/>
      <c r="AA65" s="403"/>
      <c r="AB65" s="403"/>
      <c r="AC65" s="403"/>
      <c r="AD65" s="403"/>
      <c r="AE65" s="403"/>
      <c r="AF65" s="403"/>
      <c r="AG65" s="403"/>
      <c r="AH65" s="323"/>
      <c r="AI65" s="423"/>
      <c r="AJ65" s="423"/>
      <c r="AK65" s="423"/>
      <c r="AL65" s="423"/>
      <c r="AM65" s="423"/>
      <c r="AN65" s="423"/>
      <c r="AO65" s="423"/>
      <c r="AP65" s="423"/>
    </row>
    <row r="66" spans="1:42" s="384" customFormat="1">
      <c r="A66" s="191"/>
      <c r="B66" s="689">
        <v>6</v>
      </c>
      <c r="C66" s="407" t="s">
        <v>289</v>
      </c>
      <c r="D66" s="408" t="s">
        <v>235</v>
      </c>
      <c r="E66" s="566"/>
      <c r="F66" s="566"/>
      <c r="G66" s="566"/>
      <c r="H66" s="566"/>
      <c r="I66" s="566"/>
      <c r="J66" s="566"/>
      <c r="K66" s="566"/>
      <c r="L66" s="566"/>
      <c r="M66" s="567">
        <f t="shared" si="94"/>
        <v>22.925000000000001</v>
      </c>
      <c r="N66" s="567">
        <v>13.5</v>
      </c>
      <c r="O66" s="567">
        <v>9</v>
      </c>
      <c r="P66" s="567">
        <v>8.2100000000000009</v>
      </c>
      <c r="Q66" s="402">
        <f t="shared" si="95"/>
        <v>0</v>
      </c>
      <c r="R66" s="402">
        <f t="shared" si="96"/>
        <v>0</v>
      </c>
      <c r="S66" s="402">
        <f t="shared" si="97"/>
        <v>0</v>
      </c>
      <c r="T66" s="402">
        <f t="shared" si="98"/>
        <v>0</v>
      </c>
      <c r="U66" s="402">
        <f t="shared" si="99"/>
        <v>0</v>
      </c>
      <c r="V66" s="402">
        <f t="shared" si="100"/>
        <v>0</v>
      </c>
      <c r="W66" s="402">
        <f t="shared" si="101"/>
        <v>0</v>
      </c>
      <c r="X66" s="402">
        <f t="shared" si="102"/>
        <v>0</v>
      </c>
      <c r="Y66" s="409"/>
      <c r="Z66" s="455"/>
      <c r="AA66" s="403"/>
      <c r="AB66" s="403"/>
      <c r="AC66" s="403"/>
      <c r="AD66" s="403"/>
      <c r="AE66" s="403"/>
      <c r="AF66" s="403"/>
      <c r="AG66" s="403"/>
      <c r="AH66" s="323"/>
      <c r="AI66" s="423"/>
      <c r="AJ66" s="423"/>
      <c r="AK66" s="423"/>
      <c r="AL66" s="423"/>
      <c r="AM66" s="423"/>
      <c r="AN66" s="423"/>
      <c r="AO66" s="423"/>
      <c r="AP66" s="423"/>
    </row>
    <row r="67" spans="1:42" ht="11.25">
      <c r="A67" s="191"/>
      <c r="B67" s="635" t="s">
        <v>246</v>
      </c>
      <c r="C67" s="636" t="s">
        <v>247</v>
      </c>
      <c r="D67" s="642"/>
      <c r="E67" s="647"/>
      <c r="F67" s="647"/>
      <c r="G67" s="647"/>
      <c r="H67" s="647"/>
      <c r="I67" s="647"/>
      <c r="J67" s="647"/>
      <c r="K67" s="647"/>
      <c r="L67" s="647"/>
      <c r="M67" s="648"/>
      <c r="N67" s="648"/>
      <c r="O67" s="648"/>
      <c r="P67" s="648"/>
      <c r="Q67" s="649"/>
      <c r="R67" s="649"/>
      <c r="S67" s="649"/>
      <c r="T67" s="649"/>
      <c r="U67" s="649"/>
      <c r="V67" s="649"/>
      <c r="W67" s="649"/>
      <c r="X67" s="649"/>
      <c r="Y67" s="640" t="s">
        <v>1860</v>
      </c>
      <c r="Z67" s="455"/>
      <c r="AA67" s="403"/>
      <c r="AB67" s="403"/>
      <c r="AC67" s="403"/>
      <c r="AD67" s="403"/>
      <c r="AE67" s="403"/>
      <c r="AF67" s="403"/>
      <c r="AG67" s="403"/>
      <c r="AH67" s="323"/>
      <c r="AI67" s="423"/>
      <c r="AJ67" s="423"/>
      <c r="AK67" s="423"/>
      <c r="AL67" s="423"/>
      <c r="AM67" s="423"/>
      <c r="AN67" s="423"/>
      <c r="AO67" s="423"/>
      <c r="AP67" s="423"/>
    </row>
    <row r="68" spans="1:42" s="384" customFormat="1">
      <c r="A68" s="191"/>
      <c r="B68" s="689">
        <v>1</v>
      </c>
      <c r="C68" s="407" t="s">
        <v>290</v>
      </c>
      <c r="D68" s="689" t="s">
        <v>231</v>
      </c>
      <c r="E68" s="566">
        <v>0</v>
      </c>
      <c r="F68" s="566">
        <f>C单元!E36</f>
        <v>12.9</v>
      </c>
      <c r="G68" s="566">
        <f>B单元!E36</f>
        <v>19.97</v>
      </c>
      <c r="H68" s="566">
        <v>0</v>
      </c>
      <c r="I68" s="566">
        <f>H单元!E36</f>
        <v>40.309999999999995</v>
      </c>
      <c r="J68" s="566">
        <f>'D单元 '!E36</f>
        <v>20.66</v>
      </c>
      <c r="K68" s="566">
        <f>I单元!$E$36</f>
        <v>47.57</v>
      </c>
      <c r="L68" s="566">
        <v>0</v>
      </c>
      <c r="M68" s="567">
        <f t="shared" si="94"/>
        <v>24.44</v>
      </c>
      <c r="N68" s="567"/>
      <c r="O68" s="567"/>
      <c r="P68" s="567">
        <v>24.44</v>
      </c>
      <c r="Q68" s="402">
        <f t="shared" si="95"/>
        <v>0</v>
      </c>
      <c r="R68" s="402">
        <f t="shared" si="96"/>
        <v>315.27600000000001</v>
      </c>
      <c r="S68" s="402">
        <f t="shared" si="97"/>
        <v>488.0668</v>
      </c>
      <c r="T68" s="402">
        <f t="shared" si="98"/>
        <v>0</v>
      </c>
      <c r="U68" s="402">
        <f t="shared" si="99"/>
        <v>985.17639999999994</v>
      </c>
      <c r="V68" s="402">
        <f t="shared" si="100"/>
        <v>504.93040000000002</v>
      </c>
      <c r="W68" s="402">
        <f t="shared" si="101"/>
        <v>1162.6108000000002</v>
      </c>
      <c r="X68" s="402">
        <f t="shared" si="102"/>
        <v>0</v>
      </c>
      <c r="Y68" s="409"/>
      <c r="Z68" s="455"/>
      <c r="AA68" s="403"/>
      <c r="AB68" s="403"/>
      <c r="AC68" s="403"/>
      <c r="AD68" s="403"/>
      <c r="AE68" s="403"/>
      <c r="AF68" s="403"/>
      <c r="AG68" s="403"/>
      <c r="AH68" s="323"/>
      <c r="AI68" s="423"/>
      <c r="AJ68" s="423"/>
      <c r="AK68" s="423"/>
      <c r="AL68" s="423"/>
      <c r="AM68" s="423"/>
      <c r="AN68" s="423"/>
      <c r="AO68" s="423"/>
      <c r="AP68" s="423"/>
    </row>
    <row r="69" spans="1:42" ht="33.75">
      <c r="A69" s="191"/>
      <c r="B69" s="689">
        <v>2</v>
      </c>
      <c r="C69" s="407" t="s">
        <v>291</v>
      </c>
      <c r="D69" s="689" t="s">
        <v>231</v>
      </c>
      <c r="E69" s="566">
        <v>0</v>
      </c>
      <c r="F69" s="566">
        <f>F68</f>
        <v>12.9</v>
      </c>
      <c r="G69" s="566">
        <f>G68</f>
        <v>19.97</v>
      </c>
      <c r="H69" s="566">
        <v>0</v>
      </c>
      <c r="I69" s="566">
        <f t="shared" ref="I69" si="107">I68</f>
        <v>40.309999999999995</v>
      </c>
      <c r="J69" s="566">
        <f>J68</f>
        <v>20.66</v>
      </c>
      <c r="K69" s="566">
        <f>K68</f>
        <v>47.57</v>
      </c>
      <c r="L69" s="566">
        <f>L68</f>
        <v>0</v>
      </c>
      <c r="M69" s="567">
        <f t="shared" si="94"/>
        <v>207.42</v>
      </c>
      <c r="N69" s="567">
        <f>'附件4-8甲供材料清单'!K21</f>
        <v>124</v>
      </c>
      <c r="O69" s="567">
        <v>5</v>
      </c>
      <c r="P69" s="567">
        <v>77.22</v>
      </c>
      <c r="Q69" s="411">
        <f t="shared" si="95"/>
        <v>0</v>
      </c>
      <c r="R69" s="411">
        <f t="shared" si="96"/>
        <v>2675.7179999999998</v>
      </c>
      <c r="S69" s="411">
        <f t="shared" si="97"/>
        <v>4142.1773999999996</v>
      </c>
      <c r="T69" s="411">
        <f t="shared" si="98"/>
        <v>0</v>
      </c>
      <c r="U69" s="411">
        <f t="shared" si="99"/>
        <v>8361.1001999999989</v>
      </c>
      <c r="V69" s="411">
        <f t="shared" si="100"/>
        <v>4285.2972</v>
      </c>
      <c r="W69" s="411">
        <f t="shared" si="101"/>
        <v>9866.9694</v>
      </c>
      <c r="X69" s="411">
        <f t="shared" si="102"/>
        <v>0</v>
      </c>
      <c r="Y69" s="409" t="s">
        <v>244</v>
      </c>
      <c r="Z69" s="455">
        <f t="shared" ref="Z69" si="108">Q69</f>
        <v>0</v>
      </c>
      <c r="AA69" s="403">
        <f t="shared" ref="AA69:AG71" si="109">R69</f>
        <v>2675.7179999999998</v>
      </c>
      <c r="AB69" s="403">
        <f t="shared" si="109"/>
        <v>4142.1773999999996</v>
      </c>
      <c r="AC69" s="403">
        <f t="shared" si="109"/>
        <v>0</v>
      </c>
      <c r="AD69" s="403">
        <f t="shared" si="109"/>
        <v>8361.1001999999989</v>
      </c>
      <c r="AE69" s="403">
        <f t="shared" si="109"/>
        <v>4285.2972</v>
      </c>
      <c r="AF69" s="403">
        <f t="shared" si="109"/>
        <v>9866.9694</v>
      </c>
      <c r="AG69" s="403">
        <f t="shared" si="109"/>
        <v>0</v>
      </c>
      <c r="AH69" s="323"/>
      <c r="AI69" s="403">
        <f t="shared" ref="AI69" si="110">E69*$N69*(1+$O69%)</f>
        <v>0</v>
      </c>
      <c r="AJ69" s="403">
        <f t="shared" ref="AJ69:AP71" si="111">F69*$N69*(1+$O69%)</f>
        <v>1679.5800000000002</v>
      </c>
      <c r="AK69" s="403">
        <f t="shared" si="111"/>
        <v>2600.0940000000001</v>
      </c>
      <c r="AL69" s="403">
        <f t="shared" si="111"/>
        <v>0</v>
      </c>
      <c r="AM69" s="403">
        <f t="shared" si="111"/>
        <v>5248.3620000000001</v>
      </c>
      <c r="AN69" s="403">
        <f t="shared" si="111"/>
        <v>2689.9320000000002</v>
      </c>
      <c r="AO69" s="403">
        <f t="shared" si="111"/>
        <v>6193.6140000000005</v>
      </c>
      <c r="AP69" s="403">
        <f t="shared" si="111"/>
        <v>0</v>
      </c>
    </row>
    <row r="70" spans="1:42" ht="22.5">
      <c r="A70" s="191"/>
      <c r="B70" s="689">
        <v>3</v>
      </c>
      <c r="C70" s="407" t="s">
        <v>292</v>
      </c>
      <c r="D70" s="689" t="s">
        <v>231</v>
      </c>
      <c r="E70" s="566"/>
      <c r="F70" s="566"/>
      <c r="G70" s="566"/>
      <c r="H70" s="566"/>
      <c r="I70" s="566"/>
      <c r="J70" s="566"/>
      <c r="K70" s="566"/>
      <c r="L70" s="566"/>
      <c r="M70" s="567">
        <f t="shared" si="94"/>
        <v>164.22</v>
      </c>
      <c r="N70" s="567">
        <f>'附件4-8甲供材料清单'!K22</f>
        <v>124</v>
      </c>
      <c r="O70" s="567">
        <v>5</v>
      </c>
      <c r="P70" s="567">
        <v>34.020000000000003</v>
      </c>
      <c r="Q70" s="411">
        <f t="shared" si="95"/>
        <v>0</v>
      </c>
      <c r="R70" s="411">
        <f t="shared" si="96"/>
        <v>0</v>
      </c>
      <c r="S70" s="411">
        <f t="shared" si="97"/>
        <v>0</v>
      </c>
      <c r="T70" s="411">
        <f t="shared" si="98"/>
        <v>0</v>
      </c>
      <c r="U70" s="411">
        <f t="shared" si="99"/>
        <v>0</v>
      </c>
      <c r="V70" s="411">
        <f t="shared" si="100"/>
        <v>0</v>
      </c>
      <c r="W70" s="411">
        <f t="shared" si="101"/>
        <v>0</v>
      </c>
      <c r="X70" s="411">
        <f t="shared" si="102"/>
        <v>0</v>
      </c>
      <c r="Y70" s="409" t="s">
        <v>244</v>
      </c>
      <c r="Z70" s="455">
        <f>Q70</f>
        <v>0</v>
      </c>
      <c r="AA70" s="403">
        <f t="shared" si="109"/>
        <v>0</v>
      </c>
      <c r="AB70" s="403">
        <f t="shared" si="109"/>
        <v>0</v>
      </c>
      <c r="AC70" s="403">
        <f t="shared" si="109"/>
        <v>0</v>
      </c>
      <c r="AD70" s="403">
        <f t="shared" si="109"/>
        <v>0</v>
      </c>
      <c r="AE70" s="403">
        <f t="shared" si="109"/>
        <v>0</v>
      </c>
      <c r="AF70" s="403">
        <f t="shared" si="109"/>
        <v>0</v>
      </c>
      <c r="AG70" s="403">
        <f t="shared" si="109"/>
        <v>0</v>
      </c>
      <c r="AH70" s="323"/>
      <c r="AI70" s="403">
        <f>E70*$N70*(1+$O70%)</f>
        <v>0</v>
      </c>
      <c r="AJ70" s="403">
        <f t="shared" si="111"/>
        <v>0</v>
      </c>
      <c r="AK70" s="403">
        <f t="shared" si="111"/>
        <v>0</v>
      </c>
      <c r="AL70" s="403">
        <f t="shared" si="111"/>
        <v>0</v>
      </c>
      <c r="AM70" s="403">
        <f t="shared" si="111"/>
        <v>0</v>
      </c>
      <c r="AN70" s="403">
        <f t="shared" si="111"/>
        <v>0</v>
      </c>
      <c r="AO70" s="403">
        <f t="shared" si="111"/>
        <v>0</v>
      </c>
      <c r="AP70" s="403">
        <f t="shared" si="111"/>
        <v>0</v>
      </c>
    </row>
    <row r="71" spans="1:42" ht="22.5">
      <c r="A71" s="191"/>
      <c r="B71" s="689">
        <v>4</v>
      </c>
      <c r="C71" s="407" t="s">
        <v>293</v>
      </c>
      <c r="D71" s="689" t="s">
        <v>235</v>
      </c>
      <c r="E71" s="566">
        <v>0</v>
      </c>
      <c r="F71" s="566">
        <f>C单元!$T$36-3-0.65*2</f>
        <v>9.3059999999999992</v>
      </c>
      <c r="G71" s="566">
        <f>B单元!$T$36-1.8-0.65*2</f>
        <v>20.302</v>
      </c>
      <c r="H71" s="566">
        <v>0</v>
      </c>
      <c r="I71" s="566">
        <f>H单元!T36-2.2-0.65*2</f>
        <v>37.178000000000004</v>
      </c>
      <c r="J71" s="566">
        <f>'D单元 '!T36-1.9-0.65*2</f>
        <v>20.482000000000003</v>
      </c>
      <c r="K71" s="566">
        <f>I单元!$T$36-1.95-0.65*2</f>
        <v>46.27</v>
      </c>
      <c r="L71" s="566">
        <v>0</v>
      </c>
      <c r="M71" s="567">
        <f t="shared" si="94"/>
        <v>23.25</v>
      </c>
      <c r="N71" s="567">
        <f>'附件4-8甲供材料清单'!K23</f>
        <v>17</v>
      </c>
      <c r="O71" s="567">
        <v>5</v>
      </c>
      <c r="P71" s="567">
        <v>5.4</v>
      </c>
      <c r="Q71" s="411">
        <f t="shared" si="95"/>
        <v>0</v>
      </c>
      <c r="R71" s="411">
        <f t="shared" si="96"/>
        <v>216.36449999999999</v>
      </c>
      <c r="S71" s="411">
        <f t="shared" si="97"/>
        <v>472.0215</v>
      </c>
      <c r="T71" s="411">
        <f t="shared" si="98"/>
        <v>0</v>
      </c>
      <c r="U71" s="411">
        <f t="shared" si="99"/>
        <v>864.38850000000014</v>
      </c>
      <c r="V71" s="411">
        <f t="shared" si="100"/>
        <v>476.20650000000006</v>
      </c>
      <c r="W71" s="411">
        <f t="shared" si="101"/>
        <v>1075.7775000000001</v>
      </c>
      <c r="X71" s="411">
        <f t="shared" si="102"/>
        <v>0</v>
      </c>
      <c r="Y71" s="409" t="s">
        <v>244</v>
      </c>
      <c r="Z71" s="455">
        <f>Q71</f>
        <v>0</v>
      </c>
      <c r="AA71" s="403">
        <f t="shared" si="109"/>
        <v>216.36449999999999</v>
      </c>
      <c r="AB71" s="403">
        <f t="shared" si="109"/>
        <v>472.0215</v>
      </c>
      <c r="AC71" s="403">
        <f t="shared" si="109"/>
        <v>0</v>
      </c>
      <c r="AD71" s="403">
        <f t="shared" si="109"/>
        <v>864.38850000000014</v>
      </c>
      <c r="AE71" s="403">
        <f t="shared" si="109"/>
        <v>476.20650000000006</v>
      </c>
      <c r="AF71" s="403">
        <f t="shared" si="109"/>
        <v>1075.7775000000001</v>
      </c>
      <c r="AG71" s="403">
        <f t="shared" si="109"/>
        <v>0</v>
      </c>
      <c r="AH71" s="323"/>
      <c r="AI71" s="403">
        <f>E71*$N71*(1+$O71%)</f>
        <v>0</v>
      </c>
      <c r="AJ71" s="403">
        <f t="shared" si="111"/>
        <v>166.1121</v>
      </c>
      <c r="AK71" s="403">
        <f t="shared" si="111"/>
        <v>362.39070000000004</v>
      </c>
      <c r="AL71" s="403">
        <f t="shared" si="111"/>
        <v>0</v>
      </c>
      <c r="AM71" s="403">
        <f t="shared" si="111"/>
        <v>663.6273000000001</v>
      </c>
      <c r="AN71" s="403">
        <f t="shared" si="111"/>
        <v>365.60370000000012</v>
      </c>
      <c r="AO71" s="403">
        <f t="shared" si="111"/>
        <v>825.91950000000008</v>
      </c>
      <c r="AP71" s="403">
        <f t="shared" si="111"/>
        <v>0</v>
      </c>
    </row>
    <row r="72" spans="1:42" ht="11.25">
      <c r="A72" s="191"/>
      <c r="B72" s="635" t="s">
        <v>136</v>
      </c>
      <c r="C72" s="636" t="s">
        <v>261</v>
      </c>
      <c r="D72" s="635"/>
      <c r="E72" s="647"/>
      <c r="F72" s="647"/>
      <c r="G72" s="647"/>
      <c r="H72" s="647"/>
      <c r="I72" s="647"/>
      <c r="J72" s="647"/>
      <c r="K72" s="647"/>
      <c r="L72" s="647"/>
      <c r="M72" s="648"/>
      <c r="N72" s="648"/>
      <c r="O72" s="648"/>
      <c r="P72" s="648"/>
      <c r="Q72" s="649"/>
      <c r="R72" s="649"/>
      <c r="S72" s="649"/>
      <c r="T72" s="649"/>
      <c r="U72" s="649"/>
      <c r="V72" s="649"/>
      <c r="W72" s="649"/>
      <c r="X72" s="649"/>
      <c r="Y72" s="640" t="s">
        <v>1860</v>
      </c>
      <c r="Z72" s="455"/>
      <c r="AA72" s="403"/>
      <c r="AB72" s="403"/>
      <c r="AC72" s="403"/>
      <c r="AD72" s="403"/>
      <c r="AE72" s="403"/>
      <c r="AF72" s="403"/>
      <c r="AG72" s="403"/>
      <c r="AH72" s="323"/>
      <c r="AI72" s="423"/>
      <c r="AJ72" s="423"/>
      <c r="AK72" s="423"/>
      <c r="AL72" s="423"/>
      <c r="AM72" s="423"/>
      <c r="AN72" s="423"/>
      <c r="AO72" s="423"/>
      <c r="AP72" s="423"/>
    </row>
    <row r="73" spans="1:42" s="610" customFormat="1" ht="33.75">
      <c r="A73" s="191"/>
      <c r="B73" s="689">
        <v>1</v>
      </c>
      <c r="C73" s="407" t="s">
        <v>294</v>
      </c>
      <c r="D73" s="689" t="s">
        <v>231</v>
      </c>
      <c r="E73" s="566">
        <v>0</v>
      </c>
      <c r="F73" s="566">
        <f>C单元!$S$36</f>
        <v>33.176231999999992</v>
      </c>
      <c r="G73" s="566">
        <f>B单元!$S$36</f>
        <v>57.510334</v>
      </c>
      <c r="H73" s="566">
        <v>0</v>
      </c>
      <c r="I73" s="566">
        <f>H单元!S36</f>
        <v>87.325276000000002</v>
      </c>
      <c r="J73" s="566">
        <f>'D单元 '!S36</f>
        <v>57.775673999999995</v>
      </c>
      <c r="K73" s="566">
        <f>I单元!$S$36</f>
        <v>109.55295999999998</v>
      </c>
      <c r="L73" s="566">
        <v>0</v>
      </c>
      <c r="M73" s="567">
        <f t="shared" si="94"/>
        <v>21.428709999999999</v>
      </c>
      <c r="N73" s="567">
        <f>'附件4-8甲供材料清单'!N125</f>
        <v>2.2087100000000004</v>
      </c>
      <c r="O73" s="567"/>
      <c r="P73" s="567">
        <v>19.22</v>
      </c>
      <c r="Q73" s="411">
        <f t="shared" si="95"/>
        <v>0</v>
      </c>
      <c r="R73" s="411">
        <f t="shared" si="96"/>
        <v>710.92385442071975</v>
      </c>
      <c r="S73" s="411">
        <f t="shared" si="97"/>
        <v>1232.3722692891399</v>
      </c>
      <c r="T73" s="411">
        <f t="shared" si="98"/>
        <v>0</v>
      </c>
      <c r="U73" s="411">
        <f t="shared" si="99"/>
        <v>1871.26801507396</v>
      </c>
      <c r="V73" s="411">
        <f t="shared" si="100"/>
        <v>1238.0581632005399</v>
      </c>
      <c r="W73" s="411">
        <f t="shared" si="101"/>
        <v>2347.5786094815994</v>
      </c>
      <c r="X73" s="411">
        <f t="shared" si="102"/>
        <v>0</v>
      </c>
      <c r="Y73" s="409" t="s">
        <v>244</v>
      </c>
      <c r="Z73" s="455">
        <f t="shared" ref="Z73" si="112">Q73</f>
        <v>0</v>
      </c>
      <c r="AA73" s="403">
        <f t="shared" ref="AA73" si="113">R73</f>
        <v>710.92385442071975</v>
      </c>
      <c r="AB73" s="403">
        <f t="shared" ref="AB73" si="114">S73</f>
        <v>1232.3722692891399</v>
      </c>
      <c r="AC73" s="403">
        <f t="shared" ref="AC73" si="115">T73</f>
        <v>0</v>
      </c>
      <c r="AD73" s="403">
        <f t="shared" ref="AD73" si="116">U73</f>
        <v>1871.26801507396</v>
      </c>
      <c r="AE73" s="403">
        <f t="shared" ref="AE73" si="117">V73</f>
        <v>1238.0581632005399</v>
      </c>
      <c r="AF73" s="403">
        <f t="shared" ref="AF73" si="118">W73</f>
        <v>2347.5786094815994</v>
      </c>
      <c r="AG73" s="403">
        <f t="shared" ref="AG73" si="119">X73</f>
        <v>0</v>
      </c>
      <c r="AH73" s="323"/>
      <c r="AI73" s="403">
        <f t="shared" ref="AI73" si="120">E73*$N73*(1+$O73%)</f>
        <v>0</v>
      </c>
      <c r="AJ73" s="403">
        <f t="shared" ref="AJ73" si="121">F73*$N73*(1+$O73%)</f>
        <v>73.276675380719993</v>
      </c>
      <c r="AK73" s="403">
        <f t="shared" ref="AK73" si="122">G73*$N73*(1+$O73%)</f>
        <v>127.02364980914003</v>
      </c>
      <c r="AL73" s="403">
        <f t="shared" ref="AL73" si="123">H73*$N73*(1+$O73%)</f>
        <v>0</v>
      </c>
      <c r="AM73" s="403">
        <f t="shared" ref="AM73" si="124">I73*$N73*(1+$O73%)</f>
        <v>192.87621035396003</v>
      </c>
      <c r="AN73" s="403">
        <f t="shared" ref="AN73" si="125">J73*$N73*(1+$O73%)</f>
        <v>127.60970892054002</v>
      </c>
      <c r="AO73" s="403">
        <f t="shared" ref="AO73" si="126">K73*$N73*(1+$O73%)</f>
        <v>241.9707182816</v>
      </c>
      <c r="AP73" s="403">
        <f t="shared" ref="AP73" si="127">L73*$N73*(1+$O73%)</f>
        <v>0</v>
      </c>
    </row>
    <row r="74" spans="1:42" ht="33.75">
      <c r="A74" s="191"/>
      <c r="B74" s="689" t="s">
        <v>233</v>
      </c>
      <c r="C74" s="407" t="s">
        <v>295</v>
      </c>
      <c r="D74" s="689" t="s">
        <v>231</v>
      </c>
      <c r="E74" s="569"/>
      <c r="F74" s="569"/>
      <c r="G74" s="569"/>
      <c r="H74" s="569"/>
      <c r="I74" s="569"/>
      <c r="J74" s="569"/>
      <c r="K74" s="570"/>
      <c r="L74" s="566"/>
      <c r="M74" s="567">
        <f t="shared" si="94"/>
        <v>23.988709999999998</v>
      </c>
      <c r="N74" s="567">
        <f>N73</f>
        <v>2.2087100000000004</v>
      </c>
      <c r="O74" s="567"/>
      <c r="P74" s="567">
        <f>2.56+19.22</f>
        <v>21.779999999999998</v>
      </c>
      <c r="Q74" s="411">
        <f t="shared" si="95"/>
        <v>0</v>
      </c>
      <c r="R74" s="411">
        <f t="shared" si="96"/>
        <v>0</v>
      </c>
      <c r="S74" s="411">
        <f t="shared" si="97"/>
        <v>0</v>
      </c>
      <c r="T74" s="411">
        <f t="shared" si="98"/>
        <v>0</v>
      </c>
      <c r="U74" s="411">
        <f t="shared" si="99"/>
        <v>0</v>
      </c>
      <c r="V74" s="411">
        <f t="shared" si="100"/>
        <v>0</v>
      </c>
      <c r="W74" s="411">
        <f t="shared" si="101"/>
        <v>0</v>
      </c>
      <c r="X74" s="411">
        <f t="shared" si="102"/>
        <v>0</v>
      </c>
      <c r="Y74" s="409" t="s">
        <v>244</v>
      </c>
      <c r="Z74" s="455">
        <f t="shared" ref="Z74:AG78" si="128">Q74</f>
        <v>0</v>
      </c>
      <c r="AA74" s="403">
        <f t="shared" si="128"/>
        <v>0</v>
      </c>
      <c r="AB74" s="403">
        <f t="shared" si="128"/>
        <v>0</v>
      </c>
      <c r="AC74" s="403">
        <f t="shared" si="128"/>
        <v>0</v>
      </c>
      <c r="AD74" s="403">
        <f t="shared" si="128"/>
        <v>0</v>
      </c>
      <c r="AE74" s="403">
        <f t="shared" si="128"/>
        <v>0</v>
      </c>
      <c r="AF74" s="403">
        <f t="shared" si="128"/>
        <v>0</v>
      </c>
      <c r="AG74" s="403">
        <f t="shared" si="128"/>
        <v>0</v>
      </c>
      <c r="AH74" s="323"/>
      <c r="AI74" s="403">
        <f t="shared" ref="AI74:AP78" si="129">E74*$N74*(1+$O74%)</f>
        <v>0</v>
      </c>
      <c r="AJ74" s="403">
        <f t="shared" si="129"/>
        <v>0</v>
      </c>
      <c r="AK74" s="403">
        <f t="shared" si="129"/>
        <v>0</v>
      </c>
      <c r="AL74" s="403">
        <f t="shared" si="129"/>
        <v>0</v>
      </c>
      <c r="AM74" s="403">
        <f t="shared" si="129"/>
        <v>0</v>
      </c>
      <c r="AN74" s="403">
        <f t="shared" si="129"/>
        <v>0</v>
      </c>
      <c r="AO74" s="403">
        <f t="shared" si="129"/>
        <v>0</v>
      </c>
      <c r="AP74" s="403">
        <f t="shared" si="129"/>
        <v>0</v>
      </c>
    </row>
    <row r="75" spans="1:42" ht="22.5">
      <c r="A75" s="191"/>
      <c r="B75" s="689">
        <v>2</v>
      </c>
      <c r="C75" s="407" t="s">
        <v>273</v>
      </c>
      <c r="D75" s="689" t="s">
        <v>231</v>
      </c>
      <c r="E75" s="566"/>
      <c r="F75" s="566"/>
      <c r="G75" s="566"/>
      <c r="H75" s="566"/>
      <c r="I75" s="566"/>
      <c r="J75" s="566"/>
      <c r="K75" s="566"/>
      <c r="L75" s="566"/>
      <c r="M75" s="567">
        <f t="shared" si="94"/>
        <v>463.71</v>
      </c>
      <c r="N75" s="567">
        <f>'附件4-8甲供材料清单'!K156</f>
        <v>373</v>
      </c>
      <c r="O75" s="567">
        <v>3</v>
      </c>
      <c r="P75" s="567">
        <v>79.52</v>
      </c>
      <c r="Q75" s="411">
        <f t="shared" si="95"/>
        <v>0</v>
      </c>
      <c r="R75" s="411">
        <f t="shared" si="96"/>
        <v>0</v>
      </c>
      <c r="S75" s="411">
        <f t="shared" si="97"/>
        <v>0</v>
      </c>
      <c r="T75" s="411">
        <f t="shared" si="98"/>
        <v>0</v>
      </c>
      <c r="U75" s="411">
        <f t="shared" si="99"/>
        <v>0</v>
      </c>
      <c r="V75" s="411">
        <f t="shared" si="100"/>
        <v>0</v>
      </c>
      <c r="W75" s="411">
        <f t="shared" si="101"/>
        <v>0</v>
      </c>
      <c r="X75" s="411">
        <f t="shared" si="102"/>
        <v>0</v>
      </c>
      <c r="Y75" s="409" t="s">
        <v>244</v>
      </c>
      <c r="Z75" s="455">
        <f t="shared" si="128"/>
        <v>0</v>
      </c>
      <c r="AA75" s="403">
        <f t="shared" si="128"/>
        <v>0</v>
      </c>
      <c r="AB75" s="403">
        <f t="shared" si="128"/>
        <v>0</v>
      </c>
      <c r="AC75" s="403">
        <f t="shared" si="128"/>
        <v>0</v>
      </c>
      <c r="AD75" s="403">
        <f t="shared" si="128"/>
        <v>0</v>
      </c>
      <c r="AE75" s="403">
        <f t="shared" si="128"/>
        <v>0</v>
      </c>
      <c r="AF75" s="403">
        <f t="shared" si="128"/>
        <v>0</v>
      </c>
      <c r="AG75" s="403">
        <f t="shared" si="128"/>
        <v>0</v>
      </c>
      <c r="AH75" s="323"/>
      <c r="AI75" s="403">
        <f t="shared" si="129"/>
        <v>0</v>
      </c>
      <c r="AJ75" s="403">
        <f t="shared" si="129"/>
        <v>0</v>
      </c>
      <c r="AK75" s="403">
        <f t="shared" si="129"/>
        <v>0</v>
      </c>
      <c r="AL75" s="403">
        <f t="shared" si="129"/>
        <v>0</v>
      </c>
      <c r="AM75" s="403">
        <f t="shared" si="129"/>
        <v>0</v>
      </c>
      <c r="AN75" s="403">
        <f t="shared" si="129"/>
        <v>0</v>
      </c>
      <c r="AO75" s="403">
        <f t="shared" si="129"/>
        <v>0</v>
      </c>
      <c r="AP75" s="403">
        <f t="shared" si="129"/>
        <v>0</v>
      </c>
    </row>
    <row r="76" spans="1:42" ht="22.5">
      <c r="A76" s="191"/>
      <c r="B76" s="689">
        <v>3</v>
      </c>
      <c r="C76" s="407" t="s">
        <v>296</v>
      </c>
      <c r="D76" s="689" t="s">
        <v>231</v>
      </c>
      <c r="E76" s="566">
        <f>A单元!$V$36</f>
        <v>0</v>
      </c>
      <c r="F76" s="566">
        <f>C单元!$U$36</f>
        <v>0</v>
      </c>
      <c r="G76" s="566">
        <f>B单元!$U$36</f>
        <v>0.216</v>
      </c>
      <c r="H76" s="566">
        <f>F单元!$U$36</f>
        <v>0</v>
      </c>
      <c r="I76" s="566">
        <f>H单元!$U$36</f>
        <v>0.18</v>
      </c>
      <c r="J76" s="566">
        <f>'D单元 '!$U$36</f>
        <v>0.432</v>
      </c>
      <c r="K76" s="566">
        <f>I单元!$U$36</f>
        <v>0.20399999999999999</v>
      </c>
      <c r="L76" s="566">
        <f>E单元!$U$36</f>
        <v>0</v>
      </c>
      <c r="M76" s="567">
        <f t="shared" si="94"/>
        <v>486.39</v>
      </c>
      <c r="N76" s="567">
        <f>'附件4-8甲供材料清单'!K156</f>
        <v>373</v>
      </c>
      <c r="O76" s="567">
        <v>3</v>
      </c>
      <c r="P76" s="567">
        <v>102.2</v>
      </c>
      <c r="Q76" s="411">
        <f t="shared" si="95"/>
        <v>0</v>
      </c>
      <c r="R76" s="411">
        <f t="shared" si="96"/>
        <v>0</v>
      </c>
      <c r="S76" s="411">
        <f t="shared" si="97"/>
        <v>105.06023999999999</v>
      </c>
      <c r="T76" s="411">
        <f t="shared" si="98"/>
        <v>0</v>
      </c>
      <c r="U76" s="411">
        <f t="shared" si="99"/>
        <v>87.55019999999999</v>
      </c>
      <c r="V76" s="411">
        <f t="shared" si="100"/>
        <v>210.12047999999999</v>
      </c>
      <c r="W76" s="411">
        <f t="shared" si="101"/>
        <v>99.223559999999992</v>
      </c>
      <c r="X76" s="411">
        <f t="shared" si="102"/>
        <v>0</v>
      </c>
      <c r="Y76" s="409" t="s">
        <v>244</v>
      </c>
      <c r="Z76" s="455">
        <f t="shared" si="128"/>
        <v>0</v>
      </c>
      <c r="AA76" s="403">
        <f t="shared" si="128"/>
        <v>0</v>
      </c>
      <c r="AB76" s="403">
        <f t="shared" si="128"/>
        <v>105.06023999999999</v>
      </c>
      <c r="AC76" s="403">
        <f t="shared" si="128"/>
        <v>0</v>
      </c>
      <c r="AD76" s="403">
        <f t="shared" si="128"/>
        <v>87.55019999999999</v>
      </c>
      <c r="AE76" s="403">
        <f t="shared" si="128"/>
        <v>210.12047999999999</v>
      </c>
      <c r="AF76" s="403">
        <f t="shared" si="128"/>
        <v>99.223559999999992</v>
      </c>
      <c r="AG76" s="403">
        <f t="shared" si="128"/>
        <v>0</v>
      </c>
      <c r="AH76" s="323"/>
      <c r="AI76" s="403">
        <f t="shared" si="129"/>
        <v>0</v>
      </c>
      <c r="AJ76" s="403">
        <f t="shared" si="129"/>
        <v>0</v>
      </c>
      <c r="AK76" s="403">
        <f t="shared" si="129"/>
        <v>82.985039999999998</v>
      </c>
      <c r="AL76" s="403">
        <f t="shared" si="129"/>
        <v>0</v>
      </c>
      <c r="AM76" s="403">
        <f t="shared" si="129"/>
        <v>69.154200000000003</v>
      </c>
      <c r="AN76" s="403">
        <f t="shared" si="129"/>
        <v>165.97008</v>
      </c>
      <c r="AO76" s="403">
        <f t="shared" si="129"/>
        <v>78.374759999999995</v>
      </c>
      <c r="AP76" s="403">
        <f t="shared" si="129"/>
        <v>0</v>
      </c>
    </row>
    <row r="77" spans="1:42" ht="22.5">
      <c r="A77" s="191"/>
      <c r="B77" s="689">
        <v>4</v>
      </c>
      <c r="C77" s="407" t="s">
        <v>274</v>
      </c>
      <c r="D77" s="689" t="s">
        <v>235</v>
      </c>
      <c r="E77" s="566"/>
      <c r="F77" s="566"/>
      <c r="G77" s="566"/>
      <c r="H77" s="566"/>
      <c r="I77" s="566"/>
      <c r="J77" s="566"/>
      <c r="K77" s="566"/>
      <c r="L77" s="566"/>
      <c r="M77" s="567">
        <f t="shared" si="94"/>
        <v>30</v>
      </c>
      <c r="N77" s="567">
        <f>'附件4-8甲供材料清单'!K157</f>
        <v>30</v>
      </c>
      <c r="O77" s="567"/>
      <c r="P77" s="567"/>
      <c r="Q77" s="411">
        <f t="shared" si="95"/>
        <v>0</v>
      </c>
      <c r="R77" s="411">
        <f t="shared" si="96"/>
        <v>0</v>
      </c>
      <c r="S77" s="411">
        <f t="shared" si="97"/>
        <v>0</v>
      </c>
      <c r="T77" s="411">
        <f t="shared" si="98"/>
        <v>0</v>
      </c>
      <c r="U77" s="411">
        <f t="shared" si="99"/>
        <v>0</v>
      </c>
      <c r="V77" s="411">
        <f t="shared" si="100"/>
        <v>0</v>
      </c>
      <c r="W77" s="411">
        <f t="shared" si="101"/>
        <v>0</v>
      </c>
      <c r="X77" s="411">
        <f t="shared" si="102"/>
        <v>0</v>
      </c>
      <c r="Y77" s="409" t="s">
        <v>244</v>
      </c>
      <c r="Z77" s="455">
        <f t="shared" si="128"/>
        <v>0</v>
      </c>
      <c r="AA77" s="403">
        <f t="shared" si="128"/>
        <v>0</v>
      </c>
      <c r="AB77" s="403">
        <f t="shared" si="128"/>
        <v>0</v>
      </c>
      <c r="AC77" s="403">
        <f t="shared" si="128"/>
        <v>0</v>
      </c>
      <c r="AD77" s="403">
        <f t="shared" si="128"/>
        <v>0</v>
      </c>
      <c r="AE77" s="403">
        <f t="shared" si="128"/>
        <v>0</v>
      </c>
      <c r="AF77" s="403">
        <f t="shared" si="128"/>
        <v>0</v>
      </c>
      <c r="AG77" s="403">
        <f t="shared" si="128"/>
        <v>0</v>
      </c>
      <c r="AH77" s="323"/>
      <c r="AI77" s="403">
        <f t="shared" si="129"/>
        <v>0</v>
      </c>
      <c r="AJ77" s="403">
        <f t="shared" si="129"/>
        <v>0</v>
      </c>
      <c r="AK77" s="403">
        <f t="shared" si="129"/>
        <v>0</v>
      </c>
      <c r="AL77" s="403">
        <f t="shared" si="129"/>
        <v>0</v>
      </c>
      <c r="AM77" s="403">
        <f t="shared" si="129"/>
        <v>0</v>
      </c>
      <c r="AN77" s="403">
        <f t="shared" si="129"/>
        <v>0</v>
      </c>
      <c r="AO77" s="403">
        <f t="shared" si="129"/>
        <v>0</v>
      </c>
      <c r="AP77" s="403">
        <f t="shared" si="129"/>
        <v>0</v>
      </c>
    </row>
    <row r="78" spans="1:42" ht="22.5">
      <c r="A78" s="191"/>
      <c r="B78" s="689">
        <v>5</v>
      </c>
      <c r="C78" s="407" t="s">
        <v>275</v>
      </c>
      <c r="D78" s="689" t="s">
        <v>235</v>
      </c>
      <c r="E78" s="566"/>
      <c r="F78" s="566"/>
      <c r="G78" s="566"/>
      <c r="H78" s="566"/>
      <c r="I78" s="566"/>
      <c r="J78" s="566"/>
      <c r="K78" s="566"/>
      <c r="L78" s="566"/>
      <c r="M78" s="567">
        <f t="shared" si="94"/>
        <v>193.86</v>
      </c>
      <c r="N78" s="567">
        <f>'附件4-8甲供材料清单'!K166</f>
        <v>162</v>
      </c>
      <c r="O78" s="567">
        <v>1</v>
      </c>
      <c r="P78" s="567">
        <v>30.24</v>
      </c>
      <c r="Q78" s="411">
        <f t="shared" si="95"/>
        <v>0</v>
      </c>
      <c r="R78" s="411">
        <f t="shared" si="96"/>
        <v>0</v>
      </c>
      <c r="S78" s="411">
        <f t="shared" si="97"/>
        <v>0</v>
      </c>
      <c r="T78" s="411">
        <f t="shared" si="98"/>
        <v>0</v>
      </c>
      <c r="U78" s="411">
        <f t="shared" si="99"/>
        <v>0</v>
      </c>
      <c r="V78" s="411">
        <f t="shared" si="100"/>
        <v>0</v>
      </c>
      <c r="W78" s="411">
        <f t="shared" si="101"/>
        <v>0</v>
      </c>
      <c r="X78" s="411">
        <f t="shared" si="102"/>
        <v>0</v>
      </c>
      <c r="Y78" s="409" t="s">
        <v>244</v>
      </c>
      <c r="Z78" s="455">
        <f t="shared" si="128"/>
        <v>0</v>
      </c>
      <c r="AA78" s="403">
        <f t="shared" si="128"/>
        <v>0</v>
      </c>
      <c r="AB78" s="403">
        <f t="shared" si="128"/>
        <v>0</v>
      </c>
      <c r="AC78" s="403">
        <f t="shared" si="128"/>
        <v>0</v>
      </c>
      <c r="AD78" s="403">
        <f t="shared" si="128"/>
        <v>0</v>
      </c>
      <c r="AE78" s="403">
        <f t="shared" si="128"/>
        <v>0</v>
      </c>
      <c r="AF78" s="403">
        <f t="shared" si="128"/>
        <v>0</v>
      </c>
      <c r="AG78" s="403">
        <f t="shared" si="128"/>
        <v>0</v>
      </c>
      <c r="AH78" s="323"/>
      <c r="AI78" s="403">
        <f t="shared" si="129"/>
        <v>0</v>
      </c>
      <c r="AJ78" s="403">
        <f t="shared" si="129"/>
        <v>0</v>
      </c>
      <c r="AK78" s="403">
        <f t="shared" si="129"/>
        <v>0</v>
      </c>
      <c r="AL78" s="403">
        <f t="shared" si="129"/>
        <v>0</v>
      </c>
      <c r="AM78" s="403">
        <f t="shared" si="129"/>
        <v>0</v>
      </c>
      <c r="AN78" s="403">
        <f t="shared" si="129"/>
        <v>0</v>
      </c>
      <c r="AO78" s="403">
        <f t="shared" si="129"/>
        <v>0</v>
      </c>
      <c r="AP78" s="403">
        <f t="shared" si="129"/>
        <v>0</v>
      </c>
    </row>
    <row r="79" spans="1:42" s="384" customFormat="1" ht="200.25" customHeight="1">
      <c r="A79" s="194" t="s">
        <v>297</v>
      </c>
      <c r="B79" s="689" t="s">
        <v>278</v>
      </c>
      <c r="C79" s="407" t="s">
        <v>298</v>
      </c>
      <c r="D79" s="408" t="s">
        <v>235</v>
      </c>
      <c r="E79" s="566"/>
      <c r="F79" s="566"/>
      <c r="G79" s="566"/>
      <c r="H79" s="566"/>
      <c r="I79" s="566"/>
      <c r="J79" s="566"/>
      <c r="K79" s="566"/>
      <c r="L79" s="566"/>
      <c r="M79" s="567">
        <f t="shared" ref="M79" si="130">N79+N79*O79%+P79</f>
        <v>54.999200000000002</v>
      </c>
      <c r="N79" s="567">
        <v>38.64</v>
      </c>
      <c r="O79" s="567">
        <v>3</v>
      </c>
      <c r="P79" s="567">
        <v>15.2</v>
      </c>
      <c r="Q79" s="402">
        <f t="shared" ref="Q79" si="131">E79*$M79</f>
        <v>0</v>
      </c>
      <c r="R79" s="402">
        <f t="shared" ref="R79" si="132">F79*$M79</f>
        <v>0</v>
      </c>
      <c r="S79" s="402">
        <f t="shared" ref="S79" si="133">G79*$M79</f>
        <v>0</v>
      </c>
      <c r="T79" s="402">
        <f t="shared" ref="T79" si="134">H79*$M79</f>
        <v>0</v>
      </c>
      <c r="U79" s="402">
        <f t="shared" ref="U79" si="135">I79*$M79</f>
        <v>0</v>
      </c>
      <c r="V79" s="402">
        <f t="shared" ref="V79" si="136">J79*$M79</f>
        <v>0</v>
      </c>
      <c r="W79" s="402">
        <f t="shared" ref="W79" si="137">K79*$M79</f>
        <v>0</v>
      </c>
      <c r="X79" s="402">
        <f t="shared" ref="X79" si="138">L79*$M79</f>
        <v>0</v>
      </c>
      <c r="Y79" s="409"/>
      <c r="Z79" s="455"/>
      <c r="AA79" s="403"/>
      <c r="AB79" s="403"/>
      <c r="AC79" s="403"/>
      <c r="AD79" s="403"/>
      <c r="AE79" s="403"/>
      <c r="AF79" s="403"/>
      <c r="AG79" s="403"/>
      <c r="AH79" s="323"/>
      <c r="AI79" s="423"/>
      <c r="AJ79" s="423"/>
      <c r="AK79" s="423"/>
      <c r="AL79" s="423"/>
      <c r="AM79" s="423"/>
      <c r="AN79" s="423"/>
      <c r="AO79" s="423"/>
      <c r="AP79" s="423"/>
    </row>
    <row r="80" spans="1:42" s="400" customFormat="1" ht="22.5">
      <c r="A80" s="194" t="s">
        <v>277</v>
      </c>
      <c r="B80" s="695" t="s">
        <v>278</v>
      </c>
      <c r="C80" s="407" t="s">
        <v>279</v>
      </c>
      <c r="D80" s="412"/>
      <c r="E80" s="566"/>
      <c r="F80" s="566"/>
      <c r="G80" s="566"/>
      <c r="H80" s="566"/>
      <c r="I80" s="566"/>
      <c r="J80" s="566"/>
      <c r="K80" s="566"/>
      <c r="L80" s="566"/>
      <c r="M80" s="567"/>
      <c r="N80" s="567"/>
      <c r="O80" s="567"/>
      <c r="P80" s="567"/>
      <c r="Q80" s="402"/>
      <c r="R80" s="402"/>
      <c r="S80" s="402"/>
      <c r="T80" s="402"/>
      <c r="U80" s="402"/>
      <c r="V80" s="402"/>
      <c r="W80" s="402"/>
      <c r="X80" s="402"/>
      <c r="Y80" s="409"/>
      <c r="Z80" s="455"/>
      <c r="AA80" s="403"/>
      <c r="AB80" s="403"/>
      <c r="AC80" s="403"/>
      <c r="AD80" s="403"/>
      <c r="AE80" s="403"/>
      <c r="AF80" s="403"/>
      <c r="AG80" s="403"/>
      <c r="AH80" s="323"/>
      <c r="AI80" s="403"/>
      <c r="AJ80" s="403"/>
      <c r="AK80" s="403"/>
      <c r="AL80" s="403"/>
      <c r="AM80" s="403"/>
      <c r="AN80" s="403"/>
      <c r="AO80" s="403"/>
      <c r="AP80" s="403"/>
    </row>
    <row r="81" spans="1:42" ht="22.5">
      <c r="A81" s="194" t="s">
        <v>277</v>
      </c>
      <c r="B81" s="689" t="s">
        <v>278</v>
      </c>
      <c r="C81" s="414" t="s">
        <v>280</v>
      </c>
      <c r="D81" s="408" t="s">
        <v>231</v>
      </c>
      <c r="E81" s="566"/>
      <c r="F81" s="566"/>
      <c r="G81" s="566"/>
      <c r="H81" s="566"/>
      <c r="I81" s="566"/>
      <c r="J81" s="566"/>
      <c r="K81" s="566"/>
      <c r="L81" s="566"/>
      <c r="M81" s="567">
        <f t="shared" ref="M81" si="139">N81+N81*O81%+P81</f>
        <v>1089.97</v>
      </c>
      <c r="N81" s="567">
        <f>'附件4-8甲供材料清单'!$K$158</f>
        <v>959</v>
      </c>
      <c r="O81" s="567">
        <v>3</v>
      </c>
      <c r="P81" s="567">
        <v>102.2</v>
      </c>
      <c r="Q81" s="411">
        <f t="shared" ref="Q81" si="140">E81*$M81</f>
        <v>0</v>
      </c>
      <c r="R81" s="411">
        <f t="shared" ref="R81" si="141">F81*$M81</f>
        <v>0</v>
      </c>
      <c r="S81" s="411">
        <f t="shared" ref="S81" si="142">G81*$M81</f>
        <v>0</v>
      </c>
      <c r="T81" s="411">
        <f t="shared" ref="T81" si="143">H81*$M81</f>
        <v>0</v>
      </c>
      <c r="U81" s="411">
        <f t="shared" ref="U81" si="144">I81*$M81</f>
        <v>0</v>
      </c>
      <c r="V81" s="411">
        <f t="shared" ref="V81" si="145">J81*$M81</f>
        <v>0</v>
      </c>
      <c r="W81" s="411">
        <f t="shared" ref="W81" si="146">K81*$M81</f>
        <v>0</v>
      </c>
      <c r="X81" s="411">
        <f t="shared" ref="X81" si="147">L81*$M81</f>
        <v>0</v>
      </c>
      <c r="Y81" s="409" t="s">
        <v>244</v>
      </c>
      <c r="Z81" s="455">
        <f t="shared" ref="Z81" si="148">Q81</f>
        <v>0</v>
      </c>
      <c r="AA81" s="403">
        <f t="shared" ref="AA81" si="149">R81</f>
        <v>0</v>
      </c>
      <c r="AB81" s="403">
        <f t="shared" ref="AB81" si="150">S81</f>
        <v>0</v>
      </c>
      <c r="AC81" s="403">
        <f t="shared" ref="AC81" si="151">T81</f>
        <v>0</v>
      </c>
      <c r="AD81" s="403">
        <f t="shared" ref="AD81" si="152">U81</f>
        <v>0</v>
      </c>
      <c r="AE81" s="403">
        <f t="shared" ref="AE81" si="153">V81</f>
        <v>0</v>
      </c>
      <c r="AF81" s="403">
        <f t="shared" ref="AF81" si="154">W81</f>
        <v>0</v>
      </c>
      <c r="AG81" s="403">
        <f t="shared" ref="AG81" si="155">X81</f>
        <v>0</v>
      </c>
      <c r="AH81" s="323"/>
      <c r="AI81" s="403">
        <f t="shared" ref="AI81" si="156">E81*$N81*(1+$O81%)</f>
        <v>0</v>
      </c>
      <c r="AJ81" s="403">
        <f t="shared" ref="AJ81:AP83" si="157">F81*$N81*(1+$O81%)</f>
        <v>0</v>
      </c>
      <c r="AK81" s="403">
        <f t="shared" si="157"/>
        <v>0</v>
      </c>
      <c r="AL81" s="403">
        <f t="shared" si="157"/>
        <v>0</v>
      </c>
      <c r="AM81" s="403">
        <f t="shared" si="157"/>
        <v>0</v>
      </c>
      <c r="AN81" s="403">
        <f t="shared" si="157"/>
        <v>0</v>
      </c>
      <c r="AO81" s="403">
        <f t="shared" si="157"/>
        <v>0</v>
      </c>
      <c r="AP81" s="403">
        <f t="shared" si="157"/>
        <v>0</v>
      </c>
    </row>
    <row r="82" spans="1:42" ht="22.5">
      <c r="A82" s="194" t="s">
        <v>277</v>
      </c>
      <c r="B82" s="689" t="s">
        <v>278</v>
      </c>
      <c r="C82" s="414" t="s">
        <v>281</v>
      </c>
      <c r="D82" s="408" t="s">
        <v>231</v>
      </c>
      <c r="E82" s="566"/>
      <c r="F82" s="566"/>
      <c r="G82" s="566"/>
      <c r="H82" s="566"/>
      <c r="I82" s="566"/>
      <c r="J82" s="566"/>
      <c r="K82" s="566"/>
      <c r="L82" s="566"/>
      <c r="M82" s="567">
        <f t="shared" ref="M82:M94" si="158">N82+N82*O82%+P82</f>
        <v>1067.29</v>
      </c>
      <c r="N82" s="567">
        <f>'附件4-8甲供材料清单'!$K$158</f>
        <v>959</v>
      </c>
      <c r="O82" s="567">
        <v>3</v>
      </c>
      <c r="P82" s="567">
        <v>79.52</v>
      </c>
      <c r="Q82" s="411">
        <f t="shared" ref="Q82:X89" si="159">E82*$M82</f>
        <v>0</v>
      </c>
      <c r="R82" s="411">
        <f t="shared" si="159"/>
        <v>0</v>
      </c>
      <c r="S82" s="411">
        <f t="shared" si="159"/>
        <v>0</v>
      </c>
      <c r="T82" s="411">
        <f t="shared" si="159"/>
        <v>0</v>
      </c>
      <c r="U82" s="411">
        <f t="shared" si="159"/>
        <v>0</v>
      </c>
      <c r="V82" s="411">
        <f t="shared" si="159"/>
        <v>0</v>
      </c>
      <c r="W82" s="411">
        <f t="shared" si="159"/>
        <v>0</v>
      </c>
      <c r="X82" s="411">
        <f t="shared" si="159"/>
        <v>0</v>
      </c>
      <c r="Y82" s="409" t="s">
        <v>244</v>
      </c>
      <c r="Z82" s="455">
        <f t="shared" ref="Z82:AG83" si="160">Q82</f>
        <v>0</v>
      </c>
      <c r="AA82" s="403">
        <f t="shared" si="160"/>
        <v>0</v>
      </c>
      <c r="AB82" s="403">
        <f t="shared" si="160"/>
        <v>0</v>
      </c>
      <c r="AC82" s="403">
        <f t="shared" si="160"/>
        <v>0</v>
      </c>
      <c r="AD82" s="403">
        <f t="shared" si="160"/>
        <v>0</v>
      </c>
      <c r="AE82" s="403">
        <f t="shared" si="160"/>
        <v>0</v>
      </c>
      <c r="AF82" s="403">
        <f t="shared" si="160"/>
        <v>0</v>
      </c>
      <c r="AG82" s="403">
        <f t="shared" si="160"/>
        <v>0</v>
      </c>
      <c r="AH82" s="323"/>
      <c r="AI82" s="403">
        <f>E82*$N82*(1+$O82%)</f>
        <v>0</v>
      </c>
      <c r="AJ82" s="403">
        <f t="shared" si="157"/>
        <v>0</v>
      </c>
      <c r="AK82" s="403">
        <f t="shared" si="157"/>
        <v>0</v>
      </c>
      <c r="AL82" s="403">
        <f t="shared" si="157"/>
        <v>0</v>
      </c>
      <c r="AM82" s="403">
        <f t="shared" si="157"/>
        <v>0</v>
      </c>
      <c r="AN82" s="403">
        <f t="shared" si="157"/>
        <v>0</v>
      </c>
      <c r="AO82" s="403">
        <f t="shared" si="157"/>
        <v>0</v>
      </c>
      <c r="AP82" s="403">
        <f t="shared" si="157"/>
        <v>0</v>
      </c>
    </row>
    <row r="83" spans="1:42" ht="22.5">
      <c r="A83" s="194" t="s">
        <v>277</v>
      </c>
      <c r="B83" s="689" t="s">
        <v>278</v>
      </c>
      <c r="C83" s="414" t="s">
        <v>282</v>
      </c>
      <c r="D83" s="408" t="s">
        <v>235</v>
      </c>
      <c r="E83" s="566"/>
      <c r="F83" s="566"/>
      <c r="G83" s="566"/>
      <c r="H83" s="566"/>
      <c r="I83" s="566"/>
      <c r="J83" s="566"/>
      <c r="K83" s="566"/>
      <c r="L83" s="566"/>
      <c r="M83" s="567">
        <f t="shared" si="158"/>
        <v>44</v>
      </c>
      <c r="N83" s="567">
        <f>'附件4-8甲供材料清单'!$K$159</f>
        <v>44</v>
      </c>
      <c r="O83" s="567"/>
      <c r="P83" s="567"/>
      <c r="Q83" s="411">
        <f t="shared" si="159"/>
        <v>0</v>
      </c>
      <c r="R83" s="411">
        <f t="shared" si="159"/>
        <v>0</v>
      </c>
      <c r="S83" s="411">
        <f t="shared" si="159"/>
        <v>0</v>
      </c>
      <c r="T83" s="411">
        <f t="shared" si="159"/>
        <v>0</v>
      </c>
      <c r="U83" s="411">
        <f t="shared" si="159"/>
        <v>0</v>
      </c>
      <c r="V83" s="411">
        <f t="shared" si="159"/>
        <v>0</v>
      </c>
      <c r="W83" s="411">
        <f t="shared" si="159"/>
        <v>0</v>
      </c>
      <c r="X83" s="411">
        <f t="shared" si="159"/>
        <v>0</v>
      </c>
      <c r="Y83" s="409" t="s">
        <v>244</v>
      </c>
      <c r="Z83" s="455">
        <f t="shared" si="160"/>
        <v>0</v>
      </c>
      <c r="AA83" s="403">
        <f t="shared" si="160"/>
        <v>0</v>
      </c>
      <c r="AB83" s="403">
        <f t="shared" si="160"/>
        <v>0</v>
      </c>
      <c r="AC83" s="403">
        <f t="shared" si="160"/>
        <v>0</v>
      </c>
      <c r="AD83" s="403">
        <f t="shared" si="160"/>
        <v>0</v>
      </c>
      <c r="AE83" s="403">
        <f t="shared" si="160"/>
        <v>0</v>
      </c>
      <c r="AF83" s="403">
        <f t="shared" si="160"/>
        <v>0</v>
      </c>
      <c r="AG83" s="403">
        <f t="shared" si="160"/>
        <v>0</v>
      </c>
      <c r="AH83" s="323"/>
      <c r="AI83" s="403">
        <f>E83*$N83*(1+$O83%)</f>
        <v>0</v>
      </c>
      <c r="AJ83" s="403">
        <f t="shared" si="157"/>
        <v>0</v>
      </c>
      <c r="AK83" s="403">
        <f t="shared" si="157"/>
        <v>0</v>
      </c>
      <c r="AL83" s="403">
        <f t="shared" si="157"/>
        <v>0</v>
      </c>
      <c r="AM83" s="403">
        <f t="shared" si="157"/>
        <v>0</v>
      </c>
      <c r="AN83" s="403">
        <f t="shared" si="157"/>
        <v>0</v>
      </c>
      <c r="AO83" s="403">
        <f t="shared" si="157"/>
        <v>0</v>
      </c>
      <c r="AP83" s="403">
        <f t="shared" si="157"/>
        <v>0</v>
      </c>
    </row>
    <row r="84" spans="1:42" ht="11.25">
      <c r="A84" s="191"/>
      <c r="B84" s="635" t="s">
        <v>62</v>
      </c>
      <c r="C84" s="636" t="s">
        <v>299</v>
      </c>
      <c r="D84" s="635"/>
      <c r="E84" s="647"/>
      <c r="F84" s="647"/>
      <c r="G84" s="647"/>
      <c r="H84" s="647"/>
      <c r="I84" s="647"/>
      <c r="J84" s="647"/>
      <c r="K84" s="647"/>
      <c r="L84" s="647"/>
      <c r="M84" s="648"/>
      <c r="N84" s="648"/>
      <c r="O84" s="648"/>
      <c r="P84" s="648"/>
      <c r="Q84" s="649"/>
      <c r="R84" s="649"/>
      <c r="S84" s="649"/>
      <c r="T84" s="649"/>
      <c r="U84" s="649"/>
      <c r="V84" s="649"/>
      <c r="W84" s="649"/>
      <c r="X84" s="649"/>
      <c r="Y84" s="640" t="s">
        <v>1860</v>
      </c>
      <c r="Z84" s="455"/>
      <c r="AA84" s="403"/>
      <c r="AB84" s="403"/>
      <c r="AC84" s="403"/>
      <c r="AD84" s="403"/>
      <c r="AE84" s="403"/>
      <c r="AF84" s="403"/>
      <c r="AG84" s="403"/>
      <c r="AH84" s="323"/>
      <c r="AI84" s="423"/>
      <c r="AJ84" s="423"/>
      <c r="AK84" s="423"/>
      <c r="AL84" s="423"/>
      <c r="AM84" s="423"/>
      <c r="AN84" s="423"/>
      <c r="AO84" s="423"/>
      <c r="AP84" s="423"/>
    </row>
    <row r="85" spans="1:42" ht="11.25">
      <c r="A85" s="191"/>
      <c r="B85" s="635" t="s">
        <v>133</v>
      </c>
      <c r="C85" s="636" t="s">
        <v>229</v>
      </c>
      <c r="D85" s="635"/>
      <c r="E85" s="647"/>
      <c r="F85" s="647"/>
      <c r="G85" s="647"/>
      <c r="H85" s="647"/>
      <c r="I85" s="647"/>
      <c r="J85" s="647"/>
      <c r="K85" s="647"/>
      <c r="L85" s="647"/>
      <c r="M85" s="648"/>
      <c r="N85" s="648"/>
      <c r="O85" s="648"/>
      <c r="P85" s="648"/>
      <c r="Q85" s="649"/>
      <c r="R85" s="649"/>
      <c r="S85" s="649"/>
      <c r="T85" s="649"/>
      <c r="U85" s="649"/>
      <c r="V85" s="649"/>
      <c r="W85" s="649"/>
      <c r="X85" s="649"/>
      <c r="Y85" s="640" t="s">
        <v>1860</v>
      </c>
      <c r="Z85" s="455"/>
      <c r="AA85" s="403"/>
      <c r="AB85" s="403"/>
      <c r="AC85" s="403"/>
      <c r="AD85" s="403"/>
      <c r="AE85" s="403"/>
      <c r="AF85" s="403"/>
      <c r="AG85" s="403"/>
      <c r="AH85" s="323"/>
      <c r="AI85" s="423"/>
      <c r="AJ85" s="423"/>
      <c r="AK85" s="423"/>
      <c r="AL85" s="423"/>
      <c r="AM85" s="423"/>
      <c r="AN85" s="423"/>
      <c r="AO85" s="423"/>
      <c r="AP85" s="423"/>
    </row>
    <row r="86" spans="1:42" ht="33.75">
      <c r="A86" s="191"/>
      <c r="B86" s="689">
        <v>1</v>
      </c>
      <c r="C86" s="407" t="s">
        <v>300</v>
      </c>
      <c r="D86" s="689" t="s">
        <v>231</v>
      </c>
      <c r="E86" s="566">
        <f t="shared" ref="E86" si="161">E91</f>
        <v>4.24</v>
      </c>
      <c r="F86" s="566">
        <f>F91+2.44*0.1</f>
        <v>6.8739999999999997</v>
      </c>
      <c r="G86" s="566">
        <f t="shared" ref="G86" si="162">G91</f>
        <v>4.5199999999999996</v>
      </c>
      <c r="H86" s="566">
        <f>H91</f>
        <v>4.01</v>
      </c>
      <c r="I86" s="566">
        <f>I91</f>
        <v>4</v>
      </c>
      <c r="J86" s="566">
        <f>J91</f>
        <v>3.98</v>
      </c>
      <c r="K86" s="566">
        <f>K91</f>
        <v>5.16</v>
      </c>
      <c r="L86" s="566">
        <f>L91</f>
        <v>4.55</v>
      </c>
      <c r="M86" s="567">
        <f t="shared" si="158"/>
        <v>100.70204081632653</v>
      </c>
      <c r="N86" s="567">
        <f>'附件4-8甲供材料清单'!M130</f>
        <v>55.183673469387763</v>
      </c>
      <c r="O86" s="567">
        <v>10</v>
      </c>
      <c r="P86" s="567">
        <v>40</v>
      </c>
      <c r="Q86" s="411">
        <f t="shared" si="159"/>
        <v>426.97665306122451</v>
      </c>
      <c r="R86" s="411">
        <f t="shared" si="159"/>
        <v>692.22582857142856</v>
      </c>
      <c r="S86" s="411">
        <f t="shared" si="159"/>
        <v>455.17322448979587</v>
      </c>
      <c r="T86" s="411">
        <f t="shared" si="159"/>
        <v>403.81518367346939</v>
      </c>
      <c r="U86" s="411">
        <f t="shared" si="159"/>
        <v>402.80816326530612</v>
      </c>
      <c r="V86" s="411">
        <f t="shared" si="159"/>
        <v>400.79412244897958</v>
      </c>
      <c r="W86" s="411">
        <f t="shared" si="159"/>
        <v>519.62253061224487</v>
      </c>
      <c r="X86" s="411">
        <f t="shared" si="159"/>
        <v>458.19428571428568</v>
      </c>
      <c r="Y86" s="409" t="s">
        <v>244</v>
      </c>
      <c r="Z86" s="455">
        <f t="shared" ref="Z86" si="163">Q86</f>
        <v>426.97665306122451</v>
      </c>
      <c r="AA86" s="403">
        <f t="shared" ref="AA86:AG86" si="164">R86</f>
        <v>692.22582857142856</v>
      </c>
      <c r="AB86" s="403">
        <f t="shared" si="164"/>
        <v>455.17322448979587</v>
      </c>
      <c r="AC86" s="403">
        <f t="shared" si="164"/>
        <v>403.81518367346939</v>
      </c>
      <c r="AD86" s="403">
        <f t="shared" si="164"/>
        <v>402.80816326530612</v>
      </c>
      <c r="AE86" s="403">
        <f t="shared" si="164"/>
        <v>400.79412244897958</v>
      </c>
      <c r="AF86" s="403">
        <f t="shared" si="164"/>
        <v>519.62253061224487</v>
      </c>
      <c r="AG86" s="403">
        <f t="shared" si="164"/>
        <v>458.19428571428568</v>
      </c>
      <c r="AH86" s="323"/>
      <c r="AI86" s="403">
        <f t="shared" ref="AI86" si="165">E86*$N86*(1+$O86%)</f>
        <v>257.37665306122454</v>
      </c>
      <c r="AJ86" s="403">
        <f t="shared" ref="AJ86:AP86" si="166">F86*$N86*(1+$O86%)</f>
        <v>417.26582857142864</v>
      </c>
      <c r="AK86" s="403">
        <f t="shared" si="166"/>
        <v>274.37322448979597</v>
      </c>
      <c r="AL86" s="403">
        <f t="shared" si="166"/>
        <v>243.41518367346941</v>
      </c>
      <c r="AM86" s="403">
        <f t="shared" si="166"/>
        <v>242.80816326530618</v>
      </c>
      <c r="AN86" s="403">
        <f t="shared" si="166"/>
        <v>241.59412244897965</v>
      </c>
      <c r="AO86" s="403">
        <f t="shared" si="166"/>
        <v>313.22253061224495</v>
      </c>
      <c r="AP86" s="403">
        <f t="shared" si="166"/>
        <v>276.1942857142858</v>
      </c>
    </row>
    <row r="87" spans="1:42" s="384" customFormat="1" ht="22.5">
      <c r="A87" s="191"/>
      <c r="B87" s="689" t="s">
        <v>233</v>
      </c>
      <c r="C87" s="407" t="s">
        <v>301</v>
      </c>
      <c r="D87" s="689" t="s">
        <v>231</v>
      </c>
      <c r="E87" s="566"/>
      <c r="F87" s="566"/>
      <c r="G87" s="566"/>
      <c r="H87" s="566"/>
      <c r="I87" s="566"/>
      <c r="J87" s="566"/>
      <c r="K87" s="566"/>
      <c r="L87" s="566"/>
      <c r="M87" s="567">
        <f t="shared" si="158"/>
        <v>88</v>
      </c>
      <c r="N87" s="567">
        <v>15</v>
      </c>
      <c r="O87" s="567">
        <v>10</v>
      </c>
      <c r="P87" s="567">
        <v>71.5</v>
      </c>
      <c r="Q87" s="402">
        <f t="shared" si="159"/>
        <v>0</v>
      </c>
      <c r="R87" s="402">
        <f t="shared" si="159"/>
        <v>0</v>
      </c>
      <c r="S87" s="402">
        <f t="shared" si="159"/>
        <v>0</v>
      </c>
      <c r="T87" s="402">
        <f t="shared" si="159"/>
        <v>0</v>
      </c>
      <c r="U87" s="402">
        <f t="shared" si="159"/>
        <v>0</v>
      </c>
      <c r="V87" s="402">
        <f t="shared" si="159"/>
        <v>0</v>
      </c>
      <c r="W87" s="402">
        <f t="shared" si="159"/>
        <v>0</v>
      </c>
      <c r="X87" s="402">
        <f t="shared" si="159"/>
        <v>0</v>
      </c>
      <c r="Y87" s="409"/>
      <c r="Z87" s="455"/>
      <c r="AA87" s="403"/>
      <c r="AB87" s="403"/>
      <c r="AC87" s="403"/>
      <c r="AD87" s="403"/>
      <c r="AE87" s="403"/>
      <c r="AF87" s="403"/>
      <c r="AG87" s="403"/>
      <c r="AH87" s="323"/>
      <c r="AI87" s="423"/>
      <c r="AJ87" s="423"/>
      <c r="AK87" s="423"/>
      <c r="AL87" s="423"/>
      <c r="AM87" s="423"/>
      <c r="AN87" s="423"/>
      <c r="AO87" s="423"/>
      <c r="AP87" s="423"/>
    </row>
    <row r="88" spans="1:42" ht="22.5">
      <c r="A88" s="191"/>
      <c r="B88" s="689" t="s">
        <v>233</v>
      </c>
      <c r="C88" s="407" t="s">
        <v>302</v>
      </c>
      <c r="D88" s="689" t="s">
        <v>231</v>
      </c>
      <c r="E88" s="566"/>
      <c r="F88" s="566"/>
      <c r="G88" s="566"/>
      <c r="H88" s="566"/>
      <c r="I88" s="566"/>
      <c r="J88" s="566"/>
      <c r="K88" s="566"/>
      <c r="L88" s="566"/>
      <c r="M88" s="567">
        <f t="shared" si="158"/>
        <v>22.012509999999999</v>
      </c>
      <c r="N88" s="567">
        <f>'附件4-8甲供材料清单'!N127</f>
        <v>2.79251</v>
      </c>
      <c r="O88" s="567"/>
      <c r="P88" s="567">
        <v>19.22</v>
      </c>
      <c r="Q88" s="411">
        <f t="shared" si="159"/>
        <v>0</v>
      </c>
      <c r="R88" s="411">
        <f t="shared" si="159"/>
        <v>0</v>
      </c>
      <c r="S88" s="411">
        <f t="shared" si="159"/>
        <v>0</v>
      </c>
      <c r="T88" s="411">
        <f t="shared" si="159"/>
        <v>0</v>
      </c>
      <c r="U88" s="411">
        <f t="shared" si="159"/>
        <v>0</v>
      </c>
      <c r="V88" s="411">
        <f t="shared" si="159"/>
        <v>0</v>
      </c>
      <c r="W88" s="411">
        <f t="shared" si="159"/>
        <v>0</v>
      </c>
      <c r="X88" s="411">
        <f t="shared" si="159"/>
        <v>0</v>
      </c>
      <c r="Y88" s="409" t="s">
        <v>244</v>
      </c>
      <c r="Z88" s="455">
        <f t="shared" ref="Z88" si="167">Q88</f>
        <v>0</v>
      </c>
      <c r="AA88" s="403">
        <f t="shared" ref="AA88:AG89" si="168">R88</f>
        <v>0</v>
      </c>
      <c r="AB88" s="403">
        <f t="shared" si="168"/>
        <v>0</v>
      </c>
      <c r="AC88" s="403">
        <f t="shared" si="168"/>
        <v>0</v>
      </c>
      <c r="AD88" s="403">
        <f t="shared" si="168"/>
        <v>0</v>
      </c>
      <c r="AE88" s="403">
        <f t="shared" si="168"/>
        <v>0</v>
      </c>
      <c r="AF88" s="403">
        <f t="shared" si="168"/>
        <v>0</v>
      </c>
      <c r="AG88" s="403">
        <f t="shared" si="168"/>
        <v>0</v>
      </c>
      <c r="AH88" s="323"/>
      <c r="AI88" s="403">
        <f t="shared" ref="AI88" si="169">E88*$N88*(1+$O88%)</f>
        <v>0</v>
      </c>
      <c r="AJ88" s="403">
        <f t="shared" ref="AJ88:AP89" si="170">F88*$N88*(1+$O88%)</f>
        <v>0</v>
      </c>
      <c r="AK88" s="403">
        <f t="shared" si="170"/>
        <v>0</v>
      </c>
      <c r="AL88" s="403">
        <f t="shared" si="170"/>
        <v>0</v>
      </c>
      <c r="AM88" s="403">
        <f t="shared" si="170"/>
        <v>0</v>
      </c>
      <c r="AN88" s="403">
        <f t="shared" si="170"/>
        <v>0</v>
      </c>
      <c r="AO88" s="403">
        <f t="shared" si="170"/>
        <v>0</v>
      </c>
      <c r="AP88" s="403">
        <f t="shared" si="170"/>
        <v>0</v>
      </c>
    </row>
    <row r="89" spans="1:42" ht="22.5">
      <c r="A89" s="191"/>
      <c r="B89" s="689" t="s">
        <v>233</v>
      </c>
      <c r="C89" s="407" t="s">
        <v>303</v>
      </c>
      <c r="D89" s="689" t="s">
        <v>231</v>
      </c>
      <c r="E89" s="566"/>
      <c r="F89" s="566"/>
      <c r="G89" s="566"/>
      <c r="H89" s="566"/>
      <c r="I89" s="566"/>
      <c r="J89" s="566"/>
      <c r="K89" s="566"/>
      <c r="L89" s="566"/>
      <c r="M89" s="567">
        <f t="shared" si="158"/>
        <v>24.572509999999998</v>
      </c>
      <c r="N89" s="567">
        <f>N88</f>
        <v>2.79251</v>
      </c>
      <c r="O89" s="567"/>
      <c r="P89" s="567">
        <f>2.56+19.22</f>
        <v>21.779999999999998</v>
      </c>
      <c r="Q89" s="411">
        <f t="shared" si="159"/>
        <v>0</v>
      </c>
      <c r="R89" s="411">
        <f t="shared" si="159"/>
        <v>0</v>
      </c>
      <c r="S89" s="411">
        <f t="shared" si="159"/>
        <v>0</v>
      </c>
      <c r="T89" s="411">
        <f t="shared" si="159"/>
        <v>0</v>
      </c>
      <c r="U89" s="411">
        <f t="shared" si="159"/>
        <v>0</v>
      </c>
      <c r="V89" s="411">
        <f t="shared" si="159"/>
        <v>0</v>
      </c>
      <c r="W89" s="411">
        <f t="shared" si="159"/>
        <v>0</v>
      </c>
      <c r="X89" s="411">
        <f t="shared" si="159"/>
        <v>0</v>
      </c>
      <c r="Y89" s="409" t="s">
        <v>244</v>
      </c>
      <c r="Z89" s="455">
        <f>Q89</f>
        <v>0</v>
      </c>
      <c r="AA89" s="403">
        <f t="shared" si="168"/>
        <v>0</v>
      </c>
      <c r="AB89" s="403">
        <f t="shared" si="168"/>
        <v>0</v>
      </c>
      <c r="AC89" s="403">
        <f t="shared" si="168"/>
        <v>0</v>
      </c>
      <c r="AD89" s="403">
        <f t="shared" si="168"/>
        <v>0</v>
      </c>
      <c r="AE89" s="403">
        <f t="shared" si="168"/>
        <v>0</v>
      </c>
      <c r="AF89" s="403">
        <f t="shared" si="168"/>
        <v>0</v>
      </c>
      <c r="AG89" s="403">
        <f t="shared" si="168"/>
        <v>0</v>
      </c>
      <c r="AH89" s="323"/>
      <c r="AI89" s="403">
        <f>E89*$N89*(1+$O89%)</f>
        <v>0</v>
      </c>
      <c r="AJ89" s="403">
        <f t="shared" si="170"/>
        <v>0</v>
      </c>
      <c r="AK89" s="403">
        <f t="shared" si="170"/>
        <v>0</v>
      </c>
      <c r="AL89" s="403">
        <f t="shared" si="170"/>
        <v>0</v>
      </c>
      <c r="AM89" s="403">
        <f t="shared" si="170"/>
        <v>0</v>
      </c>
      <c r="AN89" s="403">
        <f t="shared" si="170"/>
        <v>0</v>
      </c>
      <c r="AO89" s="403">
        <f t="shared" si="170"/>
        <v>0</v>
      </c>
      <c r="AP89" s="403">
        <f t="shared" si="170"/>
        <v>0</v>
      </c>
    </row>
    <row r="90" spans="1:42" ht="11.25">
      <c r="A90" s="191"/>
      <c r="B90" s="635" t="s">
        <v>246</v>
      </c>
      <c r="C90" s="636" t="s">
        <v>247</v>
      </c>
      <c r="D90" s="635"/>
      <c r="E90" s="647"/>
      <c r="F90" s="647"/>
      <c r="G90" s="647"/>
      <c r="H90" s="647"/>
      <c r="I90" s="647"/>
      <c r="J90" s="647"/>
      <c r="K90" s="647"/>
      <c r="L90" s="647"/>
      <c r="M90" s="648"/>
      <c r="N90" s="648"/>
      <c r="O90" s="648"/>
      <c r="P90" s="648"/>
      <c r="Q90" s="649"/>
      <c r="R90" s="649"/>
      <c r="S90" s="649"/>
      <c r="T90" s="649"/>
      <c r="U90" s="649"/>
      <c r="V90" s="649"/>
      <c r="W90" s="649"/>
      <c r="X90" s="649"/>
      <c r="Y90" s="640" t="s">
        <v>1860</v>
      </c>
      <c r="Z90" s="455"/>
      <c r="AA90" s="403"/>
      <c r="AB90" s="403"/>
      <c r="AC90" s="403"/>
      <c r="AD90" s="403"/>
      <c r="AE90" s="403"/>
      <c r="AF90" s="403"/>
      <c r="AG90" s="403"/>
      <c r="AH90" s="323"/>
      <c r="AI90" s="423"/>
      <c r="AJ90" s="423"/>
      <c r="AK90" s="423"/>
      <c r="AL90" s="423"/>
      <c r="AM90" s="423"/>
      <c r="AN90" s="423"/>
      <c r="AO90" s="423"/>
      <c r="AP90" s="423"/>
    </row>
    <row r="91" spans="1:42" ht="22.5">
      <c r="A91" s="191"/>
      <c r="B91" s="689">
        <v>1</v>
      </c>
      <c r="C91" s="407" t="s">
        <v>304</v>
      </c>
      <c r="D91" s="689" t="s">
        <v>231</v>
      </c>
      <c r="E91" s="566">
        <f>A单元!$E$48</f>
        <v>4.24</v>
      </c>
      <c r="F91" s="566">
        <f>C单元!$E$48</f>
        <v>6.63</v>
      </c>
      <c r="G91" s="566">
        <f>B单元!$E$48</f>
        <v>4.5199999999999996</v>
      </c>
      <c r="H91" s="566">
        <f>F单元!$E$48</f>
        <v>4.01</v>
      </c>
      <c r="I91" s="566">
        <f>H单元!E48</f>
        <v>4</v>
      </c>
      <c r="J91" s="566">
        <f>'D单元 '!E48</f>
        <v>3.98</v>
      </c>
      <c r="K91" s="566">
        <f>I单元!$E$48</f>
        <v>5.16</v>
      </c>
      <c r="L91" s="566">
        <f>E单元!$E$48</f>
        <v>4.55</v>
      </c>
      <c r="M91" s="567">
        <f t="shared" si="158"/>
        <v>109.54749999999999</v>
      </c>
      <c r="N91" s="567">
        <f>'附件4-8甲供材料清单'!M17</f>
        <v>57.874999999999986</v>
      </c>
      <c r="O91" s="567">
        <v>6</v>
      </c>
      <c r="P91" s="567">
        <v>48.2</v>
      </c>
      <c r="Q91" s="411">
        <f t="shared" ref="Q91:Q103" si="171">E91*$M91</f>
        <v>464.48139999999995</v>
      </c>
      <c r="R91" s="411">
        <f t="shared" ref="R91:R103" si="172">F91*$M91</f>
        <v>726.29992499999992</v>
      </c>
      <c r="S91" s="411">
        <f t="shared" ref="S91:S103" si="173">G91*$M91</f>
        <v>495.15469999999988</v>
      </c>
      <c r="T91" s="411">
        <f t="shared" ref="T91:T103" si="174">H91*$M91</f>
        <v>439.28547499999991</v>
      </c>
      <c r="U91" s="411">
        <f t="shared" ref="U91:U103" si="175">I91*$M91</f>
        <v>438.18999999999994</v>
      </c>
      <c r="V91" s="411">
        <f t="shared" ref="V91:V103" si="176">J91*$M91</f>
        <v>435.99904999999995</v>
      </c>
      <c r="W91" s="411">
        <f t="shared" ref="W91:W103" si="177">K91*$M91</f>
        <v>565.26509999999996</v>
      </c>
      <c r="X91" s="411">
        <f t="shared" ref="X91:X103" si="178">L91*$M91</f>
        <v>498.44112499999989</v>
      </c>
      <c r="Y91" s="409" t="s">
        <v>244</v>
      </c>
      <c r="Z91" s="455">
        <f t="shared" ref="Z91" si="179">Q91</f>
        <v>464.48139999999995</v>
      </c>
      <c r="AA91" s="403">
        <f t="shared" ref="AA91:AG92" si="180">R91</f>
        <v>726.29992499999992</v>
      </c>
      <c r="AB91" s="403">
        <f t="shared" si="180"/>
        <v>495.15469999999988</v>
      </c>
      <c r="AC91" s="403">
        <f t="shared" si="180"/>
        <v>439.28547499999991</v>
      </c>
      <c r="AD91" s="403">
        <f t="shared" si="180"/>
        <v>438.18999999999994</v>
      </c>
      <c r="AE91" s="403">
        <f t="shared" si="180"/>
        <v>435.99904999999995</v>
      </c>
      <c r="AF91" s="403">
        <f t="shared" si="180"/>
        <v>565.26509999999996</v>
      </c>
      <c r="AG91" s="403">
        <f t="shared" si="180"/>
        <v>498.44112499999989</v>
      </c>
      <c r="AH91" s="323"/>
      <c r="AI91" s="403">
        <f t="shared" ref="AI91" si="181">E91*$N91*(1+$O91%)</f>
        <v>260.11339999999996</v>
      </c>
      <c r="AJ91" s="403">
        <f t="shared" ref="AJ91:AP92" si="182">F91*$N91*(1+$O91%)</f>
        <v>406.73392499999989</v>
      </c>
      <c r="AK91" s="403">
        <f t="shared" si="182"/>
        <v>277.2906999999999</v>
      </c>
      <c r="AL91" s="403">
        <f t="shared" si="182"/>
        <v>246.00347499999992</v>
      </c>
      <c r="AM91" s="403">
        <f t="shared" si="182"/>
        <v>245.38999999999996</v>
      </c>
      <c r="AN91" s="403">
        <f t="shared" si="182"/>
        <v>244.16304999999994</v>
      </c>
      <c r="AO91" s="403">
        <f t="shared" si="182"/>
        <v>316.55309999999997</v>
      </c>
      <c r="AP91" s="403">
        <f t="shared" si="182"/>
        <v>279.13112499999988</v>
      </c>
    </row>
    <row r="92" spans="1:42" ht="22.5">
      <c r="A92" s="191"/>
      <c r="B92" s="689">
        <v>2</v>
      </c>
      <c r="C92" s="407" t="s">
        <v>305</v>
      </c>
      <c r="D92" s="689" t="s">
        <v>231</v>
      </c>
      <c r="E92" s="566">
        <f>A单元!$T$48</f>
        <v>5.2054</v>
      </c>
      <c r="F92" s="566">
        <f>C单元!$T$48</f>
        <v>7.4978999999999996</v>
      </c>
      <c r="G92" s="566">
        <f>B单元!$T$48</f>
        <v>5.7538999999999998</v>
      </c>
      <c r="H92" s="566">
        <f>F单元!$T$48</f>
        <v>4.8358999999999996</v>
      </c>
      <c r="I92" s="566">
        <f>H单元!T48</f>
        <v>5.0974000000000004</v>
      </c>
      <c r="J92" s="566">
        <f>'D单元 '!T48</f>
        <v>5.1269</v>
      </c>
      <c r="K92" s="566">
        <f>I单元!$T$48</f>
        <v>6.4673999999999996</v>
      </c>
      <c r="L92" s="566">
        <f>E单元!$T$48</f>
        <v>5.7808999999999999</v>
      </c>
      <c r="M92" s="567">
        <f t="shared" si="158"/>
        <v>39.800000000000004</v>
      </c>
      <c r="N92" s="567">
        <f>'附件4-8甲供材料清单'!M168</f>
        <v>30.800000000000004</v>
      </c>
      <c r="O92" s="567"/>
      <c r="P92" s="567">
        <v>9</v>
      </c>
      <c r="Q92" s="411">
        <f t="shared" si="171"/>
        <v>207.17492000000001</v>
      </c>
      <c r="R92" s="411">
        <f t="shared" si="172"/>
        <v>298.41642000000002</v>
      </c>
      <c r="S92" s="411">
        <f t="shared" si="173"/>
        <v>229.00522000000001</v>
      </c>
      <c r="T92" s="411">
        <f t="shared" si="174"/>
        <v>192.46881999999999</v>
      </c>
      <c r="U92" s="411">
        <f t="shared" si="175"/>
        <v>202.87652000000003</v>
      </c>
      <c r="V92" s="411">
        <f t="shared" si="176"/>
        <v>204.05062000000001</v>
      </c>
      <c r="W92" s="411">
        <f t="shared" si="177"/>
        <v>257.40252000000004</v>
      </c>
      <c r="X92" s="411">
        <f t="shared" si="178"/>
        <v>230.07982000000001</v>
      </c>
      <c r="Y92" s="409" t="s">
        <v>244</v>
      </c>
      <c r="Z92" s="455">
        <f>Q92</f>
        <v>207.17492000000001</v>
      </c>
      <c r="AA92" s="403">
        <f t="shared" si="180"/>
        <v>298.41642000000002</v>
      </c>
      <c r="AB92" s="403">
        <f t="shared" si="180"/>
        <v>229.00522000000001</v>
      </c>
      <c r="AC92" s="403">
        <f t="shared" si="180"/>
        <v>192.46881999999999</v>
      </c>
      <c r="AD92" s="403">
        <f t="shared" si="180"/>
        <v>202.87652000000003</v>
      </c>
      <c r="AE92" s="403">
        <f t="shared" si="180"/>
        <v>204.05062000000001</v>
      </c>
      <c r="AF92" s="403">
        <f t="shared" si="180"/>
        <v>257.40252000000004</v>
      </c>
      <c r="AG92" s="403">
        <f t="shared" si="180"/>
        <v>230.07982000000001</v>
      </c>
      <c r="AH92" s="323"/>
      <c r="AI92" s="403">
        <f>E92*$N92*(1+$O92%)</f>
        <v>160.32632000000001</v>
      </c>
      <c r="AJ92" s="403">
        <f t="shared" si="182"/>
        <v>230.93532000000002</v>
      </c>
      <c r="AK92" s="403">
        <f t="shared" si="182"/>
        <v>177.22012000000001</v>
      </c>
      <c r="AL92" s="403">
        <f t="shared" si="182"/>
        <v>148.94572000000002</v>
      </c>
      <c r="AM92" s="403">
        <f t="shared" si="182"/>
        <v>156.99992000000003</v>
      </c>
      <c r="AN92" s="403">
        <f t="shared" si="182"/>
        <v>157.90852000000001</v>
      </c>
      <c r="AO92" s="403">
        <f t="shared" si="182"/>
        <v>199.19592</v>
      </c>
      <c r="AP92" s="403">
        <f t="shared" si="182"/>
        <v>178.05172000000002</v>
      </c>
    </row>
    <row r="93" spans="1:42" s="384" customFormat="1">
      <c r="A93" s="191"/>
      <c r="B93" s="689" t="s">
        <v>233</v>
      </c>
      <c r="C93" s="406" t="s">
        <v>306</v>
      </c>
      <c r="D93" s="405" t="s">
        <v>231</v>
      </c>
      <c r="E93" s="566"/>
      <c r="F93" s="566"/>
      <c r="G93" s="566"/>
      <c r="H93" s="566"/>
      <c r="I93" s="566"/>
      <c r="J93" s="566"/>
      <c r="K93" s="566"/>
      <c r="L93" s="566"/>
      <c r="M93" s="567">
        <f t="shared" si="158"/>
        <v>24.44</v>
      </c>
      <c r="N93" s="567"/>
      <c r="O93" s="567"/>
      <c r="P93" s="567">
        <v>24.44</v>
      </c>
      <c r="Q93" s="402">
        <f t="shared" si="171"/>
        <v>0</v>
      </c>
      <c r="R93" s="402">
        <f t="shared" si="172"/>
        <v>0</v>
      </c>
      <c r="S93" s="402">
        <f t="shared" si="173"/>
        <v>0</v>
      </c>
      <c r="T93" s="402">
        <f t="shared" si="174"/>
        <v>0</v>
      </c>
      <c r="U93" s="402">
        <f t="shared" si="175"/>
        <v>0</v>
      </c>
      <c r="V93" s="402">
        <f t="shared" si="176"/>
        <v>0</v>
      </c>
      <c r="W93" s="402">
        <f t="shared" si="177"/>
        <v>0</v>
      </c>
      <c r="X93" s="402">
        <f t="shared" si="178"/>
        <v>0</v>
      </c>
      <c r="Y93" s="409"/>
      <c r="Z93" s="455"/>
      <c r="AA93" s="403"/>
      <c r="AB93" s="403"/>
      <c r="AC93" s="403"/>
      <c r="AD93" s="403"/>
      <c r="AE93" s="403"/>
      <c r="AF93" s="403"/>
      <c r="AG93" s="403"/>
      <c r="AH93" s="323"/>
      <c r="AI93" s="423"/>
      <c r="AJ93" s="423"/>
      <c r="AK93" s="423"/>
      <c r="AL93" s="423"/>
      <c r="AM93" s="423"/>
      <c r="AN93" s="423"/>
      <c r="AO93" s="423"/>
      <c r="AP93" s="423"/>
    </row>
    <row r="94" spans="1:42" s="384" customFormat="1">
      <c r="A94" s="191"/>
      <c r="B94" s="689" t="s">
        <v>233</v>
      </c>
      <c r="C94" s="407" t="s">
        <v>307</v>
      </c>
      <c r="D94" s="412" t="s">
        <v>231</v>
      </c>
      <c r="E94" s="566"/>
      <c r="F94" s="566"/>
      <c r="G94" s="566"/>
      <c r="H94" s="566"/>
      <c r="I94" s="566"/>
      <c r="J94" s="566"/>
      <c r="K94" s="566"/>
      <c r="L94" s="566"/>
      <c r="M94" s="567">
        <f t="shared" si="158"/>
        <v>20.56</v>
      </c>
      <c r="N94" s="567">
        <v>13</v>
      </c>
      <c r="O94" s="567">
        <v>0</v>
      </c>
      <c r="P94" s="567">
        <v>7.56</v>
      </c>
      <c r="Q94" s="402">
        <f t="shared" si="171"/>
        <v>0</v>
      </c>
      <c r="R94" s="402">
        <f t="shared" si="172"/>
        <v>0</v>
      </c>
      <c r="S94" s="402">
        <f t="shared" si="173"/>
        <v>0</v>
      </c>
      <c r="T94" s="402">
        <f t="shared" si="174"/>
        <v>0</v>
      </c>
      <c r="U94" s="402">
        <f t="shared" si="175"/>
        <v>0</v>
      </c>
      <c r="V94" s="402">
        <f t="shared" si="176"/>
        <v>0</v>
      </c>
      <c r="W94" s="402">
        <f t="shared" si="177"/>
        <v>0</v>
      </c>
      <c r="X94" s="402">
        <f t="shared" si="178"/>
        <v>0</v>
      </c>
      <c r="Y94" s="409"/>
      <c r="Z94" s="455"/>
      <c r="AA94" s="403"/>
      <c r="AB94" s="403"/>
      <c r="AC94" s="403"/>
      <c r="AD94" s="403"/>
      <c r="AE94" s="403"/>
      <c r="AF94" s="403"/>
      <c r="AG94" s="403"/>
      <c r="AH94" s="323"/>
      <c r="AI94" s="423"/>
      <c r="AJ94" s="423"/>
      <c r="AK94" s="423"/>
      <c r="AL94" s="423"/>
      <c r="AM94" s="423"/>
      <c r="AN94" s="423"/>
      <c r="AO94" s="423"/>
      <c r="AP94" s="423"/>
    </row>
    <row r="95" spans="1:42" s="384" customFormat="1">
      <c r="A95" s="191"/>
      <c r="B95" s="689" t="s">
        <v>233</v>
      </c>
      <c r="C95" s="406" t="s">
        <v>308</v>
      </c>
      <c r="D95" s="405" t="s">
        <v>309</v>
      </c>
      <c r="E95" s="566"/>
      <c r="F95" s="566"/>
      <c r="G95" s="566"/>
      <c r="H95" s="566"/>
      <c r="I95" s="566"/>
      <c r="J95" s="566"/>
      <c r="K95" s="566"/>
      <c r="L95" s="566"/>
      <c r="M95" s="567">
        <f t="shared" ref="M95" si="183">N95+N95*O95%+P95</f>
        <v>417.5</v>
      </c>
      <c r="N95" s="567">
        <v>350</v>
      </c>
      <c r="O95" s="567">
        <v>5</v>
      </c>
      <c r="P95" s="567">
        <v>50</v>
      </c>
      <c r="Q95" s="402">
        <f t="shared" si="171"/>
        <v>0</v>
      </c>
      <c r="R95" s="402">
        <f t="shared" si="172"/>
        <v>0</v>
      </c>
      <c r="S95" s="402">
        <f t="shared" si="173"/>
        <v>0</v>
      </c>
      <c r="T95" s="402">
        <f t="shared" si="174"/>
        <v>0</v>
      </c>
      <c r="U95" s="402">
        <f t="shared" si="175"/>
        <v>0</v>
      </c>
      <c r="V95" s="402">
        <f t="shared" si="176"/>
        <v>0</v>
      </c>
      <c r="W95" s="402">
        <f t="shared" si="177"/>
        <v>0</v>
      </c>
      <c r="X95" s="402">
        <f t="shared" si="178"/>
        <v>0</v>
      </c>
      <c r="Y95" s="409"/>
      <c r="Z95" s="455"/>
      <c r="AA95" s="403"/>
      <c r="AB95" s="403"/>
      <c r="AC95" s="403"/>
      <c r="AD95" s="403"/>
      <c r="AE95" s="403"/>
      <c r="AF95" s="403"/>
      <c r="AG95" s="403"/>
      <c r="AH95" s="323"/>
      <c r="AI95" s="423"/>
      <c r="AJ95" s="423"/>
      <c r="AK95" s="423"/>
      <c r="AL95" s="423"/>
      <c r="AM95" s="423"/>
      <c r="AN95" s="423"/>
      <c r="AO95" s="423"/>
      <c r="AP95" s="423"/>
    </row>
    <row r="96" spans="1:42" s="384" customFormat="1">
      <c r="A96" s="191"/>
      <c r="B96" s="689" t="s">
        <v>233</v>
      </c>
      <c r="C96" s="406" t="s">
        <v>311</v>
      </c>
      <c r="D96" s="405" t="s">
        <v>309</v>
      </c>
      <c r="E96" s="566"/>
      <c r="F96" s="566"/>
      <c r="G96" s="566"/>
      <c r="H96" s="566"/>
      <c r="I96" s="566"/>
      <c r="J96" s="566"/>
      <c r="K96" s="566"/>
      <c r="L96" s="566"/>
      <c r="M96" s="567">
        <f t="shared" ref="M96:M103" si="184">N96+N96*O96%+P96</f>
        <v>415.72500000000002</v>
      </c>
      <c r="N96" s="567">
        <v>315</v>
      </c>
      <c r="O96" s="567">
        <v>1.5</v>
      </c>
      <c r="P96" s="567">
        <v>96</v>
      </c>
      <c r="Q96" s="402">
        <f t="shared" si="171"/>
        <v>0</v>
      </c>
      <c r="R96" s="402">
        <f t="shared" si="172"/>
        <v>0</v>
      </c>
      <c r="S96" s="402">
        <f t="shared" si="173"/>
        <v>0</v>
      </c>
      <c r="T96" s="402">
        <f t="shared" si="174"/>
        <v>0</v>
      </c>
      <c r="U96" s="402">
        <f t="shared" si="175"/>
        <v>0</v>
      </c>
      <c r="V96" s="402">
        <f t="shared" si="176"/>
        <v>0</v>
      </c>
      <c r="W96" s="402">
        <f t="shared" si="177"/>
        <v>0</v>
      </c>
      <c r="X96" s="402">
        <f t="shared" si="178"/>
        <v>0</v>
      </c>
      <c r="Y96" s="409"/>
      <c r="Z96" s="455"/>
      <c r="AA96" s="403"/>
      <c r="AB96" s="403"/>
      <c r="AC96" s="403"/>
      <c r="AD96" s="403"/>
      <c r="AE96" s="403"/>
      <c r="AF96" s="403"/>
      <c r="AG96" s="403"/>
      <c r="AH96" s="323"/>
      <c r="AI96" s="423"/>
      <c r="AJ96" s="423"/>
      <c r="AK96" s="423"/>
      <c r="AL96" s="423"/>
      <c r="AM96" s="423"/>
      <c r="AN96" s="423"/>
      <c r="AO96" s="423"/>
      <c r="AP96" s="423"/>
    </row>
    <row r="97" spans="1:42" ht="11.25">
      <c r="A97" s="191"/>
      <c r="B97" s="635" t="s">
        <v>136</v>
      </c>
      <c r="C97" s="636" t="s">
        <v>261</v>
      </c>
      <c r="D97" s="635"/>
      <c r="E97" s="647"/>
      <c r="F97" s="647"/>
      <c r="G97" s="647"/>
      <c r="H97" s="647"/>
      <c r="I97" s="647"/>
      <c r="J97" s="647"/>
      <c r="K97" s="647"/>
      <c r="L97" s="647"/>
      <c r="M97" s="648"/>
      <c r="N97" s="648"/>
      <c r="O97" s="648"/>
      <c r="P97" s="648"/>
      <c r="Q97" s="649"/>
      <c r="R97" s="649"/>
      <c r="S97" s="649"/>
      <c r="T97" s="649"/>
      <c r="U97" s="649"/>
      <c r="V97" s="649"/>
      <c r="W97" s="649"/>
      <c r="X97" s="649"/>
      <c r="Y97" s="640" t="s">
        <v>1860</v>
      </c>
      <c r="Z97" s="455"/>
      <c r="AA97" s="403"/>
      <c r="AB97" s="403"/>
      <c r="AC97" s="403"/>
      <c r="AD97" s="403"/>
      <c r="AE97" s="403"/>
      <c r="AF97" s="403"/>
      <c r="AG97" s="403"/>
      <c r="AH97" s="323"/>
      <c r="AI97" s="423"/>
      <c r="AJ97" s="423"/>
      <c r="AK97" s="423"/>
      <c r="AL97" s="423"/>
      <c r="AM97" s="423"/>
      <c r="AN97" s="423"/>
      <c r="AO97" s="423"/>
      <c r="AP97" s="423"/>
    </row>
    <row r="98" spans="1:42" ht="33.75">
      <c r="A98" s="191"/>
      <c r="B98" s="689">
        <v>1</v>
      </c>
      <c r="C98" s="407" t="s">
        <v>312</v>
      </c>
      <c r="D98" s="689" t="s">
        <v>231</v>
      </c>
      <c r="E98" s="566"/>
      <c r="F98" s="566"/>
      <c r="G98" s="566"/>
      <c r="H98" s="566"/>
      <c r="I98" s="566"/>
      <c r="J98" s="566"/>
      <c r="K98" s="566"/>
      <c r="L98" s="566"/>
      <c r="M98" s="567">
        <f t="shared" si="184"/>
        <v>463.71</v>
      </c>
      <c r="N98" s="567">
        <f>'附件4-8甲供材料清单'!K156</f>
        <v>373</v>
      </c>
      <c r="O98" s="567">
        <v>3</v>
      </c>
      <c r="P98" s="567">
        <v>79.52</v>
      </c>
      <c r="Q98" s="411">
        <f t="shared" si="171"/>
        <v>0</v>
      </c>
      <c r="R98" s="411">
        <f t="shared" si="172"/>
        <v>0</v>
      </c>
      <c r="S98" s="411">
        <f t="shared" si="173"/>
        <v>0</v>
      </c>
      <c r="T98" s="411">
        <f t="shared" si="174"/>
        <v>0</v>
      </c>
      <c r="U98" s="411">
        <f t="shared" si="175"/>
        <v>0</v>
      </c>
      <c r="V98" s="411">
        <f t="shared" si="176"/>
        <v>0</v>
      </c>
      <c r="W98" s="411">
        <f t="shared" si="177"/>
        <v>0</v>
      </c>
      <c r="X98" s="411">
        <f t="shared" si="178"/>
        <v>0</v>
      </c>
      <c r="Y98" s="409" t="s">
        <v>244</v>
      </c>
      <c r="Z98" s="455">
        <f t="shared" ref="Z98" si="185">Q98</f>
        <v>0</v>
      </c>
      <c r="AA98" s="403">
        <f t="shared" ref="AA98:AG102" si="186">R98</f>
        <v>0</v>
      </c>
      <c r="AB98" s="403">
        <f t="shared" si="186"/>
        <v>0</v>
      </c>
      <c r="AC98" s="403">
        <f t="shared" si="186"/>
        <v>0</v>
      </c>
      <c r="AD98" s="403">
        <f t="shared" si="186"/>
        <v>0</v>
      </c>
      <c r="AE98" s="403">
        <f t="shared" si="186"/>
        <v>0</v>
      </c>
      <c r="AF98" s="403">
        <f t="shared" si="186"/>
        <v>0</v>
      </c>
      <c r="AG98" s="403">
        <f t="shared" si="186"/>
        <v>0</v>
      </c>
      <c r="AH98" s="323"/>
      <c r="AI98" s="403">
        <f t="shared" ref="AI98" si="187">E98*$N98*(1+$O98%)</f>
        <v>0</v>
      </c>
      <c r="AJ98" s="403">
        <f t="shared" ref="AJ98:AP102" si="188">F98*$N98*(1+$O98%)</f>
        <v>0</v>
      </c>
      <c r="AK98" s="403">
        <f t="shared" si="188"/>
        <v>0</v>
      </c>
      <c r="AL98" s="403">
        <f t="shared" si="188"/>
        <v>0</v>
      </c>
      <c r="AM98" s="403">
        <f t="shared" si="188"/>
        <v>0</v>
      </c>
      <c r="AN98" s="403">
        <f t="shared" si="188"/>
        <v>0</v>
      </c>
      <c r="AO98" s="403">
        <f t="shared" si="188"/>
        <v>0</v>
      </c>
      <c r="AP98" s="403">
        <f t="shared" si="188"/>
        <v>0</v>
      </c>
    </row>
    <row r="99" spans="1:42" ht="33.75">
      <c r="A99" s="191"/>
      <c r="B99" s="689">
        <v>2</v>
      </c>
      <c r="C99" s="407" t="s">
        <v>313</v>
      </c>
      <c r="D99" s="689" t="s">
        <v>231</v>
      </c>
      <c r="E99" s="566"/>
      <c r="F99" s="566"/>
      <c r="G99" s="566"/>
      <c r="H99" s="566"/>
      <c r="I99" s="566"/>
      <c r="J99" s="566"/>
      <c r="K99" s="566"/>
      <c r="L99" s="566"/>
      <c r="M99" s="567">
        <f t="shared" si="184"/>
        <v>486.39</v>
      </c>
      <c r="N99" s="567">
        <f>'附件4-8甲供材料清单'!K156</f>
        <v>373</v>
      </c>
      <c r="O99" s="567">
        <v>3</v>
      </c>
      <c r="P99" s="567">
        <v>102.2</v>
      </c>
      <c r="Q99" s="411">
        <f t="shared" si="171"/>
        <v>0</v>
      </c>
      <c r="R99" s="411">
        <f t="shared" si="172"/>
        <v>0</v>
      </c>
      <c r="S99" s="411">
        <f t="shared" si="173"/>
        <v>0</v>
      </c>
      <c r="T99" s="411">
        <f t="shared" si="174"/>
        <v>0</v>
      </c>
      <c r="U99" s="411">
        <f t="shared" si="175"/>
        <v>0</v>
      </c>
      <c r="V99" s="411">
        <f t="shared" si="176"/>
        <v>0</v>
      </c>
      <c r="W99" s="411">
        <f t="shared" si="177"/>
        <v>0</v>
      </c>
      <c r="X99" s="411">
        <f t="shared" si="178"/>
        <v>0</v>
      </c>
      <c r="Y99" s="409" t="s">
        <v>244</v>
      </c>
      <c r="Z99" s="455">
        <f>Q99</f>
        <v>0</v>
      </c>
      <c r="AA99" s="403">
        <f t="shared" si="186"/>
        <v>0</v>
      </c>
      <c r="AB99" s="403">
        <f t="shared" si="186"/>
        <v>0</v>
      </c>
      <c r="AC99" s="403">
        <f t="shared" si="186"/>
        <v>0</v>
      </c>
      <c r="AD99" s="403">
        <f t="shared" si="186"/>
        <v>0</v>
      </c>
      <c r="AE99" s="403">
        <f t="shared" si="186"/>
        <v>0</v>
      </c>
      <c r="AF99" s="403">
        <f t="shared" si="186"/>
        <v>0</v>
      </c>
      <c r="AG99" s="403">
        <f t="shared" si="186"/>
        <v>0</v>
      </c>
      <c r="AH99" s="323"/>
      <c r="AI99" s="403">
        <f>E99*$N99*(1+$O99%)</f>
        <v>0</v>
      </c>
      <c r="AJ99" s="403">
        <f t="shared" si="188"/>
        <v>0</v>
      </c>
      <c r="AK99" s="403">
        <f t="shared" si="188"/>
        <v>0</v>
      </c>
      <c r="AL99" s="403">
        <f t="shared" si="188"/>
        <v>0</v>
      </c>
      <c r="AM99" s="403">
        <f t="shared" si="188"/>
        <v>0</v>
      </c>
      <c r="AN99" s="403">
        <f t="shared" si="188"/>
        <v>0</v>
      </c>
      <c r="AO99" s="403">
        <f t="shared" si="188"/>
        <v>0</v>
      </c>
      <c r="AP99" s="403">
        <f t="shared" si="188"/>
        <v>0</v>
      </c>
    </row>
    <row r="100" spans="1:42" ht="22.5">
      <c r="A100" s="191"/>
      <c r="B100" s="689">
        <v>3</v>
      </c>
      <c r="C100" s="407" t="s">
        <v>274</v>
      </c>
      <c r="D100" s="689" t="s">
        <v>235</v>
      </c>
      <c r="E100" s="566"/>
      <c r="F100" s="566"/>
      <c r="G100" s="566"/>
      <c r="H100" s="566"/>
      <c r="I100" s="566"/>
      <c r="J100" s="566"/>
      <c r="K100" s="566"/>
      <c r="L100" s="566"/>
      <c r="M100" s="567">
        <f t="shared" si="184"/>
        <v>30</v>
      </c>
      <c r="N100" s="567">
        <f>'附件4-8甲供材料清单'!K157</f>
        <v>30</v>
      </c>
      <c r="O100" s="567"/>
      <c r="P100" s="567"/>
      <c r="Q100" s="411">
        <f t="shared" si="171"/>
        <v>0</v>
      </c>
      <c r="R100" s="411">
        <f t="shared" si="172"/>
        <v>0</v>
      </c>
      <c r="S100" s="411">
        <f t="shared" si="173"/>
        <v>0</v>
      </c>
      <c r="T100" s="411">
        <f t="shared" si="174"/>
        <v>0</v>
      </c>
      <c r="U100" s="411">
        <f t="shared" si="175"/>
        <v>0</v>
      </c>
      <c r="V100" s="411">
        <f t="shared" si="176"/>
        <v>0</v>
      </c>
      <c r="W100" s="411">
        <f t="shared" si="177"/>
        <v>0</v>
      </c>
      <c r="X100" s="411">
        <f t="shared" si="178"/>
        <v>0</v>
      </c>
      <c r="Y100" s="409" t="s">
        <v>244</v>
      </c>
      <c r="Z100" s="455">
        <f>Q100</f>
        <v>0</v>
      </c>
      <c r="AA100" s="403">
        <f t="shared" si="186"/>
        <v>0</v>
      </c>
      <c r="AB100" s="403">
        <f t="shared" si="186"/>
        <v>0</v>
      </c>
      <c r="AC100" s="403">
        <f t="shared" si="186"/>
        <v>0</v>
      </c>
      <c r="AD100" s="403">
        <f t="shared" si="186"/>
        <v>0</v>
      </c>
      <c r="AE100" s="403">
        <f t="shared" si="186"/>
        <v>0</v>
      </c>
      <c r="AF100" s="403">
        <f t="shared" si="186"/>
        <v>0</v>
      </c>
      <c r="AG100" s="403">
        <f t="shared" si="186"/>
        <v>0</v>
      </c>
      <c r="AH100" s="323"/>
      <c r="AI100" s="403">
        <f>E100*$N100*(1+$O100%)</f>
        <v>0</v>
      </c>
      <c r="AJ100" s="403">
        <f t="shared" si="188"/>
        <v>0</v>
      </c>
      <c r="AK100" s="403">
        <f t="shared" si="188"/>
        <v>0</v>
      </c>
      <c r="AL100" s="403">
        <f t="shared" si="188"/>
        <v>0</v>
      </c>
      <c r="AM100" s="403">
        <f t="shared" si="188"/>
        <v>0</v>
      </c>
      <c r="AN100" s="403">
        <f t="shared" si="188"/>
        <v>0</v>
      </c>
      <c r="AO100" s="403">
        <f t="shared" si="188"/>
        <v>0</v>
      </c>
      <c r="AP100" s="403">
        <f t="shared" si="188"/>
        <v>0</v>
      </c>
    </row>
    <row r="101" spans="1:42" ht="22.5">
      <c r="A101" s="191"/>
      <c r="B101" s="689">
        <v>4</v>
      </c>
      <c r="C101" s="407" t="s">
        <v>275</v>
      </c>
      <c r="D101" s="689" t="s">
        <v>235</v>
      </c>
      <c r="E101" s="566"/>
      <c r="F101" s="566"/>
      <c r="G101" s="566"/>
      <c r="H101" s="566"/>
      <c r="I101" s="566"/>
      <c r="J101" s="566"/>
      <c r="K101" s="566"/>
      <c r="L101" s="566"/>
      <c r="M101" s="567">
        <f t="shared" si="184"/>
        <v>193.86</v>
      </c>
      <c r="N101" s="567">
        <f>'附件4-8甲供材料清单'!K166</f>
        <v>162</v>
      </c>
      <c r="O101" s="567">
        <v>1</v>
      </c>
      <c r="P101" s="567">
        <v>30.24</v>
      </c>
      <c r="Q101" s="411">
        <f t="shared" si="171"/>
        <v>0</v>
      </c>
      <c r="R101" s="411">
        <f t="shared" si="172"/>
        <v>0</v>
      </c>
      <c r="S101" s="411">
        <f t="shared" si="173"/>
        <v>0</v>
      </c>
      <c r="T101" s="411">
        <f t="shared" si="174"/>
        <v>0</v>
      </c>
      <c r="U101" s="411">
        <f t="shared" si="175"/>
        <v>0</v>
      </c>
      <c r="V101" s="411">
        <f t="shared" si="176"/>
        <v>0</v>
      </c>
      <c r="W101" s="411">
        <f t="shared" si="177"/>
        <v>0</v>
      </c>
      <c r="X101" s="411">
        <f t="shared" si="178"/>
        <v>0</v>
      </c>
      <c r="Y101" s="409" t="s">
        <v>244</v>
      </c>
      <c r="Z101" s="455">
        <f>Q101</f>
        <v>0</v>
      </c>
      <c r="AA101" s="403">
        <f t="shared" si="186"/>
        <v>0</v>
      </c>
      <c r="AB101" s="403">
        <f t="shared" si="186"/>
        <v>0</v>
      </c>
      <c r="AC101" s="403">
        <f t="shared" si="186"/>
        <v>0</v>
      </c>
      <c r="AD101" s="403">
        <f t="shared" si="186"/>
        <v>0</v>
      </c>
      <c r="AE101" s="403">
        <f t="shared" si="186"/>
        <v>0</v>
      </c>
      <c r="AF101" s="403">
        <f t="shared" si="186"/>
        <v>0</v>
      </c>
      <c r="AG101" s="403">
        <f t="shared" si="186"/>
        <v>0</v>
      </c>
      <c r="AH101" s="323"/>
      <c r="AI101" s="403">
        <f>E101*$N101*(1+$O101%)</f>
        <v>0</v>
      </c>
      <c r="AJ101" s="403">
        <f t="shared" si="188"/>
        <v>0</v>
      </c>
      <c r="AK101" s="403">
        <f t="shared" si="188"/>
        <v>0</v>
      </c>
      <c r="AL101" s="403">
        <f t="shared" si="188"/>
        <v>0</v>
      </c>
      <c r="AM101" s="403">
        <f t="shared" si="188"/>
        <v>0</v>
      </c>
      <c r="AN101" s="403">
        <f t="shared" si="188"/>
        <v>0</v>
      </c>
      <c r="AO101" s="403">
        <f t="shared" si="188"/>
        <v>0</v>
      </c>
      <c r="AP101" s="403">
        <f t="shared" si="188"/>
        <v>0</v>
      </c>
    </row>
    <row r="102" spans="1:42" ht="22.5">
      <c r="A102" s="191"/>
      <c r="B102" s="689">
        <v>5</v>
      </c>
      <c r="C102" s="407" t="s">
        <v>314</v>
      </c>
      <c r="D102" s="689" t="s">
        <v>231</v>
      </c>
      <c r="E102" s="566">
        <f>A单元!$S$48</f>
        <v>15.190432000000001</v>
      </c>
      <c r="F102" s="566">
        <f>C单元!$S$48</f>
        <v>13.772432</v>
      </c>
      <c r="G102" s="566">
        <f>B单元!$S$48</f>
        <v>19.396932000000003</v>
      </c>
      <c r="H102" s="566">
        <f>F单元!$S$48</f>
        <v>13.186432000000002</v>
      </c>
      <c r="I102" s="566">
        <f>H单元!S48</f>
        <v>17.339431999999999</v>
      </c>
      <c r="J102" s="566">
        <f>'D单元 '!S48</f>
        <v>18.076432</v>
      </c>
      <c r="K102" s="566">
        <f>I单元!$S$48</f>
        <v>20.672431999999997</v>
      </c>
      <c r="L102" s="566">
        <f>E单元!$S$48</f>
        <v>19.418431999999999</v>
      </c>
      <c r="M102" s="567">
        <f t="shared" si="184"/>
        <v>96.706666666666678</v>
      </c>
      <c r="N102" s="567">
        <f>'附件4-8甲供材料清单'!M15</f>
        <v>40.666666666666671</v>
      </c>
      <c r="O102" s="567">
        <v>6</v>
      </c>
      <c r="P102" s="567">
        <v>53.6</v>
      </c>
      <c r="Q102" s="411">
        <f t="shared" si="171"/>
        <v>1469.016043946667</v>
      </c>
      <c r="R102" s="411">
        <f t="shared" si="172"/>
        <v>1331.8859906133334</v>
      </c>
      <c r="S102" s="411">
        <f t="shared" si="173"/>
        <v>1875.8126372800004</v>
      </c>
      <c r="T102" s="411">
        <f t="shared" si="174"/>
        <v>1275.215883946667</v>
      </c>
      <c r="U102" s="411">
        <f t="shared" si="175"/>
        <v>1676.8386706133333</v>
      </c>
      <c r="V102" s="411">
        <f t="shared" si="176"/>
        <v>1748.111483946667</v>
      </c>
      <c r="W102" s="411">
        <f t="shared" si="177"/>
        <v>1999.1619906133333</v>
      </c>
      <c r="X102" s="411">
        <f t="shared" si="178"/>
        <v>1877.8918306133335</v>
      </c>
      <c r="Y102" s="409" t="s">
        <v>244</v>
      </c>
      <c r="Z102" s="455">
        <f>Q102</f>
        <v>1469.016043946667</v>
      </c>
      <c r="AA102" s="403">
        <f t="shared" si="186"/>
        <v>1331.8859906133334</v>
      </c>
      <c r="AB102" s="403">
        <f t="shared" si="186"/>
        <v>1875.8126372800004</v>
      </c>
      <c r="AC102" s="403">
        <f t="shared" si="186"/>
        <v>1275.215883946667</v>
      </c>
      <c r="AD102" s="403">
        <f t="shared" si="186"/>
        <v>1676.8386706133333</v>
      </c>
      <c r="AE102" s="403">
        <f t="shared" si="186"/>
        <v>1748.111483946667</v>
      </c>
      <c r="AF102" s="403">
        <f t="shared" si="186"/>
        <v>1999.1619906133333</v>
      </c>
      <c r="AG102" s="403">
        <f t="shared" si="186"/>
        <v>1877.8918306133335</v>
      </c>
      <c r="AH102" s="323"/>
      <c r="AI102" s="403">
        <f>E102*$N102*(1+$O102%)</f>
        <v>654.80888874666687</v>
      </c>
      <c r="AJ102" s="403">
        <f t="shared" si="188"/>
        <v>593.68363541333349</v>
      </c>
      <c r="AK102" s="403">
        <f t="shared" si="188"/>
        <v>836.13708208000037</v>
      </c>
      <c r="AL102" s="403">
        <f t="shared" si="188"/>
        <v>568.42312874666686</v>
      </c>
      <c r="AM102" s="403">
        <f t="shared" si="188"/>
        <v>747.4451154133335</v>
      </c>
      <c r="AN102" s="403">
        <f t="shared" si="188"/>
        <v>779.21472874666688</v>
      </c>
      <c r="AO102" s="403">
        <f t="shared" si="188"/>
        <v>891.11963541333341</v>
      </c>
      <c r="AP102" s="403">
        <f t="shared" si="188"/>
        <v>837.06387541333334</v>
      </c>
    </row>
    <row r="103" spans="1:42" ht="33.75">
      <c r="A103" s="191"/>
      <c r="B103" s="689">
        <v>6</v>
      </c>
      <c r="C103" s="407" t="s">
        <v>315</v>
      </c>
      <c r="D103" s="689" t="s">
        <v>235</v>
      </c>
      <c r="E103" s="566">
        <f>A单元!$L$48</f>
        <v>1.05</v>
      </c>
      <c r="F103" s="566">
        <f>C单元!$L$48</f>
        <v>1.05</v>
      </c>
      <c r="G103" s="566">
        <f>B单元!$L$48</f>
        <v>1.49</v>
      </c>
      <c r="H103" s="566">
        <f>F单元!$L$48</f>
        <v>1.05</v>
      </c>
      <c r="I103" s="566">
        <f>H单元!L48</f>
        <v>0.55000000000000004</v>
      </c>
      <c r="J103" s="566">
        <f>'D单元 '!L48</f>
        <v>0.99</v>
      </c>
      <c r="K103" s="566">
        <f>H单元!$L$48</f>
        <v>0.55000000000000004</v>
      </c>
      <c r="L103" s="566">
        <f>E单元!$L$48</f>
        <v>1.1000000000000001</v>
      </c>
      <c r="M103" s="567">
        <f t="shared" si="184"/>
        <v>900</v>
      </c>
      <c r="N103" s="567">
        <f>'附件4-8甲供材料清单'!K71</f>
        <v>900</v>
      </c>
      <c r="O103" s="567"/>
      <c r="P103" s="567"/>
      <c r="Q103" s="411">
        <f t="shared" si="171"/>
        <v>945</v>
      </c>
      <c r="R103" s="411">
        <f t="shared" si="172"/>
        <v>945</v>
      </c>
      <c r="S103" s="411">
        <f t="shared" si="173"/>
        <v>1341</v>
      </c>
      <c r="T103" s="411">
        <f t="shared" si="174"/>
        <v>945</v>
      </c>
      <c r="U103" s="411">
        <f t="shared" si="175"/>
        <v>495.00000000000006</v>
      </c>
      <c r="V103" s="411">
        <f t="shared" si="176"/>
        <v>891</v>
      </c>
      <c r="W103" s="411">
        <f t="shared" si="177"/>
        <v>495.00000000000006</v>
      </c>
      <c r="X103" s="411">
        <f t="shared" si="178"/>
        <v>990.00000000000011</v>
      </c>
      <c r="Y103" s="409" t="s">
        <v>316</v>
      </c>
      <c r="Z103" s="455"/>
      <c r="AA103" s="403"/>
      <c r="AB103" s="403"/>
      <c r="AC103" s="403"/>
      <c r="AD103" s="403"/>
      <c r="AE103" s="403"/>
      <c r="AF103" s="403"/>
      <c r="AG103" s="403"/>
      <c r="AH103" s="323"/>
      <c r="AI103" s="403"/>
      <c r="AJ103" s="403"/>
      <c r="AK103" s="403"/>
      <c r="AL103" s="403"/>
      <c r="AM103" s="403"/>
      <c r="AN103" s="403"/>
      <c r="AO103" s="403"/>
      <c r="AP103" s="403"/>
    </row>
    <row r="104" spans="1:42" s="384" customFormat="1" ht="27.4" customHeight="1">
      <c r="A104" s="191" t="s">
        <v>317</v>
      </c>
      <c r="B104" s="689" t="s">
        <v>278</v>
      </c>
      <c r="C104" s="414" t="s">
        <v>318</v>
      </c>
      <c r="D104" s="689" t="s">
        <v>231</v>
      </c>
      <c r="E104" s="566"/>
      <c r="F104" s="566"/>
      <c r="G104" s="566"/>
      <c r="H104" s="566"/>
      <c r="I104" s="566"/>
      <c r="J104" s="566"/>
      <c r="K104" s="566"/>
      <c r="L104" s="566"/>
      <c r="M104" s="567">
        <f t="shared" ref="M104" si="189">N104+N104*O104%+P104</f>
        <v>271.52</v>
      </c>
      <c r="N104" s="567">
        <v>70</v>
      </c>
      <c r="O104" s="567">
        <v>10</v>
      </c>
      <c r="P104" s="567">
        <v>194.52</v>
      </c>
      <c r="Q104" s="402">
        <f t="shared" ref="Q104" si="190">E104*$M104</f>
        <v>0</v>
      </c>
      <c r="R104" s="402">
        <f t="shared" ref="R104" si="191">F104*$M104</f>
        <v>0</v>
      </c>
      <c r="S104" s="402">
        <f t="shared" ref="S104" si="192">G104*$M104</f>
        <v>0</v>
      </c>
      <c r="T104" s="402">
        <f t="shared" ref="T104" si="193">H104*$M104</f>
        <v>0</v>
      </c>
      <c r="U104" s="402">
        <f t="shared" ref="U104" si="194">I104*$M104</f>
        <v>0</v>
      </c>
      <c r="V104" s="402">
        <f t="shared" ref="V104" si="195">J104*$M104</f>
        <v>0</v>
      </c>
      <c r="W104" s="402">
        <f t="shared" ref="W104" si="196">K104*$M104</f>
        <v>0</v>
      </c>
      <c r="X104" s="402">
        <f t="shared" ref="X104" si="197">L104*$M104</f>
        <v>0</v>
      </c>
      <c r="Y104" s="409"/>
      <c r="Z104" s="455"/>
      <c r="AA104" s="403"/>
      <c r="AB104" s="403"/>
      <c r="AC104" s="403"/>
      <c r="AD104" s="403"/>
      <c r="AE104" s="403"/>
      <c r="AF104" s="403"/>
      <c r="AG104" s="403"/>
      <c r="AH104" s="323"/>
      <c r="AI104" s="423"/>
      <c r="AJ104" s="423"/>
      <c r="AK104" s="423"/>
      <c r="AL104" s="423"/>
      <c r="AM104" s="423"/>
      <c r="AN104" s="423"/>
      <c r="AO104" s="423"/>
      <c r="AP104" s="423"/>
    </row>
    <row r="105" spans="1:42" ht="56.25">
      <c r="A105" s="191"/>
      <c r="B105" s="689">
        <v>7</v>
      </c>
      <c r="C105" s="414" t="s">
        <v>319</v>
      </c>
      <c r="D105" s="689" t="s">
        <v>320</v>
      </c>
      <c r="E105" s="566">
        <v>0</v>
      </c>
      <c r="F105" s="566">
        <v>0</v>
      </c>
      <c r="G105" s="566">
        <v>0</v>
      </c>
      <c r="H105" s="566">
        <v>0</v>
      </c>
      <c r="I105" s="566">
        <v>1</v>
      </c>
      <c r="J105" s="566">
        <v>0</v>
      </c>
      <c r="K105" s="566">
        <v>0</v>
      </c>
      <c r="L105" s="566">
        <v>0</v>
      </c>
      <c r="M105" s="567">
        <f t="shared" ref="M105:M122" si="198">N105+N105*O105%+P105</f>
        <v>629.28899999999999</v>
      </c>
      <c r="N105" s="567">
        <f>'附件4-8甲供材料清单'!K133</f>
        <v>414</v>
      </c>
      <c r="O105" s="567">
        <v>2</v>
      </c>
      <c r="P105" s="567">
        <f>243.54*0.85</f>
        <v>207.00899999999999</v>
      </c>
      <c r="Q105" s="411">
        <f t="shared" ref="Q105:Q122" si="199">E105*$M105</f>
        <v>0</v>
      </c>
      <c r="R105" s="411">
        <f t="shared" ref="R105:R122" si="200">F105*$M105</f>
        <v>0</v>
      </c>
      <c r="S105" s="411">
        <f t="shared" ref="S105:S122" si="201">G105*$M105</f>
        <v>0</v>
      </c>
      <c r="T105" s="411">
        <f t="shared" ref="T105:T122" si="202">H105*$M105</f>
        <v>0</v>
      </c>
      <c r="U105" s="411">
        <f t="shared" ref="U105:U122" si="203">I105*$M105</f>
        <v>629.28899999999999</v>
      </c>
      <c r="V105" s="411">
        <f t="shared" ref="V105:V122" si="204">J105*$M105</f>
        <v>0</v>
      </c>
      <c r="W105" s="411">
        <f t="shared" ref="W105:W122" si="205">K105*$M105</f>
        <v>0</v>
      </c>
      <c r="X105" s="411">
        <f t="shared" ref="X105:X122" si="206">L105*$M105</f>
        <v>0</v>
      </c>
      <c r="Y105" s="409" t="s">
        <v>244</v>
      </c>
      <c r="Z105" s="455">
        <f t="shared" ref="Z105" si="207">Q105</f>
        <v>0</v>
      </c>
      <c r="AA105" s="403">
        <f t="shared" ref="AA105" si="208">R105</f>
        <v>0</v>
      </c>
      <c r="AB105" s="403">
        <f t="shared" ref="AB105" si="209">S105</f>
        <v>0</v>
      </c>
      <c r="AC105" s="403">
        <f t="shared" ref="AC105" si="210">T105</f>
        <v>0</v>
      </c>
      <c r="AD105" s="403">
        <f t="shared" ref="AD105" si="211">U105</f>
        <v>629.28899999999999</v>
      </c>
      <c r="AE105" s="403">
        <f t="shared" ref="AE105" si="212">V105</f>
        <v>0</v>
      </c>
      <c r="AF105" s="403">
        <f t="shared" ref="AF105" si="213">W105</f>
        <v>0</v>
      </c>
      <c r="AG105" s="403">
        <f t="shared" ref="AG105" si="214">X105</f>
        <v>0</v>
      </c>
      <c r="AH105" s="323"/>
      <c r="AI105" s="403">
        <f t="shared" ref="AI105" si="215">E105*$N105*(1+$O105%)</f>
        <v>0</v>
      </c>
      <c r="AJ105" s="403">
        <f t="shared" ref="AJ105" si="216">F105*$N105*(1+$O105%)</f>
        <v>0</v>
      </c>
      <c r="AK105" s="403">
        <f t="shared" ref="AK105" si="217">G105*$N105*(1+$O105%)</f>
        <v>0</v>
      </c>
      <c r="AL105" s="403">
        <f t="shared" ref="AL105" si="218">H105*$N105*(1+$O105%)</f>
        <v>0</v>
      </c>
      <c r="AM105" s="403">
        <f t="shared" ref="AM105" si="219">I105*$N105*(1+$O105%)</f>
        <v>422.28000000000003</v>
      </c>
      <c r="AN105" s="403">
        <f t="shared" ref="AN105" si="220">J105*$N105*(1+$O105%)</f>
        <v>0</v>
      </c>
      <c r="AO105" s="403">
        <f t="shared" ref="AO105" si="221">K105*$N105*(1+$O105%)</f>
        <v>0</v>
      </c>
      <c r="AP105" s="403">
        <f t="shared" ref="AP105" si="222">L105*$N105*(1+$O105%)</f>
        <v>0</v>
      </c>
    </row>
    <row r="106" spans="1:42" ht="56.25">
      <c r="A106" s="191"/>
      <c r="B106" s="689">
        <v>8</v>
      </c>
      <c r="C106" s="414" t="s">
        <v>321</v>
      </c>
      <c r="D106" s="689" t="s">
        <v>320</v>
      </c>
      <c r="E106" s="566"/>
      <c r="F106" s="566"/>
      <c r="G106" s="566"/>
      <c r="H106" s="566"/>
      <c r="I106" s="566"/>
      <c r="J106" s="566"/>
      <c r="K106" s="566"/>
      <c r="L106" s="566"/>
      <c r="M106" s="567">
        <f t="shared" si="198"/>
        <v>680.16300000000001</v>
      </c>
      <c r="N106" s="567">
        <f>'附件4-8甲供材料清单'!K134</f>
        <v>440</v>
      </c>
      <c r="O106" s="567">
        <v>2</v>
      </c>
      <c r="P106" s="567">
        <f>243.54*0.95</f>
        <v>231.36299999999997</v>
      </c>
      <c r="Q106" s="411">
        <f t="shared" si="199"/>
        <v>0</v>
      </c>
      <c r="R106" s="411">
        <f t="shared" si="200"/>
        <v>0</v>
      </c>
      <c r="S106" s="411">
        <f t="shared" si="201"/>
        <v>0</v>
      </c>
      <c r="T106" s="411">
        <f t="shared" si="202"/>
        <v>0</v>
      </c>
      <c r="U106" s="411">
        <f t="shared" si="203"/>
        <v>0</v>
      </c>
      <c r="V106" s="411">
        <f t="shared" si="204"/>
        <v>0</v>
      </c>
      <c r="W106" s="411">
        <f t="shared" si="205"/>
        <v>0</v>
      </c>
      <c r="X106" s="411">
        <f t="shared" si="206"/>
        <v>0</v>
      </c>
      <c r="Y106" s="409" t="s">
        <v>244</v>
      </c>
      <c r="Z106" s="455">
        <f t="shared" ref="Z106:AG113" si="223">Q106</f>
        <v>0</v>
      </c>
      <c r="AA106" s="403">
        <f t="shared" si="223"/>
        <v>0</v>
      </c>
      <c r="AB106" s="403">
        <f t="shared" si="223"/>
        <v>0</v>
      </c>
      <c r="AC106" s="403">
        <f t="shared" si="223"/>
        <v>0</v>
      </c>
      <c r="AD106" s="403">
        <f t="shared" si="223"/>
        <v>0</v>
      </c>
      <c r="AE106" s="403">
        <f t="shared" si="223"/>
        <v>0</v>
      </c>
      <c r="AF106" s="403">
        <f t="shared" si="223"/>
        <v>0</v>
      </c>
      <c r="AG106" s="403">
        <f t="shared" si="223"/>
        <v>0</v>
      </c>
      <c r="AH106" s="323"/>
      <c r="AI106" s="403">
        <f t="shared" ref="AI106:AP113" si="224">E106*$N106*(1+$O106%)</f>
        <v>0</v>
      </c>
      <c r="AJ106" s="403">
        <f t="shared" si="224"/>
        <v>0</v>
      </c>
      <c r="AK106" s="403">
        <f t="shared" si="224"/>
        <v>0</v>
      </c>
      <c r="AL106" s="403">
        <f t="shared" si="224"/>
        <v>0</v>
      </c>
      <c r="AM106" s="403">
        <f t="shared" si="224"/>
        <v>0</v>
      </c>
      <c r="AN106" s="403">
        <f t="shared" si="224"/>
        <v>0</v>
      </c>
      <c r="AO106" s="403">
        <f t="shared" si="224"/>
        <v>0</v>
      </c>
      <c r="AP106" s="403">
        <f t="shared" si="224"/>
        <v>0</v>
      </c>
    </row>
    <row r="107" spans="1:42" ht="56.25">
      <c r="A107" s="191"/>
      <c r="B107" s="689">
        <v>9</v>
      </c>
      <c r="C107" s="414" t="s">
        <v>322</v>
      </c>
      <c r="D107" s="689" t="s">
        <v>320</v>
      </c>
      <c r="E107" s="566"/>
      <c r="F107" s="566"/>
      <c r="G107" s="566"/>
      <c r="H107" s="566"/>
      <c r="I107" s="566"/>
      <c r="J107" s="566"/>
      <c r="K107" s="566"/>
      <c r="L107" s="566"/>
      <c r="M107" s="567">
        <f t="shared" si="198"/>
        <v>730.01700000000005</v>
      </c>
      <c r="N107" s="567">
        <f>'附件4-8甲供材料清单'!K135</f>
        <v>465</v>
      </c>
      <c r="O107" s="567">
        <v>2</v>
      </c>
      <c r="P107" s="567">
        <f>243.54*1.05</f>
        <v>255.71700000000001</v>
      </c>
      <c r="Q107" s="411">
        <f t="shared" si="199"/>
        <v>0</v>
      </c>
      <c r="R107" s="411">
        <f t="shared" si="200"/>
        <v>0</v>
      </c>
      <c r="S107" s="411">
        <f t="shared" si="201"/>
        <v>0</v>
      </c>
      <c r="T107" s="411">
        <f t="shared" si="202"/>
        <v>0</v>
      </c>
      <c r="U107" s="411">
        <f t="shared" si="203"/>
        <v>0</v>
      </c>
      <c r="V107" s="411">
        <f t="shared" si="204"/>
        <v>0</v>
      </c>
      <c r="W107" s="411">
        <f t="shared" si="205"/>
        <v>0</v>
      </c>
      <c r="X107" s="411">
        <f t="shared" si="206"/>
        <v>0</v>
      </c>
      <c r="Y107" s="409" t="s">
        <v>244</v>
      </c>
      <c r="Z107" s="455">
        <f t="shared" si="223"/>
        <v>0</v>
      </c>
      <c r="AA107" s="403">
        <f t="shared" si="223"/>
        <v>0</v>
      </c>
      <c r="AB107" s="403">
        <f t="shared" si="223"/>
        <v>0</v>
      </c>
      <c r="AC107" s="403">
        <f t="shared" si="223"/>
        <v>0</v>
      </c>
      <c r="AD107" s="403">
        <f t="shared" si="223"/>
        <v>0</v>
      </c>
      <c r="AE107" s="403">
        <f t="shared" si="223"/>
        <v>0</v>
      </c>
      <c r="AF107" s="403">
        <f t="shared" si="223"/>
        <v>0</v>
      </c>
      <c r="AG107" s="403">
        <f t="shared" si="223"/>
        <v>0</v>
      </c>
      <c r="AH107" s="323"/>
      <c r="AI107" s="403">
        <f t="shared" si="224"/>
        <v>0</v>
      </c>
      <c r="AJ107" s="403">
        <f t="shared" si="224"/>
        <v>0</v>
      </c>
      <c r="AK107" s="403">
        <f t="shared" si="224"/>
        <v>0</v>
      </c>
      <c r="AL107" s="403">
        <f t="shared" si="224"/>
        <v>0</v>
      </c>
      <c r="AM107" s="403">
        <f t="shared" si="224"/>
        <v>0</v>
      </c>
      <c r="AN107" s="403">
        <f t="shared" si="224"/>
        <v>0</v>
      </c>
      <c r="AO107" s="403">
        <f t="shared" si="224"/>
        <v>0</v>
      </c>
      <c r="AP107" s="403">
        <f t="shared" si="224"/>
        <v>0</v>
      </c>
    </row>
    <row r="108" spans="1:42" ht="56.25">
      <c r="A108" s="191"/>
      <c r="B108" s="689">
        <v>10</v>
      </c>
      <c r="C108" s="414" t="s">
        <v>323</v>
      </c>
      <c r="D108" s="689" t="s">
        <v>320</v>
      </c>
      <c r="E108" s="566"/>
      <c r="F108" s="566"/>
      <c r="G108" s="566"/>
      <c r="H108" s="566"/>
      <c r="I108" s="566"/>
      <c r="J108" s="566"/>
      <c r="K108" s="566"/>
      <c r="L108" s="566"/>
      <c r="M108" s="567">
        <f t="shared" si="198"/>
        <v>561.96899999999994</v>
      </c>
      <c r="N108" s="567">
        <f>'附件4-8甲供材料清单'!K136</f>
        <v>348</v>
      </c>
      <c r="O108" s="567">
        <v>2</v>
      </c>
      <c r="P108" s="567">
        <f>243.54*0.85</f>
        <v>207.00899999999999</v>
      </c>
      <c r="Q108" s="411">
        <f t="shared" si="199"/>
        <v>0</v>
      </c>
      <c r="R108" s="411">
        <f t="shared" si="200"/>
        <v>0</v>
      </c>
      <c r="S108" s="411">
        <f t="shared" si="201"/>
        <v>0</v>
      </c>
      <c r="T108" s="411">
        <f t="shared" si="202"/>
        <v>0</v>
      </c>
      <c r="U108" s="411">
        <f t="shared" si="203"/>
        <v>0</v>
      </c>
      <c r="V108" s="411">
        <f t="shared" si="204"/>
        <v>0</v>
      </c>
      <c r="W108" s="411">
        <f t="shared" si="205"/>
        <v>0</v>
      </c>
      <c r="X108" s="411">
        <f t="shared" si="206"/>
        <v>0</v>
      </c>
      <c r="Y108" s="409" t="s">
        <v>244</v>
      </c>
      <c r="Z108" s="455">
        <f t="shared" si="223"/>
        <v>0</v>
      </c>
      <c r="AA108" s="403">
        <f t="shared" si="223"/>
        <v>0</v>
      </c>
      <c r="AB108" s="403">
        <f t="shared" si="223"/>
        <v>0</v>
      </c>
      <c r="AC108" s="403">
        <f t="shared" si="223"/>
        <v>0</v>
      </c>
      <c r="AD108" s="403">
        <f t="shared" si="223"/>
        <v>0</v>
      </c>
      <c r="AE108" s="403">
        <f t="shared" si="223"/>
        <v>0</v>
      </c>
      <c r="AF108" s="403">
        <f t="shared" si="223"/>
        <v>0</v>
      </c>
      <c r="AG108" s="403">
        <f t="shared" si="223"/>
        <v>0</v>
      </c>
      <c r="AH108" s="323"/>
      <c r="AI108" s="403">
        <f t="shared" si="224"/>
        <v>0</v>
      </c>
      <c r="AJ108" s="403">
        <f t="shared" si="224"/>
        <v>0</v>
      </c>
      <c r="AK108" s="403">
        <f t="shared" si="224"/>
        <v>0</v>
      </c>
      <c r="AL108" s="403">
        <f t="shared" si="224"/>
        <v>0</v>
      </c>
      <c r="AM108" s="403">
        <f t="shared" si="224"/>
        <v>0</v>
      </c>
      <c r="AN108" s="403">
        <f t="shared" si="224"/>
        <v>0</v>
      </c>
      <c r="AO108" s="403">
        <f t="shared" si="224"/>
        <v>0</v>
      </c>
      <c r="AP108" s="403">
        <f t="shared" si="224"/>
        <v>0</v>
      </c>
    </row>
    <row r="109" spans="1:42" ht="56.25">
      <c r="A109" s="191"/>
      <c r="B109" s="689">
        <v>11</v>
      </c>
      <c r="C109" s="414" t="s">
        <v>324</v>
      </c>
      <c r="D109" s="689" t="s">
        <v>320</v>
      </c>
      <c r="E109" s="566"/>
      <c r="F109" s="566"/>
      <c r="G109" s="566"/>
      <c r="H109" s="566"/>
      <c r="I109" s="566"/>
      <c r="J109" s="566"/>
      <c r="K109" s="566"/>
      <c r="L109" s="566"/>
      <c r="M109" s="567">
        <f t="shared" si="198"/>
        <v>609.78300000000002</v>
      </c>
      <c r="N109" s="567">
        <f>'附件4-8甲供材料清单'!K137</f>
        <v>371</v>
      </c>
      <c r="O109" s="567">
        <v>2</v>
      </c>
      <c r="P109" s="567">
        <f>243.54*0.95</f>
        <v>231.36299999999997</v>
      </c>
      <c r="Q109" s="411">
        <f t="shared" si="199"/>
        <v>0</v>
      </c>
      <c r="R109" s="411">
        <f t="shared" si="200"/>
        <v>0</v>
      </c>
      <c r="S109" s="411">
        <f t="shared" si="201"/>
        <v>0</v>
      </c>
      <c r="T109" s="411">
        <f t="shared" si="202"/>
        <v>0</v>
      </c>
      <c r="U109" s="411">
        <f t="shared" si="203"/>
        <v>0</v>
      </c>
      <c r="V109" s="411">
        <f t="shared" si="204"/>
        <v>0</v>
      </c>
      <c r="W109" s="411">
        <f t="shared" si="205"/>
        <v>0</v>
      </c>
      <c r="X109" s="411">
        <f t="shared" si="206"/>
        <v>0</v>
      </c>
      <c r="Y109" s="409" t="s">
        <v>244</v>
      </c>
      <c r="Z109" s="455">
        <f t="shared" si="223"/>
        <v>0</v>
      </c>
      <c r="AA109" s="403">
        <f t="shared" si="223"/>
        <v>0</v>
      </c>
      <c r="AB109" s="403">
        <f t="shared" si="223"/>
        <v>0</v>
      </c>
      <c r="AC109" s="403">
        <f t="shared" si="223"/>
        <v>0</v>
      </c>
      <c r="AD109" s="403">
        <f t="shared" si="223"/>
        <v>0</v>
      </c>
      <c r="AE109" s="403">
        <f t="shared" si="223"/>
        <v>0</v>
      </c>
      <c r="AF109" s="403">
        <f t="shared" si="223"/>
        <v>0</v>
      </c>
      <c r="AG109" s="403">
        <f t="shared" si="223"/>
        <v>0</v>
      </c>
      <c r="AH109" s="323"/>
      <c r="AI109" s="403">
        <f t="shared" si="224"/>
        <v>0</v>
      </c>
      <c r="AJ109" s="403">
        <f t="shared" si="224"/>
        <v>0</v>
      </c>
      <c r="AK109" s="403">
        <f t="shared" si="224"/>
        <v>0</v>
      </c>
      <c r="AL109" s="403">
        <f t="shared" si="224"/>
        <v>0</v>
      </c>
      <c r="AM109" s="403">
        <f t="shared" si="224"/>
        <v>0</v>
      </c>
      <c r="AN109" s="403">
        <f t="shared" si="224"/>
        <v>0</v>
      </c>
      <c r="AO109" s="403">
        <f t="shared" si="224"/>
        <v>0</v>
      </c>
      <c r="AP109" s="403">
        <f t="shared" si="224"/>
        <v>0</v>
      </c>
    </row>
    <row r="110" spans="1:42" ht="56.25">
      <c r="A110" s="191"/>
      <c r="B110" s="689">
        <v>12</v>
      </c>
      <c r="C110" s="414" t="s">
        <v>325</v>
      </c>
      <c r="D110" s="689" t="s">
        <v>320</v>
      </c>
      <c r="E110" s="566"/>
      <c r="F110" s="566"/>
      <c r="G110" s="566"/>
      <c r="H110" s="566"/>
      <c r="I110" s="566"/>
      <c r="J110" s="566"/>
      <c r="K110" s="566"/>
      <c r="L110" s="566"/>
      <c r="M110" s="567">
        <f t="shared" si="198"/>
        <v>656.577</v>
      </c>
      <c r="N110" s="567">
        <f>'附件4-8甲供材料清单'!K138</f>
        <v>393</v>
      </c>
      <c r="O110" s="567">
        <v>2</v>
      </c>
      <c r="P110" s="567">
        <f>243.54*1.05</f>
        <v>255.71700000000001</v>
      </c>
      <c r="Q110" s="411">
        <f t="shared" si="199"/>
        <v>0</v>
      </c>
      <c r="R110" s="411">
        <f t="shared" si="200"/>
        <v>0</v>
      </c>
      <c r="S110" s="411">
        <f t="shared" si="201"/>
        <v>0</v>
      </c>
      <c r="T110" s="411">
        <f t="shared" si="202"/>
        <v>0</v>
      </c>
      <c r="U110" s="411">
        <f t="shared" si="203"/>
        <v>0</v>
      </c>
      <c r="V110" s="411">
        <f t="shared" si="204"/>
        <v>0</v>
      </c>
      <c r="W110" s="411">
        <f t="shared" si="205"/>
        <v>0</v>
      </c>
      <c r="X110" s="411">
        <f t="shared" si="206"/>
        <v>0</v>
      </c>
      <c r="Y110" s="409" t="s">
        <v>244</v>
      </c>
      <c r="Z110" s="455">
        <f t="shared" si="223"/>
        <v>0</v>
      </c>
      <c r="AA110" s="403">
        <f t="shared" si="223"/>
        <v>0</v>
      </c>
      <c r="AB110" s="403">
        <f t="shared" si="223"/>
        <v>0</v>
      </c>
      <c r="AC110" s="403">
        <f t="shared" si="223"/>
        <v>0</v>
      </c>
      <c r="AD110" s="403">
        <f t="shared" si="223"/>
        <v>0</v>
      </c>
      <c r="AE110" s="403">
        <f t="shared" si="223"/>
        <v>0</v>
      </c>
      <c r="AF110" s="403">
        <f t="shared" si="223"/>
        <v>0</v>
      </c>
      <c r="AG110" s="403">
        <f t="shared" si="223"/>
        <v>0</v>
      </c>
      <c r="AH110" s="323"/>
      <c r="AI110" s="403">
        <f t="shared" si="224"/>
        <v>0</v>
      </c>
      <c r="AJ110" s="403">
        <f t="shared" si="224"/>
        <v>0</v>
      </c>
      <c r="AK110" s="403">
        <f t="shared" si="224"/>
        <v>0</v>
      </c>
      <c r="AL110" s="403">
        <f t="shared" si="224"/>
        <v>0</v>
      </c>
      <c r="AM110" s="403">
        <f t="shared" si="224"/>
        <v>0</v>
      </c>
      <c r="AN110" s="403">
        <f t="shared" si="224"/>
        <v>0</v>
      </c>
      <c r="AO110" s="403">
        <f t="shared" si="224"/>
        <v>0</v>
      </c>
      <c r="AP110" s="403">
        <f t="shared" si="224"/>
        <v>0</v>
      </c>
    </row>
    <row r="111" spans="1:42" ht="45">
      <c r="A111" s="191"/>
      <c r="B111" s="689">
        <v>13</v>
      </c>
      <c r="C111" s="414" t="s">
        <v>326</v>
      </c>
      <c r="D111" s="689" t="s">
        <v>231</v>
      </c>
      <c r="E111" s="566">
        <f>0.6*1.15+1.15*(0.025+0.15)</f>
        <v>0.89124999999999988</v>
      </c>
      <c r="F111" s="566">
        <f>0.6*1.256+0.6*0.6*0.5+1.856*(0.025+0.15)</f>
        <v>1.2584</v>
      </c>
      <c r="G111" s="566">
        <f>0.6*1.59+1.59*(0.025+0.15)</f>
        <v>1.2322500000000001</v>
      </c>
      <c r="H111" s="566">
        <f>0.6*1.06+0.13+1.63*(0.025+0.15)</f>
        <v>1.05125</v>
      </c>
      <c r="I111" s="566">
        <v>0</v>
      </c>
      <c r="J111" s="566">
        <f t="shared" ref="J111" si="225">0.6*1.59+1.59*(0.025+0.15)</f>
        <v>1.2322500000000001</v>
      </c>
      <c r="K111" s="566">
        <f>0.6*1.29+1.29*(0.025+0.15)</f>
        <v>0.99975000000000003</v>
      </c>
      <c r="L111" s="566">
        <f>0.6*1.16+0.6*0.6*0.5+1.76*(0.025+0.15)</f>
        <v>1.1839999999999999</v>
      </c>
      <c r="M111" s="567">
        <f t="shared" si="198"/>
        <v>1051.3200000000002</v>
      </c>
      <c r="N111" s="567">
        <f>'附件4-8甲供材料清单'!K139</f>
        <v>716</v>
      </c>
      <c r="O111" s="567">
        <v>2</v>
      </c>
      <c r="P111" s="567">
        <v>321</v>
      </c>
      <c r="Q111" s="411">
        <f t="shared" si="199"/>
        <v>936.98895000000005</v>
      </c>
      <c r="R111" s="411">
        <f t="shared" si="200"/>
        <v>1322.9810880000002</v>
      </c>
      <c r="S111" s="411">
        <f t="shared" si="201"/>
        <v>1295.4890700000003</v>
      </c>
      <c r="T111" s="411">
        <f t="shared" si="202"/>
        <v>1105.2001500000001</v>
      </c>
      <c r="U111" s="411">
        <f t="shared" si="203"/>
        <v>0</v>
      </c>
      <c r="V111" s="411">
        <f t="shared" si="204"/>
        <v>1295.4890700000003</v>
      </c>
      <c r="W111" s="411">
        <f t="shared" si="205"/>
        <v>1051.0571700000003</v>
      </c>
      <c r="X111" s="411">
        <f t="shared" si="206"/>
        <v>1244.7628800000002</v>
      </c>
      <c r="Y111" s="409" t="s">
        <v>244</v>
      </c>
      <c r="Z111" s="455">
        <f t="shared" si="223"/>
        <v>936.98895000000005</v>
      </c>
      <c r="AA111" s="403">
        <f t="shared" si="223"/>
        <v>1322.9810880000002</v>
      </c>
      <c r="AB111" s="403">
        <f t="shared" si="223"/>
        <v>1295.4890700000003</v>
      </c>
      <c r="AC111" s="403">
        <f t="shared" si="223"/>
        <v>1105.2001500000001</v>
      </c>
      <c r="AD111" s="403">
        <f t="shared" si="223"/>
        <v>0</v>
      </c>
      <c r="AE111" s="403">
        <f t="shared" si="223"/>
        <v>1295.4890700000003</v>
      </c>
      <c r="AF111" s="403">
        <f t="shared" si="223"/>
        <v>1051.0571700000003</v>
      </c>
      <c r="AG111" s="403">
        <f t="shared" si="223"/>
        <v>1244.7628800000002</v>
      </c>
      <c r="AH111" s="323"/>
      <c r="AI111" s="403">
        <f t="shared" si="224"/>
        <v>650.89769999999987</v>
      </c>
      <c r="AJ111" s="403">
        <f t="shared" si="224"/>
        <v>919.03468800000007</v>
      </c>
      <c r="AK111" s="403">
        <f t="shared" si="224"/>
        <v>899.93682000000013</v>
      </c>
      <c r="AL111" s="403">
        <f t="shared" si="224"/>
        <v>767.74890000000005</v>
      </c>
      <c r="AM111" s="403">
        <f t="shared" si="224"/>
        <v>0</v>
      </c>
      <c r="AN111" s="403">
        <f t="shared" si="224"/>
        <v>899.93682000000013</v>
      </c>
      <c r="AO111" s="403">
        <f t="shared" si="224"/>
        <v>730.13742000000002</v>
      </c>
      <c r="AP111" s="403">
        <f t="shared" si="224"/>
        <v>864.69887999999992</v>
      </c>
    </row>
    <row r="112" spans="1:42" ht="22.5">
      <c r="A112" s="191"/>
      <c r="B112" s="689">
        <v>14</v>
      </c>
      <c r="C112" s="414" t="s">
        <v>327</v>
      </c>
      <c r="D112" s="689" t="s">
        <v>270</v>
      </c>
      <c r="E112" s="566"/>
      <c r="F112" s="566"/>
      <c r="G112" s="566"/>
      <c r="H112" s="566"/>
      <c r="I112" s="566"/>
      <c r="J112" s="566"/>
      <c r="K112" s="566"/>
      <c r="L112" s="566"/>
      <c r="M112" s="567">
        <f t="shared" si="198"/>
        <v>43</v>
      </c>
      <c r="N112" s="567">
        <f>'附件4-8甲供材料清单'!K140+'附件4-8甲供材料清单'!K141</f>
        <v>43</v>
      </c>
      <c r="O112" s="567"/>
      <c r="P112" s="567"/>
      <c r="Q112" s="411">
        <f t="shared" si="199"/>
        <v>0</v>
      </c>
      <c r="R112" s="411">
        <f t="shared" si="200"/>
        <v>0</v>
      </c>
      <c r="S112" s="411">
        <f t="shared" si="201"/>
        <v>0</v>
      </c>
      <c r="T112" s="411">
        <f t="shared" si="202"/>
        <v>0</v>
      </c>
      <c r="U112" s="411">
        <f t="shared" si="203"/>
        <v>0</v>
      </c>
      <c r="V112" s="411">
        <f t="shared" si="204"/>
        <v>0</v>
      </c>
      <c r="W112" s="411">
        <f t="shared" si="205"/>
        <v>0</v>
      </c>
      <c r="X112" s="411">
        <f t="shared" si="206"/>
        <v>0</v>
      </c>
      <c r="Y112" s="409" t="s">
        <v>328</v>
      </c>
      <c r="Z112" s="455">
        <f t="shared" si="223"/>
        <v>0</v>
      </c>
      <c r="AA112" s="403">
        <f t="shared" si="223"/>
        <v>0</v>
      </c>
      <c r="AB112" s="403">
        <f t="shared" si="223"/>
        <v>0</v>
      </c>
      <c r="AC112" s="403">
        <f t="shared" si="223"/>
        <v>0</v>
      </c>
      <c r="AD112" s="403">
        <f t="shared" si="223"/>
        <v>0</v>
      </c>
      <c r="AE112" s="403">
        <f t="shared" si="223"/>
        <v>0</v>
      </c>
      <c r="AF112" s="403">
        <f t="shared" si="223"/>
        <v>0</v>
      </c>
      <c r="AG112" s="403">
        <f t="shared" si="223"/>
        <v>0</v>
      </c>
      <c r="AH112" s="323"/>
      <c r="AI112" s="403">
        <f t="shared" si="224"/>
        <v>0</v>
      </c>
      <c r="AJ112" s="403">
        <f t="shared" si="224"/>
        <v>0</v>
      </c>
      <c r="AK112" s="403">
        <f t="shared" si="224"/>
        <v>0</v>
      </c>
      <c r="AL112" s="403">
        <f t="shared" si="224"/>
        <v>0</v>
      </c>
      <c r="AM112" s="403">
        <f t="shared" si="224"/>
        <v>0</v>
      </c>
      <c r="AN112" s="403">
        <f t="shared" si="224"/>
        <v>0</v>
      </c>
      <c r="AO112" s="403">
        <f t="shared" si="224"/>
        <v>0</v>
      </c>
      <c r="AP112" s="403">
        <f t="shared" si="224"/>
        <v>0</v>
      </c>
    </row>
    <row r="113" spans="1:42" ht="22.5">
      <c r="A113" s="191"/>
      <c r="B113" s="689">
        <v>15</v>
      </c>
      <c r="C113" s="414" t="s">
        <v>329</v>
      </c>
      <c r="D113" s="689" t="s">
        <v>270</v>
      </c>
      <c r="E113" s="566"/>
      <c r="F113" s="566"/>
      <c r="G113" s="566"/>
      <c r="H113" s="566"/>
      <c r="I113" s="566"/>
      <c r="J113" s="566"/>
      <c r="K113" s="566"/>
      <c r="L113" s="566"/>
      <c r="M113" s="567">
        <f t="shared" si="198"/>
        <v>20</v>
      </c>
      <c r="N113" s="567">
        <f>'附件4-8甲供材料清单'!K142</f>
        <v>20</v>
      </c>
      <c r="O113" s="567"/>
      <c r="P113" s="567"/>
      <c r="Q113" s="411">
        <f t="shared" si="199"/>
        <v>0</v>
      </c>
      <c r="R113" s="411">
        <f t="shared" si="200"/>
        <v>0</v>
      </c>
      <c r="S113" s="411">
        <f t="shared" si="201"/>
        <v>0</v>
      </c>
      <c r="T113" s="411">
        <f t="shared" si="202"/>
        <v>0</v>
      </c>
      <c r="U113" s="411">
        <f t="shared" si="203"/>
        <v>0</v>
      </c>
      <c r="V113" s="411">
        <f t="shared" si="204"/>
        <v>0</v>
      </c>
      <c r="W113" s="411">
        <f t="shared" si="205"/>
        <v>0</v>
      </c>
      <c r="X113" s="411">
        <f t="shared" si="206"/>
        <v>0</v>
      </c>
      <c r="Y113" s="409" t="s">
        <v>328</v>
      </c>
      <c r="Z113" s="455">
        <f t="shared" si="223"/>
        <v>0</v>
      </c>
      <c r="AA113" s="403">
        <f t="shared" si="223"/>
        <v>0</v>
      </c>
      <c r="AB113" s="403">
        <f t="shared" si="223"/>
        <v>0</v>
      </c>
      <c r="AC113" s="403">
        <f t="shared" si="223"/>
        <v>0</v>
      </c>
      <c r="AD113" s="403">
        <f t="shared" si="223"/>
        <v>0</v>
      </c>
      <c r="AE113" s="403">
        <f t="shared" si="223"/>
        <v>0</v>
      </c>
      <c r="AF113" s="403">
        <f t="shared" si="223"/>
        <v>0</v>
      </c>
      <c r="AG113" s="403">
        <f t="shared" si="223"/>
        <v>0</v>
      </c>
      <c r="AH113" s="323"/>
      <c r="AI113" s="403">
        <f t="shared" si="224"/>
        <v>0</v>
      </c>
      <c r="AJ113" s="403">
        <f t="shared" si="224"/>
        <v>0</v>
      </c>
      <c r="AK113" s="403">
        <f t="shared" si="224"/>
        <v>0</v>
      </c>
      <c r="AL113" s="403">
        <f t="shared" si="224"/>
        <v>0</v>
      </c>
      <c r="AM113" s="403">
        <f t="shared" si="224"/>
        <v>0</v>
      </c>
      <c r="AN113" s="403">
        <f t="shared" si="224"/>
        <v>0</v>
      </c>
      <c r="AO113" s="403">
        <f t="shared" si="224"/>
        <v>0</v>
      </c>
      <c r="AP113" s="403">
        <f t="shared" si="224"/>
        <v>0</v>
      </c>
    </row>
    <row r="114" spans="1:42" s="384" customFormat="1">
      <c r="A114" s="191"/>
      <c r="B114" s="689">
        <v>16</v>
      </c>
      <c r="C114" s="407" t="s">
        <v>330</v>
      </c>
      <c r="D114" s="689" t="s">
        <v>235</v>
      </c>
      <c r="E114" s="566">
        <f>A单元!$M$48</f>
        <v>1.1499999999999999</v>
      </c>
      <c r="F114" s="566">
        <f>C单元!$M$48</f>
        <v>1.1499999999999999</v>
      </c>
      <c r="G114" s="566">
        <f>B单元!$M$48</f>
        <v>1.59</v>
      </c>
      <c r="H114" s="566">
        <f>F单元!$M$48</f>
        <v>1.1499999999999999</v>
      </c>
      <c r="I114" s="566">
        <f>H单元!$M$48</f>
        <v>0.85</v>
      </c>
      <c r="J114" s="566">
        <f>'D单元 '!M48</f>
        <v>1.59</v>
      </c>
      <c r="K114" s="566">
        <f>I单元!$M$48</f>
        <v>1.29</v>
      </c>
      <c r="L114" s="566">
        <f>E单元!$M$48</f>
        <v>1.52</v>
      </c>
      <c r="M114" s="567">
        <f t="shared" si="198"/>
        <v>420</v>
      </c>
      <c r="N114" s="567">
        <v>420</v>
      </c>
      <c r="O114" s="567"/>
      <c r="P114" s="567"/>
      <c r="Q114" s="402">
        <f t="shared" si="199"/>
        <v>482.99999999999994</v>
      </c>
      <c r="R114" s="402">
        <f t="shared" si="200"/>
        <v>482.99999999999994</v>
      </c>
      <c r="S114" s="402">
        <f t="shared" si="201"/>
        <v>667.80000000000007</v>
      </c>
      <c r="T114" s="402">
        <f t="shared" si="202"/>
        <v>482.99999999999994</v>
      </c>
      <c r="U114" s="402">
        <f t="shared" si="203"/>
        <v>357</v>
      </c>
      <c r="V114" s="402">
        <f t="shared" si="204"/>
        <v>667.80000000000007</v>
      </c>
      <c r="W114" s="402">
        <f t="shared" si="205"/>
        <v>541.80000000000007</v>
      </c>
      <c r="X114" s="402">
        <f t="shared" si="206"/>
        <v>638.4</v>
      </c>
      <c r="Y114" s="409" t="s">
        <v>331</v>
      </c>
      <c r="Z114" s="455"/>
      <c r="AA114" s="403"/>
      <c r="AB114" s="403"/>
      <c r="AC114" s="403"/>
      <c r="AD114" s="403"/>
      <c r="AE114" s="403"/>
      <c r="AF114" s="403"/>
      <c r="AG114" s="403"/>
      <c r="AH114" s="323"/>
      <c r="AI114" s="423"/>
      <c r="AJ114" s="423"/>
      <c r="AK114" s="423"/>
      <c r="AL114" s="423"/>
      <c r="AM114" s="423"/>
      <c r="AN114" s="423"/>
      <c r="AO114" s="423"/>
      <c r="AP114" s="423"/>
    </row>
    <row r="115" spans="1:42" ht="33.75">
      <c r="A115" s="191"/>
      <c r="B115" s="689">
        <v>17</v>
      </c>
      <c r="C115" s="407" t="s">
        <v>332</v>
      </c>
      <c r="D115" s="689" t="s">
        <v>235</v>
      </c>
      <c r="E115" s="566">
        <f>A单元!$O$48</f>
        <v>1.88</v>
      </c>
      <c r="F115" s="566">
        <f>C单元!$O$48</f>
        <v>2.34</v>
      </c>
      <c r="G115" s="566">
        <f>B单元!$O$48</f>
        <v>1.36</v>
      </c>
      <c r="H115" s="566">
        <f>F单元!$O$48</f>
        <v>1.39</v>
      </c>
      <c r="I115" s="566">
        <f>H单元!$O$48</f>
        <v>1.64</v>
      </c>
      <c r="J115" s="566">
        <f>'D单元 '!O48</f>
        <v>1.98</v>
      </c>
      <c r="K115" s="566">
        <f>I单元!$O$48</f>
        <v>1.64</v>
      </c>
      <c r="L115" s="566">
        <f>E单元!$O$48</f>
        <v>2.34</v>
      </c>
      <c r="M115" s="567">
        <f t="shared" si="198"/>
        <v>68</v>
      </c>
      <c r="N115" s="567">
        <f>'附件4-8甲供材料清单'!K163</f>
        <v>68</v>
      </c>
      <c r="O115" s="567"/>
      <c r="P115" s="567"/>
      <c r="Q115" s="411">
        <f t="shared" si="199"/>
        <v>127.83999999999999</v>
      </c>
      <c r="R115" s="411">
        <f t="shared" si="200"/>
        <v>159.12</v>
      </c>
      <c r="S115" s="411">
        <f t="shared" si="201"/>
        <v>92.48</v>
      </c>
      <c r="T115" s="411">
        <f t="shared" si="202"/>
        <v>94.52</v>
      </c>
      <c r="U115" s="411">
        <f t="shared" si="203"/>
        <v>111.52</v>
      </c>
      <c r="V115" s="411">
        <f t="shared" si="204"/>
        <v>134.63999999999999</v>
      </c>
      <c r="W115" s="411">
        <f t="shared" si="205"/>
        <v>111.52</v>
      </c>
      <c r="X115" s="411">
        <f t="shared" si="206"/>
        <v>159.12</v>
      </c>
      <c r="Y115" s="409" t="s">
        <v>316</v>
      </c>
      <c r="Z115" s="455"/>
      <c r="AA115" s="403"/>
      <c r="AB115" s="403"/>
      <c r="AC115" s="403"/>
      <c r="AD115" s="403"/>
      <c r="AE115" s="403"/>
      <c r="AF115" s="403"/>
      <c r="AG115" s="403"/>
      <c r="AH115" s="323"/>
      <c r="AI115" s="403"/>
      <c r="AJ115" s="403"/>
      <c r="AK115" s="403"/>
      <c r="AL115" s="403"/>
      <c r="AM115" s="403"/>
      <c r="AN115" s="403"/>
      <c r="AO115" s="403"/>
      <c r="AP115" s="403"/>
    </row>
    <row r="116" spans="1:42" ht="22.5">
      <c r="A116" s="191" t="s">
        <v>277</v>
      </c>
      <c r="B116" s="689" t="s">
        <v>278</v>
      </c>
      <c r="C116" s="407" t="s">
        <v>333</v>
      </c>
      <c r="D116" s="689" t="s">
        <v>235</v>
      </c>
      <c r="E116" s="566"/>
      <c r="F116" s="566"/>
      <c r="G116" s="566"/>
      <c r="H116" s="566"/>
      <c r="I116" s="566"/>
      <c r="J116" s="566"/>
      <c r="K116" s="566"/>
      <c r="L116" s="566"/>
      <c r="M116" s="567">
        <f t="shared" si="198"/>
        <v>88.04</v>
      </c>
      <c r="N116" s="567">
        <f>'附件4-8甲供材料清单'!K164</f>
        <v>68</v>
      </c>
      <c r="O116" s="567">
        <v>3</v>
      </c>
      <c r="P116" s="567">
        <v>18</v>
      </c>
      <c r="Q116" s="411">
        <f t="shared" si="199"/>
        <v>0</v>
      </c>
      <c r="R116" s="411">
        <f t="shared" si="200"/>
        <v>0</v>
      </c>
      <c r="S116" s="411">
        <f t="shared" si="201"/>
        <v>0</v>
      </c>
      <c r="T116" s="411">
        <f t="shared" si="202"/>
        <v>0</v>
      </c>
      <c r="U116" s="411">
        <f t="shared" si="203"/>
        <v>0</v>
      </c>
      <c r="V116" s="411">
        <f t="shared" si="204"/>
        <v>0</v>
      </c>
      <c r="W116" s="411">
        <f t="shared" si="205"/>
        <v>0</v>
      </c>
      <c r="X116" s="411">
        <f t="shared" si="206"/>
        <v>0</v>
      </c>
      <c r="Y116" s="409" t="s">
        <v>244</v>
      </c>
      <c r="Z116" s="455">
        <f t="shared" ref="Z116" si="226">Q116</f>
        <v>0</v>
      </c>
      <c r="AA116" s="403">
        <f t="shared" ref="AA116" si="227">R116</f>
        <v>0</v>
      </c>
      <c r="AB116" s="403">
        <f t="shared" ref="AB116" si="228">S116</f>
        <v>0</v>
      </c>
      <c r="AC116" s="403">
        <f t="shared" ref="AC116" si="229">T116</f>
        <v>0</v>
      </c>
      <c r="AD116" s="403">
        <f t="shared" ref="AD116" si="230">U116</f>
        <v>0</v>
      </c>
      <c r="AE116" s="403">
        <f t="shared" ref="AE116" si="231">V116</f>
        <v>0</v>
      </c>
      <c r="AF116" s="403">
        <f t="shared" ref="AF116" si="232">W116</f>
        <v>0</v>
      </c>
      <c r="AG116" s="403">
        <f t="shared" ref="AG116" si="233">X116</f>
        <v>0</v>
      </c>
      <c r="AH116" s="323"/>
      <c r="AI116" s="403">
        <f t="shared" ref="AI116" si="234">E116*$N116*(1+$O116%)</f>
        <v>0</v>
      </c>
      <c r="AJ116" s="403">
        <f t="shared" ref="AJ116" si="235">F116*$N116*(1+$O116%)</f>
        <v>0</v>
      </c>
      <c r="AK116" s="403">
        <f t="shared" ref="AK116" si="236">G116*$N116*(1+$O116%)</f>
        <v>0</v>
      </c>
      <c r="AL116" s="403">
        <f t="shared" ref="AL116" si="237">H116*$N116*(1+$O116%)</f>
        <v>0</v>
      </c>
      <c r="AM116" s="403">
        <f t="shared" ref="AM116" si="238">I116*$N116*(1+$O116%)</f>
        <v>0</v>
      </c>
      <c r="AN116" s="403">
        <f t="shared" ref="AN116" si="239">J116*$N116*(1+$O116%)</f>
        <v>0</v>
      </c>
      <c r="AO116" s="403">
        <f t="shared" ref="AO116" si="240">K116*$N116*(1+$O116%)</f>
        <v>0</v>
      </c>
      <c r="AP116" s="403">
        <f t="shared" ref="AP116" si="241">L116*$N116*(1+$O116%)</f>
        <v>0</v>
      </c>
    </row>
    <row r="117" spans="1:42" s="384" customFormat="1">
      <c r="A117" s="191"/>
      <c r="B117" s="689">
        <v>18</v>
      </c>
      <c r="C117" s="407" t="s">
        <v>334</v>
      </c>
      <c r="D117" s="689" t="s">
        <v>231</v>
      </c>
      <c r="E117" s="566">
        <f>A单元!$R$48</f>
        <v>11.764800000000001</v>
      </c>
      <c r="F117" s="566">
        <f>C单元!$R$48</f>
        <v>10.594800000000001</v>
      </c>
      <c r="G117" s="566">
        <f>B单元!$R$48</f>
        <v>14.986800000000001</v>
      </c>
      <c r="H117" s="566">
        <f>F单元!$R$48</f>
        <v>10.090800000000002</v>
      </c>
      <c r="I117" s="566">
        <f>H单元!$R$48</f>
        <v>13.348799999999999</v>
      </c>
      <c r="J117" s="566">
        <f>'D单元 '!R49</f>
        <v>0</v>
      </c>
      <c r="K117" s="566">
        <f>I单元!$R$48</f>
        <v>15.868799999999998</v>
      </c>
      <c r="L117" s="566">
        <f>E单元!$R$48</f>
        <v>14.950799999999999</v>
      </c>
      <c r="M117" s="567">
        <f t="shared" si="198"/>
        <v>20.56</v>
      </c>
      <c r="N117" s="567">
        <v>13</v>
      </c>
      <c r="O117" s="567"/>
      <c r="P117" s="567">
        <v>7.56</v>
      </c>
      <c r="Q117" s="402">
        <f t="shared" si="199"/>
        <v>241.884288</v>
      </c>
      <c r="R117" s="402">
        <f t="shared" si="200"/>
        <v>217.82908800000001</v>
      </c>
      <c r="S117" s="402">
        <f t="shared" si="201"/>
        <v>308.12860799999999</v>
      </c>
      <c r="T117" s="402">
        <f t="shared" si="202"/>
        <v>207.46684800000003</v>
      </c>
      <c r="U117" s="402">
        <f t="shared" si="203"/>
        <v>274.45132799999993</v>
      </c>
      <c r="V117" s="402">
        <f t="shared" si="204"/>
        <v>0</v>
      </c>
      <c r="W117" s="402">
        <f t="shared" si="205"/>
        <v>326.26252799999997</v>
      </c>
      <c r="X117" s="402">
        <f t="shared" si="206"/>
        <v>307.38844799999998</v>
      </c>
      <c r="Y117" s="409"/>
      <c r="Z117" s="455"/>
      <c r="AA117" s="403"/>
      <c r="AB117" s="403"/>
      <c r="AC117" s="403"/>
      <c r="AD117" s="403"/>
      <c r="AE117" s="403"/>
      <c r="AF117" s="403"/>
      <c r="AG117" s="403"/>
      <c r="AH117" s="323"/>
      <c r="AI117" s="423"/>
      <c r="AJ117" s="423"/>
      <c r="AK117" s="423"/>
      <c r="AL117" s="423"/>
      <c r="AM117" s="423"/>
      <c r="AN117" s="423"/>
      <c r="AO117" s="423"/>
      <c r="AP117" s="423"/>
    </row>
    <row r="118" spans="1:42" s="384" customFormat="1" ht="33.75">
      <c r="A118" s="191"/>
      <c r="B118" s="689">
        <v>19</v>
      </c>
      <c r="C118" s="407" t="s">
        <v>335</v>
      </c>
      <c r="D118" s="689" t="s">
        <v>336</v>
      </c>
      <c r="E118" s="566"/>
      <c r="F118" s="566"/>
      <c r="G118" s="566"/>
      <c r="H118" s="566"/>
      <c r="I118" s="566"/>
      <c r="J118" s="566"/>
      <c r="K118" s="566"/>
      <c r="L118" s="566"/>
      <c r="M118" s="567">
        <f t="shared" si="198"/>
        <v>440</v>
      </c>
      <c r="N118" s="567">
        <v>440</v>
      </c>
      <c r="O118" s="567"/>
      <c r="P118" s="567">
        <v>0</v>
      </c>
      <c r="Q118" s="402">
        <f t="shared" si="199"/>
        <v>0</v>
      </c>
      <c r="R118" s="402">
        <f t="shared" si="200"/>
        <v>0</v>
      </c>
      <c r="S118" s="402">
        <f t="shared" si="201"/>
        <v>0</v>
      </c>
      <c r="T118" s="402">
        <f t="shared" si="202"/>
        <v>0</v>
      </c>
      <c r="U118" s="402">
        <f t="shared" si="203"/>
        <v>0</v>
      </c>
      <c r="V118" s="402">
        <f t="shared" si="204"/>
        <v>0</v>
      </c>
      <c r="W118" s="402">
        <f t="shared" si="205"/>
        <v>0</v>
      </c>
      <c r="X118" s="402">
        <f t="shared" si="206"/>
        <v>0</v>
      </c>
      <c r="Y118" s="409" t="s">
        <v>337</v>
      </c>
      <c r="Z118" s="455"/>
      <c r="AA118" s="403"/>
      <c r="AB118" s="403"/>
      <c r="AC118" s="403"/>
      <c r="AD118" s="403"/>
      <c r="AE118" s="403"/>
      <c r="AF118" s="403"/>
      <c r="AG118" s="403"/>
      <c r="AH118" s="323"/>
      <c r="AI118" s="423"/>
      <c r="AJ118" s="423"/>
      <c r="AK118" s="423"/>
      <c r="AL118" s="423"/>
      <c r="AM118" s="423"/>
      <c r="AN118" s="423"/>
      <c r="AO118" s="423"/>
      <c r="AP118" s="423"/>
    </row>
    <row r="119" spans="1:42" s="384" customFormat="1">
      <c r="A119" s="191"/>
      <c r="B119" s="689">
        <v>20</v>
      </c>
      <c r="C119" s="407" t="s">
        <v>338</v>
      </c>
      <c r="D119" s="689" t="s">
        <v>231</v>
      </c>
      <c r="E119" s="566"/>
      <c r="F119" s="566"/>
      <c r="G119" s="566"/>
      <c r="H119" s="566"/>
      <c r="I119" s="566"/>
      <c r="J119" s="566"/>
      <c r="K119" s="566"/>
      <c r="L119" s="566"/>
      <c r="M119" s="567">
        <f t="shared" si="198"/>
        <v>18.5</v>
      </c>
      <c r="N119" s="567">
        <v>18.5</v>
      </c>
      <c r="O119" s="567"/>
      <c r="P119" s="567">
        <v>0</v>
      </c>
      <c r="Q119" s="402">
        <f t="shared" si="199"/>
        <v>0</v>
      </c>
      <c r="R119" s="402">
        <f t="shared" si="200"/>
        <v>0</v>
      </c>
      <c r="S119" s="402">
        <f t="shared" si="201"/>
        <v>0</v>
      </c>
      <c r="T119" s="402">
        <f t="shared" si="202"/>
        <v>0</v>
      </c>
      <c r="U119" s="402">
        <f t="shared" si="203"/>
        <v>0</v>
      </c>
      <c r="V119" s="402">
        <f t="shared" si="204"/>
        <v>0</v>
      </c>
      <c r="W119" s="402">
        <f t="shared" si="205"/>
        <v>0</v>
      </c>
      <c r="X119" s="402">
        <f t="shared" si="206"/>
        <v>0</v>
      </c>
      <c r="Y119" s="409"/>
      <c r="Z119" s="455"/>
      <c r="AA119" s="403"/>
      <c r="AB119" s="403"/>
      <c r="AC119" s="403"/>
      <c r="AD119" s="403"/>
      <c r="AE119" s="403"/>
      <c r="AF119" s="403"/>
      <c r="AG119" s="403"/>
      <c r="AH119" s="323"/>
      <c r="AI119" s="423"/>
      <c r="AJ119" s="423"/>
      <c r="AK119" s="423"/>
      <c r="AL119" s="423"/>
      <c r="AM119" s="423"/>
      <c r="AN119" s="423"/>
      <c r="AO119" s="423"/>
      <c r="AP119" s="423"/>
    </row>
    <row r="120" spans="1:42" s="384" customFormat="1" ht="45">
      <c r="A120" s="191"/>
      <c r="B120" s="689">
        <v>21</v>
      </c>
      <c r="C120" s="415" t="s">
        <v>339</v>
      </c>
      <c r="D120" s="689" t="s">
        <v>340</v>
      </c>
      <c r="E120" s="566">
        <v>1</v>
      </c>
      <c r="F120" s="566">
        <v>1</v>
      </c>
      <c r="G120" s="566">
        <v>1</v>
      </c>
      <c r="H120" s="566">
        <v>1</v>
      </c>
      <c r="I120" s="566">
        <v>1</v>
      </c>
      <c r="J120" s="566">
        <v>1</v>
      </c>
      <c r="K120" s="566">
        <v>1</v>
      </c>
      <c r="L120" s="566">
        <v>1</v>
      </c>
      <c r="M120" s="567">
        <f t="shared" si="198"/>
        <v>32.4</v>
      </c>
      <c r="N120" s="567"/>
      <c r="O120" s="567"/>
      <c r="P120" s="567">
        <v>32.4</v>
      </c>
      <c r="Q120" s="402">
        <f t="shared" si="199"/>
        <v>32.4</v>
      </c>
      <c r="R120" s="402">
        <f t="shared" si="200"/>
        <v>32.4</v>
      </c>
      <c r="S120" s="402">
        <f t="shared" si="201"/>
        <v>32.4</v>
      </c>
      <c r="T120" s="402">
        <f t="shared" si="202"/>
        <v>32.4</v>
      </c>
      <c r="U120" s="402">
        <f t="shared" si="203"/>
        <v>32.4</v>
      </c>
      <c r="V120" s="402">
        <f t="shared" si="204"/>
        <v>32.4</v>
      </c>
      <c r="W120" s="402">
        <f t="shared" si="205"/>
        <v>32.4</v>
      </c>
      <c r="X120" s="402">
        <f t="shared" si="206"/>
        <v>32.4</v>
      </c>
      <c r="Y120" s="409" t="s">
        <v>341</v>
      </c>
      <c r="Z120" s="455"/>
      <c r="AA120" s="403"/>
      <c r="AB120" s="403"/>
      <c r="AC120" s="403"/>
      <c r="AD120" s="403"/>
      <c r="AE120" s="403"/>
      <c r="AF120" s="403"/>
      <c r="AG120" s="403"/>
      <c r="AH120" s="323"/>
      <c r="AI120" s="423"/>
      <c r="AJ120" s="423"/>
      <c r="AK120" s="423"/>
      <c r="AL120" s="423"/>
      <c r="AM120" s="423"/>
      <c r="AN120" s="423"/>
      <c r="AO120" s="423"/>
      <c r="AP120" s="423"/>
    </row>
    <row r="121" spans="1:42" s="384" customFormat="1" ht="22.5" customHeight="1">
      <c r="A121" s="191"/>
      <c r="B121" s="689">
        <v>22</v>
      </c>
      <c r="C121" s="407" t="s">
        <v>342</v>
      </c>
      <c r="D121" s="689" t="s">
        <v>270</v>
      </c>
      <c r="E121" s="566">
        <v>2</v>
      </c>
      <c r="F121" s="566">
        <v>2</v>
      </c>
      <c r="G121" s="566">
        <v>2</v>
      </c>
      <c r="H121" s="566">
        <v>2</v>
      </c>
      <c r="I121" s="566">
        <v>2</v>
      </c>
      <c r="J121" s="566">
        <v>2</v>
      </c>
      <c r="K121" s="566">
        <v>2</v>
      </c>
      <c r="L121" s="566">
        <v>2</v>
      </c>
      <c r="M121" s="567">
        <f t="shared" si="198"/>
        <v>27.995999999999999</v>
      </c>
      <c r="N121" s="567">
        <v>13.6</v>
      </c>
      <c r="O121" s="567">
        <v>1</v>
      </c>
      <c r="P121" s="567">
        <v>14.26</v>
      </c>
      <c r="Q121" s="402">
        <f t="shared" si="199"/>
        <v>55.991999999999997</v>
      </c>
      <c r="R121" s="402">
        <f t="shared" si="200"/>
        <v>55.991999999999997</v>
      </c>
      <c r="S121" s="402">
        <f t="shared" si="201"/>
        <v>55.991999999999997</v>
      </c>
      <c r="T121" s="402">
        <f t="shared" si="202"/>
        <v>55.991999999999997</v>
      </c>
      <c r="U121" s="402">
        <f t="shared" si="203"/>
        <v>55.991999999999997</v>
      </c>
      <c r="V121" s="402">
        <f t="shared" si="204"/>
        <v>55.991999999999997</v>
      </c>
      <c r="W121" s="402">
        <f t="shared" si="205"/>
        <v>55.991999999999997</v>
      </c>
      <c r="X121" s="402">
        <f t="shared" si="206"/>
        <v>55.991999999999997</v>
      </c>
      <c r="Y121" s="409"/>
      <c r="Z121" s="455"/>
      <c r="AA121" s="403"/>
      <c r="AB121" s="403"/>
      <c r="AC121" s="403"/>
      <c r="AD121" s="403"/>
      <c r="AE121" s="403"/>
      <c r="AF121" s="403"/>
      <c r="AG121" s="403"/>
      <c r="AH121" s="323"/>
      <c r="AI121" s="423"/>
      <c r="AJ121" s="423"/>
      <c r="AK121" s="423"/>
      <c r="AL121" s="423"/>
      <c r="AM121" s="423"/>
      <c r="AN121" s="423"/>
      <c r="AO121" s="423"/>
      <c r="AP121" s="423"/>
    </row>
    <row r="122" spans="1:42" ht="22.5">
      <c r="A122" s="191"/>
      <c r="B122" s="689" t="s">
        <v>233</v>
      </c>
      <c r="C122" s="407" t="s">
        <v>343</v>
      </c>
      <c r="D122" s="689" t="s">
        <v>270</v>
      </c>
      <c r="E122" s="566"/>
      <c r="F122" s="566"/>
      <c r="G122" s="566"/>
      <c r="H122" s="566"/>
      <c r="I122" s="566"/>
      <c r="J122" s="566"/>
      <c r="K122" s="566"/>
      <c r="L122" s="566"/>
      <c r="M122" s="567">
        <f t="shared" si="198"/>
        <v>41.045200000000001</v>
      </c>
      <c r="N122" s="567">
        <f>'附件4-8甲供材料清单'!K144</f>
        <v>26.52</v>
      </c>
      <c r="O122" s="567">
        <v>1</v>
      </c>
      <c r="P122" s="567">
        <v>14.26</v>
      </c>
      <c r="Q122" s="411">
        <f t="shared" si="199"/>
        <v>0</v>
      </c>
      <c r="R122" s="411">
        <f t="shared" si="200"/>
        <v>0</v>
      </c>
      <c r="S122" s="411">
        <f t="shared" si="201"/>
        <v>0</v>
      </c>
      <c r="T122" s="411">
        <f t="shared" si="202"/>
        <v>0</v>
      </c>
      <c r="U122" s="411">
        <f t="shared" si="203"/>
        <v>0</v>
      </c>
      <c r="V122" s="411">
        <f t="shared" si="204"/>
        <v>0</v>
      </c>
      <c r="W122" s="411">
        <f t="shared" si="205"/>
        <v>0</v>
      </c>
      <c r="X122" s="411">
        <f t="shared" si="206"/>
        <v>0</v>
      </c>
      <c r="Y122" s="409" t="s">
        <v>244</v>
      </c>
      <c r="Z122" s="455">
        <f t="shared" ref="Z122" si="242">Q122</f>
        <v>0</v>
      </c>
      <c r="AA122" s="403">
        <f t="shared" ref="AA122:AG122" si="243">R122</f>
        <v>0</v>
      </c>
      <c r="AB122" s="403">
        <f t="shared" si="243"/>
        <v>0</v>
      </c>
      <c r="AC122" s="403">
        <f t="shared" si="243"/>
        <v>0</v>
      </c>
      <c r="AD122" s="403">
        <f t="shared" si="243"/>
        <v>0</v>
      </c>
      <c r="AE122" s="403">
        <f t="shared" si="243"/>
        <v>0</v>
      </c>
      <c r="AF122" s="403">
        <f t="shared" si="243"/>
        <v>0</v>
      </c>
      <c r="AG122" s="403">
        <f t="shared" si="243"/>
        <v>0</v>
      </c>
      <c r="AH122" s="323"/>
      <c r="AI122" s="403">
        <f t="shared" ref="AI122" si="244">E122*$N122*(1+$O122%)</f>
        <v>0</v>
      </c>
      <c r="AJ122" s="403">
        <f t="shared" ref="AJ122:AP122" si="245">F122*$N122*(1+$O122%)</f>
        <v>0</v>
      </c>
      <c r="AK122" s="403">
        <f t="shared" si="245"/>
        <v>0</v>
      </c>
      <c r="AL122" s="403">
        <f t="shared" si="245"/>
        <v>0</v>
      </c>
      <c r="AM122" s="403">
        <f t="shared" si="245"/>
        <v>0</v>
      </c>
      <c r="AN122" s="403">
        <f t="shared" si="245"/>
        <v>0</v>
      </c>
      <c r="AO122" s="403">
        <f t="shared" si="245"/>
        <v>0</v>
      </c>
      <c r="AP122" s="403">
        <f t="shared" si="245"/>
        <v>0</v>
      </c>
    </row>
    <row r="123" spans="1:42" s="384" customFormat="1">
      <c r="A123" s="191"/>
      <c r="B123" s="689" t="s">
        <v>278</v>
      </c>
      <c r="C123" s="407" t="s">
        <v>344</v>
      </c>
      <c r="D123" s="689"/>
      <c r="E123" s="566"/>
      <c r="F123" s="566"/>
      <c r="G123" s="566"/>
      <c r="H123" s="566"/>
      <c r="I123" s="566"/>
      <c r="J123" s="566"/>
      <c r="K123" s="566"/>
      <c r="L123" s="566"/>
      <c r="M123" s="567"/>
      <c r="N123" s="567"/>
      <c r="O123" s="567"/>
      <c r="P123" s="567"/>
      <c r="Q123" s="402"/>
      <c r="R123" s="402"/>
      <c r="S123" s="402"/>
      <c r="T123" s="402"/>
      <c r="U123" s="402"/>
      <c r="V123" s="402"/>
      <c r="W123" s="402"/>
      <c r="X123" s="402"/>
      <c r="Y123" s="409"/>
      <c r="Z123" s="455"/>
      <c r="AA123" s="403"/>
      <c r="AB123" s="403"/>
      <c r="AC123" s="403"/>
      <c r="AD123" s="403"/>
      <c r="AE123" s="403"/>
      <c r="AF123" s="403"/>
      <c r="AG123" s="403"/>
      <c r="AH123" s="323"/>
      <c r="AI123" s="403"/>
      <c r="AJ123" s="403"/>
      <c r="AK123" s="403"/>
      <c r="AL123" s="403"/>
      <c r="AM123" s="403"/>
      <c r="AN123" s="403"/>
      <c r="AO123" s="403"/>
      <c r="AP123" s="403"/>
    </row>
    <row r="124" spans="1:42" ht="56.25">
      <c r="A124" s="191"/>
      <c r="B124" s="689" t="s">
        <v>278</v>
      </c>
      <c r="C124" s="414" t="s">
        <v>345</v>
      </c>
      <c r="D124" s="416" t="s">
        <v>320</v>
      </c>
      <c r="E124" s="566"/>
      <c r="F124" s="566"/>
      <c r="G124" s="566"/>
      <c r="H124" s="566"/>
      <c r="I124" s="566"/>
      <c r="J124" s="566"/>
      <c r="K124" s="566"/>
      <c r="L124" s="566"/>
      <c r="M124" s="567">
        <f t="shared" ref="M124" si="246">N124+N124*O124%+P124</f>
        <v>1062.789</v>
      </c>
      <c r="N124" s="567">
        <f>'附件4-8甲供材料清单'!$K$146</f>
        <v>839</v>
      </c>
      <c r="O124" s="411">
        <v>2</v>
      </c>
      <c r="P124" s="411">
        <v>207.00899999999999</v>
      </c>
      <c r="Q124" s="411">
        <f t="shared" ref="Q124" si="247">E124*$M124</f>
        <v>0</v>
      </c>
      <c r="R124" s="411">
        <f t="shared" ref="R124" si="248">F124*$M124</f>
        <v>0</v>
      </c>
      <c r="S124" s="411">
        <f t="shared" ref="S124" si="249">G124*$M124</f>
        <v>0</v>
      </c>
      <c r="T124" s="411">
        <f t="shared" ref="T124" si="250">H124*$M124</f>
        <v>0</v>
      </c>
      <c r="U124" s="411">
        <f t="shared" ref="U124" si="251">I124*$M124</f>
        <v>0</v>
      </c>
      <c r="V124" s="411">
        <f t="shared" ref="V124" si="252">J124*$M124</f>
        <v>0</v>
      </c>
      <c r="W124" s="411">
        <f t="shared" ref="W124" si="253">K124*$M124</f>
        <v>0</v>
      </c>
      <c r="X124" s="411">
        <f t="shared" ref="X124" si="254">L124*$M124</f>
        <v>0</v>
      </c>
      <c r="Y124" s="409" t="s">
        <v>244</v>
      </c>
      <c r="Z124" s="455">
        <f t="shared" ref="Z124" si="255">Q124</f>
        <v>0</v>
      </c>
      <c r="AA124" s="403">
        <f t="shared" ref="AA124" si="256">R124</f>
        <v>0</v>
      </c>
      <c r="AB124" s="403">
        <f t="shared" ref="AB124" si="257">S124</f>
        <v>0</v>
      </c>
      <c r="AC124" s="403">
        <f t="shared" ref="AC124" si="258">T124</f>
        <v>0</v>
      </c>
      <c r="AD124" s="403">
        <f t="shared" ref="AD124" si="259">U124</f>
        <v>0</v>
      </c>
      <c r="AE124" s="403">
        <f t="shared" ref="AE124" si="260">V124</f>
        <v>0</v>
      </c>
      <c r="AF124" s="403">
        <f t="shared" ref="AF124" si="261">W124</f>
        <v>0</v>
      </c>
      <c r="AG124" s="403">
        <f t="shared" ref="AG124" si="262">X124</f>
        <v>0</v>
      </c>
      <c r="AH124" s="323"/>
      <c r="AI124" s="403">
        <f t="shared" ref="AI124" si="263">E124*$N124*(1+$O124%)</f>
        <v>0</v>
      </c>
      <c r="AJ124" s="403">
        <f t="shared" ref="AJ124" si="264">F124*$N124*(1+$O124%)</f>
        <v>0</v>
      </c>
      <c r="AK124" s="403">
        <f t="shared" ref="AK124" si="265">G124*$N124*(1+$O124%)</f>
        <v>0</v>
      </c>
      <c r="AL124" s="403">
        <f t="shared" ref="AL124" si="266">H124*$N124*(1+$O124%)</f>
        <v>0</v>
      </c>
      <c r="AM124" s="403">
        <f t="shared" ref="AM124" si="267">I124*$N124*(1+$O124%)</f>
        <v>0</v>
      </c>
      <c r="AN124" s="403">
        <f t="shared" ref="AN124" si="268">J124*$N124*(1+$O124%)</f>
        <v>0</v>
      </c>
      <c r="AO124" s="403">
        <f t="shared" ref="AO124" si="269">K124*$N124*(1+$O124%)</f>
        <v>0</v>
      </c>
      <c r="AP124" s="403">
        <f t="shared" ref="AP124" si="270">L124*$N124*(1+$O124%)</f>
        <v>0</v>
      </c>
    </row>
    <row r="125" spans="1:42" ht="56.25">
      <c r="A125" s="191"/>
      <c r="B125" s="689" t="s">
        <v>278</v>
      </c>
      <c r="C125" s="414" t="s">
        <v>346</v>
      </c>
      <c r="D125" s="416" t="s">
        <v>320</v>
      </c>
      <c r="E125" s="566"/>
      <c r="F125" s="566"/>
      <c r="G125" s="566"/>
      <c r="H125" s="566"/>
      <c r="I125" s="566"/>
      <c r="J125" s="566"/>
      <c r="K125" s="566"/>
      <c r="L125" s="566"/>
      <c r="M125" s="567">
        <f t="shared" ref="M125:M131" si="271">N125+N125*O125%+P125</f>
        <v>1168.7429999999999</v>
      </c>
      <c r="N125" s="567">
        <f>'附件4-8甲供材料清单'!$K$147</f>
        <v>919</v>
      </c>
      <c r="O125" s="411">
        <v>2</v>
      </c>
      <c r="P125" s="411">
        <v>231.363</v>
      </c>
      <c r="Q125" s="411">
        <f t="shared" ref="Q125:X131" si="272">E125*$M125</f>
        <v>0</v>
      </c>
      <c r="R125" s="411">
        <f t="shared" si="272"/>
        <v>0</v>
      </c>
      <c r="S125" s="411">
        <f t="shared" si="272"/>
        <v>0</v>
      </c>
      <c r="T125" s="411">
        <f t="shared" si="272"/>
        <v>0</v>
      </c>
      <c r="U125" s="411">
        <f t="shared" si="272"/>
        <v>0</v>
      </c>
      <c r="V125" s="411">
        <f t="shared" si="272"/>
        <v>0</v>
      </c>
      <c r="W125" s="411">
        <f t="shared" si="272"/>
        <v>0</v>
      </c>
      <c r="X125" s="411">
        <f t="shared" si="272"/>
        <v>0</v>
      </c>
      <c r="Y125" s="409" t="s">
        <v>244</v>
      </c>
      <c r="Z125" s="455">
        <f t="shared" ref="Z125:AG131" si="273">Q125</f>
        <v>0</v>
      </c>
      <c r="AA125" s="403">
        <f t="shared" si="273"/>
        <v>0</v>
      </c>
      <c r="AB125" s="403">
        <f t="shared" si="273"/>
        <v>0</v>
      </c>
      <c r="AC125" s="403">
        <f t="shared" si="273"/>
        <v>0</v>
      </c>
      <c r="AD125" s="403">
        <f t="shared" si="273"/>
        <v>0</v>
      </c>
      <c r="AE125" s="403">
        <f t="shared" si="273"/>
        <v>0</v>
      </c>
      <c r="AF125" s="403">
        <f t="shared" si="273"/>
        <v>0</v>
      </c>
      <c r="AG125" s="403">
        <f t="shared" si="273"/>
        <v>0</v>
      </c>
      <c r="AH125" s="323"/>
      <c r="AI125" s="403">
        <f t="shared" ref="AI125:AP131" si="274">E125*$N125*(1+$O125%)</f>
        <v>0</v>
      </c>
      <c r="AJ125" s="403">
        <f t="shared" si="274"/>
        <v>0</v>
      </c>
      <c r="AK125" s="403">
        <f t="shared" si="274"/>
        <v>0</v>
      </c>
      <c r="AL125" s="403">
        <f t="shared" si="274"/>
        <v>0</v>
      </c>
      <c r="AM125" s="403">
        <f t="shared" si="274"/>
        <v>0</v>
      </c>
      <c r="AN125" s="403">
        <f t="shared" si="274"/>
        <v>0</v>
      </c>
      <c r="AO125" s="403">
        <f t="shared" si="274"/>
        <v>0</v>
      </c>
      <c r="AP125" s="403">
        <f t="shared" si="274"/>
        <v>0</v>
      </c>
    </row>
    <row r="126" spans="1:42" ht="56.25">
      <c r="A126" s="191"/>
      <c r="B126" s="689" t="s">
        <v>278</v>
      </c>
      <c r="C126" s="414" t="s">
        <v>347</v>
      </c>
      <c r="D126" s="416" t="s">
        <v>320</v>
      </c>
      <c r="E126" s="566"/>
      <c r="F126" s="566"/>
      <c r="G126" s="566"/>
      <c r="H126" s="566"/>
      <c r="I126" s="566"/>
      <c r="J126" s="566"/>
      <c r="K126" s="566"/>
      <c r="L126" s="566"/>
      <c r="M126" s="567">
        <f t="shared" si="271"/>
        <v>1276.7370000000001</v>
      </c>
      <c r="N126" s="567">
        <f>'附件4-8甲供材料清单'!$K$148</f>
        <v>1001</v>
      </c>
      <c r="O126" s="411">
        <v>2</v>
      </c>
      <c r="P126" s="411">
        <v>255.71700000000001</v>
      </c>
      <c r="Q126" s="411">
        <f t="shared" si="272"/>
        <v>0</v>
      </c>
      <c r="R126" s="411">
        <f t="shared" si="272"/>
        <v>0</v>
      </c>
      <c r="S126" s="411">
        <f t="shared" si="272"/>
        <v>0</v>
      </c>
      <c r="T126" s="411">
        <f t="shared" si="272"/>
        <v>0</v>
      </c>
      <c r="U126" s="411">
        <f t="shared" si="272"/>
        <v>0</v>
      </c>
      <c r="V126" s="411">
        <f t="shared" si="272"/>
        <v>0</v>
      </c>
      <c r="W126" s="411">
        <f t="shared" si="272"/>
        <v>0</v>
      </c>
      <c r="X126" s="411">
        <f t="shared" si="272"/>
        <v>0</v>
      </c>
      <c r="Y126" s="409" t="s">
        <v>244</v>
      </c>
      <c r="Z126" s="455">
        <f t="shared" si="273"/>
        <v>0</v>
      </c>
      <c r="AA126" s="403">
        <f t="shared" si="273"/>
        <v>0</v>
      </c>
      <c r="AB126" s="403">
        <f t="shared" si="273"/>
        <v>0</v>
      </c>
      <c r="AC126" s="403">
        <f t="shared" si="273"/>
        <v>0</v>
      </c>
      <c r="AD126" s="403">
        <f t="shared" si="273"/>
        <v>0</v>
      </c>
      <c r="AE126" s="403">
        <f t="shared" si="273"/>
        <v>0</v>
      </c>
      <c r="AF126" s="403">
        <f t="shared" si="273"/>
        <v>0</v>
      </c>
      <c r="AG126" s="403">
        <f t="shared" si="273"/>
        <v>0</v>
      </c>
      <c r="AH126" s="323"/>
      <c r="AI126" s="403">
        <f t="shared" si="274"/>
        <v>0</v>
      </c>
      <c r="AJ126" s="403">
        <f t="shared" si="274"/>
        <v>0</v>
      </c>
      <c r="AK126" s="403">
        <f t="shared" si="274"/>
        <v>0</v>
      </c>
      <c r="AL126" s="403">
        <f t="shared" si="274"/>
        <v>0</v>
      </c>
      <c r="AM126" s="403">
        <f t="shared" si="274"/>
        <v>0</v>
      </c>
      <c r="AN126" s="403">
        <f t="shared" si="274"/>
        <v>0</v>
      </c>
      <c r="AO126" s="403">
        <f t="shared" si="274"/>
        <v>0</v>
      </c>
      <c r="AP126" s="403">
        <f t="shared" si="274"/>
        <v>0</v>
      </c>
    </row>
    <row r="127" spans="1:42" ht="56.25">
      <c r="A127" s="191"/>
      <c r="B127" s="689" t="s">
        <v>278</v>
      </c>
      <c r="C127" s="414" t="s">
        <v>348</v>
      </c>
      <c r="D127" s="416" t="s">
        <v>320</v>
      </c>
      <c r="E127" s="566"/>
      <c r="F127" s="566"/>
      <c r="G127" s="566"/>
      <c r="H127" s="566"/>
      <c r="I127" s="566"/>
      <c r="J127" s="566"/>
      <c r="K127" s="566"/>
      <c r="L127" s="566"/>
      <c r="M127" s="567">
        <f t="shared" si="271"/>
        <v>865.92899999999997</v>
      </c>
      <c r="N127" s="567">
        <f>'附件4-8甲供材料清单'!$K$149</f>
        <v>646</v>
      </c>
      <c r="O127" s="411">
        <v>2</v>
      </c>
      <c r="P127" s="411">
        <v>207.00899999999999</v>
      </c>
      <c r="Q127" s="411">
        <f t="shared" si="272"/>
        <v>0</v>
      </c>
      <c r="R127" s="411">
        <f t="shared" si="272"/>
        <v>0</v>
      </c>
      <c r="S127" s="411">
        <f t="shared" si="272"/>
        <v>0</v>
      </c>
      <c r="T127" s="411">
        <f t="shared" si="272"/>
        <v>0</v>
      </c>
      <c r="U127" s="411">
        <f t="shared" si="272"/>
        <v>0</v>
      </c>
      <c r="V127" s="411">
        <f t="shared" si="272"/>
        <v>0</v>
      </c>
      <c r="W127" s="411">
        <f t="shared" si="272"/>
        <v>0</v>
      </c>
      <c r="X127" s="411">
        <f t="shared" si="272"/>
        <v>0</v>
      </c>
      <c r="Y127" s="409" t="s">
        <v>244</v>
      </c>
      <c r="Z127" s="455">
        <f t="shared" si="273"/>
        <v>0</v>
      </c>
      <c r="AA127" s="403">
        <f t="shared" si="273"/>
        <v>0</v>
      </c>
      <c r="AB127" s="403">
        <f t="shared" si="273"/>
        <v>0</v>
      </c>
      <c r="AC127" s="403">
        <f t="shared" si="273"/>
        <v>0</v>
      </c>
      <c r="AD127" s="403">
        <f t="shared" si="273"/>
        <v>0</v>
      </c>
      <c r="AE127" s="403">
        <f t="shared" si="273"/>
        <v>0</v>
      </c>
      <c r="AF127" s="403">
        <f t="shared" si="273"/>
        <v>0</v>
      </c>
      <c r="AG127" s="403">
        <f t="shared" si="273"/>
        <v>0</v>
      </c>
      <c r="AH127" s="323"/>
      <c r="AI127" s="403">
        <f t="shared" si="274"/>
        <v>0</v>
      </c>
      <c r="AJ127" s="403">
        <f t="shared" si="274"/>
        <v>0</v>
      </c>
      <c r="AK127" s="403">
        <f t="shared" si="274"/>
        <v>0</v>
      </c>
      <c r="AL127" s="403">
        <f t="shared" si="274"/>
        <v>0</v>
      </c>
      <c r="AM127" s="403">
        <f t="shared" si="274"/>
        <v>0</v>
      </c>
      <c r="AN127" s="403">
        <f t="shared" si="274"/>
        <v>0</v>
      </c>
      <c r="AO127" s="403">
        <f t="shared" si="274"/>
        <v>0</v>
      </c>
      <c r="AP127" s="403">
        <f t="shared" si="274"/>
        <v>0</v>
      </c>
    </row>
    <row r="128" spans="1:42" ht="56.25">
      <c r="A128" s="191"/>
      <c r="B128" s="689" t="s">
        <v>278</v>
      </c>
      <c r="C128" s="414" t="s">
        <v>349</v>
      </c>
      <c r="D128" s="416" t="s">
        <v>320</v>
      </c>
      <c r="E128" s="566"/>
      <c r="F128" s="566"/>
      <c r="G128" s="566"/>
      <c r="H128" s="566"/>
      <c r="I128" s="566"/>
      <c r="J128" s="566"/>
      <c r="K128" s="566"/>
      <c r="L128" s="566"/>
      <c r="M128" s="567">
        <f t="shared" si="271"/>
        <v>962.70299999999997</v>
      </c>
      <c r="N128" s="567">
        <f>'附件4-8甲供材料清单'!$K$150</f>
        <v>717</v>
      </c>
      <c r="O128" s="411">
        <v>2</v>
      </c>
      <c r="P128" s="411">
        <v>231.363</v>
      </c>
      <c r="Q128" s="411">
        <f t="shared" si="272"/>
        <v>0</v>
      </c>
      <c r="R128" s="411">
        <f t="shared" si="272"/>
        <v>0</v>
      </c>
      <c r="S128" s="411">
        <f t="shared" si="272"/>
        <v>0</v>
      </c>
      <c r="T128" s="411">
        <f t="shared" si="272"/>
        <v>0</v>
      </c>
      <c r="U128" s="411">
        <f t="shared" si="272"/>
        <v>0</v>
      </c>
      <c r="V128" s="411">
        <f t="shared" si="272"/>
        <v>0</v>
      </c>
      <c r="W128" s="411">
        <f t="shared" si="272"/>
        <v>0</v>
      </c>
      <c r="X128" s="411">
        <f t="shared" si="272"/>
        <v>0</v>
      </c>
      <c r="Y128" s="409" t="s">
        <v>244</v>
      </c>
      <c r="Z128" s="455">
        <f t="shared" si="273"/>
        <v>0</v>
      </c>
      <c r="AA128" s="403">
        <f t="shared" si="273"/>
        <v>0</v>
      </c>
      <c r="AB128" s="403">
        <f t="shared" si="273"/>
        <v>0</v>
      </c>
      <c r="AC128" s="403">
        <f t="shared" si="273"/>
        <v>0</v>
      </c>
      <c r="AD128" s="403">
        <f t="shared" si="273"/>
        <v>0</v>
      </c>
      <c r="AE128" s="403">
        <f t="shared" si="273"/>
        <v>0</v>
      </c>
      <c r="AF128" s="403">
        <f t="shared" si="273"/>
        <v>0</v>
      </c>
      <c r="AG128" s="403">
        <f t="shared" si="273"/>
        <v>0</v>
      </c>
      <c r="AH128" s="323"/>
      <c r="AI128" s="403">
        <f t="shared" si="274"/>
        <v>0</v>
      </c>
      <c r="AJ128" s="403">
        <f t="shared" si="274"/>
        <v>0</v>
      </c>
      <c r="AK128" s="403">
        <f t="shared" si="274"/>
        <v>0</v>
      </c>
      <c r="AL128" s="403">
        <f t="shared" si="274"/>
        <v>0</v>
      </c>
      <c r="AM128" s="403">
        <f t="shared" si="274"/>
        <v>0</v>
      </c>
      <c r="AN128" s="403">
        <f t="shared" si="274"/>
        <v>0</v>
      </c>
      <c r="AO128" s="403">
        <f t="shared" si="274"/>
        <v>0</v>
      </c>
      <c r="AP128" s="403">
        <f t="shared" si="274"/>
        <v>0</v>
      </c>
    </row>
    <row r="129" spans="1:42" ht="56.25">
      <c r="A129" s="191"/>
      <c r="B129" s="689" t="s">
        <v>278</v>
      </c>
      <c r="C129" s="414" t="s">
        <v>350</v>
      </c>
      <c r="D129" s="416" t="s">
        <v>320</v>
      </c>
      <c r="E129" s="566"/>
      <c r="F129" s="566"/>
      <c r="G129" s="566"/>
      <c r="H129" s="566"/>
      <c r="I129" s="566"/>
      <c r="J129" s="566"/>
      <c r="K129" s="566"/>
      <c r="L129" s="566"/>
      <c r="M129" s="567">
        <f t="shared" si="271"/>
        <v>1050.297</v>
      </c>
      <c r="N129" s="567">
        <f>'附件4-8甲供材料清单'!$K$151</f>
        <v>779</v>
      </c>
      <c r="O129" s="411">
        <v>2</v>
      </c>
      <c r="P129" s="411">
        <v>255.71700000000001</v>
      </c>
      <c r="Q129" s="411">
        <f t="shared" si="272"/>
        <v>0</v>
      </c>
      <c r="R129" s="411">
        <f t="shared" si="272"/>
        <v>0</v>
      </c>
      <c r="S129" s="411">
        <f t="shared" si="272"/>
        <v>0</v>
      </c>
      <c r="T129" s="411">
        <f t="shared" si="272"/>
        <v>0</v>
      </c>
      <c r="U129" s="411">
        <f t="shared" si="272"/>
        <v>0</v>
      </c>
      <c r="V129" s="411">
        <f t="shared" si="272"/>
        <v>0</v>
      </c>
      <c r="W129" s="411">
        <f t="shared" si="272"/>
        <v>0</v>
      </c>
      <c r="X129" s="411">
        <f t="shared" si="272"/>
        <v>0</v>
      </c>
      <c r="Y129" s="409" t="s">
        <v>244</v>
      </c>
      <c r="Z129" s="455">
        <f t="shared" si="273"/>
        <v>0</v>
      </c>
      <c r="AA129" s="403">
        <f t="shared" si="273"/>
        <v>0</v>
      </c>
      <c r="AB129" s="403">
        <f t="shared" si="273"/>
        <v>0</v>
      </c>
      <c r="AC129" s="403">
        <f t="shared" si="273"/>
        <v>0</v>
      </c>
      <c r="AD129" s="403">
        <f t="shared" si="273"/>
        <v>0</v>
      </c>
      <c r="AE129" s="403">
        <f t="shared" si="273"/>
        <v>0</v>
      </c>
      <c r="AF129" s="403">
        <f t="shared" si="273"/>
        <v>0</v>
      </c>
      <c r="AG129" s="403">
        <f t="shared" si="273"/>
        <v>0</v>
      </c>
      <c r="AH129" s="323"/>
      <c r="AI129" s="403">
        <f t="shared" si="274"/>
        <v>0</v>
      </c>
      <c r="AJ129" s="403">
        <f t="shared" si="274"/>
        <v>0</v>
      </c>
      <c r="AK129" s="403">
        <f t="shared" si="274"/>
        <v>0</v>
      </c>
      <c r="AL129" s="403">
        <f t="shared" si="274"/>
        <v>0</v>
      </c>
      <c r="AM129" s="403">
        <f t="shared" si="274"/>
        <v>0</v>
      </c>
      <c r="AN129" s="403">
        <f t="shared" si="274"/>
        <v>0</v>
      </c>
      <c r="AO129" s="403">
        <f t="shared" si="274"/>
        <v>0</v>
      </c>
      <c r="AP129" s="403">
        <f t="shared" si="274"/>
        <v>0</v>
      </c>
    </row>
    <row r="130" spans="1:42" ht="78.75">
      <c r="A130" s="191"/>
      <c r="B130" s="689" t="s">
        <v>278</v>
      </c>
      <c r="C130" s="414" t="s">
        <v>351</v>
      </c>
      <c r="D130" s="416" t="s">
        <v>231</v>
      </c>
      <c r="E130" s="566"/>
      <c r="F130" s="566"/>
      <c r="G130" s="566"/>
      <c r="H130" s="566"/>
      <c r="I130" s="566"/>
      <c r="J130" s="566"/>
      <c r="K130" s="566"/>
      <c r="L130" s="566"/>
      <c r="M130" s="567">
        <f t="shared" si="271"/>
        <v>1513.38</v>
      </c>
      <c r="N130" s="567">
        <f>'附件4-8甲供材料清单'!$K$152</f>
        <v>1169</v>
      </c>
      <c r="O130" s="411">
        <v>2</v>
      </c>
      <c r="P130" s="411">
        <v>321</v>
      </c>
      <c r="Q130" s="411">
        <f t="shared" si="272"/>
        <v>0</v>
      </c>
      <c r="R130" s="411">
        <f t="shared" si="272"/>
        <v>0</v>
      </c>
      <c r="S130" s="411">
        <f t="shared" si="272"/>
        <v>0</v>
      </c>
      <c r="T130" s="411">
        <f t="shared" si="272"/>
        <v>0</v>
      </c>
      <c r="U130" s="411">
        <f t="shared" si="272"/>
        <v>0</v>
      </c>
      <c r="V130" s="411">
        <f t="shared" si="272"/>
        <v>0</v>
      </c>
      <c r="W130" s="411">
        <f t="shared" si="272"/>
        <v>0</v>
      </c>
      <c r="X130" s="411">
        <f t="shared" si="272"/>
        <v>0</v>
      </c>
      <c r="Y130" s="409" t="s">
        <v>244</v>
      </c>
      <c r="Z130" s="455">
        <f t="shared" si="273"/>
        <v>0</v>
      </c>
      <c r="AA130" s="403">
        <f t="shared" si="273"/>
        <v>0</v>
      </c>
      <c r="AB130" s="403">
        <f t="shared" si="273"/>
        <v>0</v>
      </c>
      <c r="AC130" s="403">
        <f t="shared" si="273"/>
        <v>0</v>
      </c>
      <c r="AD130" s="403">
        <f t="shared" si="273"/>
        <v>0</v>
      </c>
      <c r="AE130" s="403">
        <f t="shared" si="273"/>
        <v>0</v>
      </c>
      <c r="AF130" s="403">
        <f t="shared" si="273"/>
        <v>0</v>
      </c>
      <c r="AG130" s="403">
        <f t="shared" si="273"/>
        <v>0</v>
      </c>
      <c r="AH130" s="323"/>
      <c r="AI130" s="403">
        <f t="shared" si="274"/>
        <v>0</v>
      </c>
      <c r="AJ130" s="403">
        <f t="shared" si="274"/>
        <v>0</v>
      </c>
      <c r="AK130" s="403">
        <f t="shared" si="274"/>
        <v>0</v>
      </c>
      <c r="AL130" s="403">
        <f t="shared" si="274"/>
        <v>0</v>
      </c>
      <c r="AM130" s="403">
        <f t="shared" si="274"/>
        <v>0</v>
      </c>
      <c r="AN130" s="403">
        <f t="shared" si="274"/>
        <v>0</v>
      </c>
      <c r="AO130" s="403">
        <f t="shared" si="274"/>
        <v>0</v>
      </c>
      <c r="AP130" s="403">
        <f t="shared" si="274"/>
        <v>0</v>
      </c>
    </row>
    <row r="131" spans="1:42" ht="78.75">
      <c r="A131" s="191"/>
      <c r="B131" s="689" t="s">
        <v>278</v>
      </c>
      <c r="C131" s="414" t="s">
        <v>352</v>
      </c>
      <c r="D131" s="416" t="s">
        <v>231</v>
      </c>
      <c r="E131" s="566"/>
      <c r="F131" s="566"/>
      <c r="G131" s="566"/>
      <c r="H131" s="566"/>
      <c r="I131" s="566"/>
      <c r="J131" s="566"/>
      <c r="K131" s="566"/>
      <c r="L131" s="566"/>
      <c r="M131" s="567">
        <f t="shared" si="271"/>
        <v>1555.2</v>
      </c>
      <c r="N131" s="567">
        <f>'附件4-8甲供材料清单'!$K$153</f>
        <v>1210</v>
      </c>
      <c r="O131" s="411">
        <v>2</v>
      </c>
      <c r="P131" s="411">
        <v>321</v>
      </c>
      <c r="Q131" s="411">
        <f t="shared" si="272"/>
        <v>0</v>
      </c>
      <c r="R131" s="411">
        <f t="shared" si="272"/>
        <v>0</v>
      </c>
      <c r="S131" s="411">
        <f t="shared" si="272"/>
        <v>0</v>
      </c>
      <c r="T131" s="411">
        <f t="shared" si="272"/>
        <v>0</v>
      </c>
      <c r="U131" s="411">
        <f t="shared" si="272"/>
        <v>0</v>
      </c>
      <c r="V131" s="411">
        <f t="shared" si="272"/>
        <v>0</v>
      </c>
      <c r="W131" s="411">
        <f t="shared" si="272"/>
        <v>0</v>
      </c>
      <c r="X131" s="411">
        <f t="shared" si="272"/>
        <v>0</v>
      </c>
      <c r="Y131" s="409" t="s">
        <v>244</v>
      </c>
      <c r="Z131" s="455">
        <f t="shared" si="273"/>
        <v>0</v>
      </c>
      <c r="AA131" s="403">
        <f t="shared" si="273"/>
        <v>0</v>
      </c>
      <c r="AB131" s="403">
        <f t="shared" si="273"/>
        <v>0</v>
      </c>
      <c r="AC131" s="403">
        <f t="shared" si="273"/>
        <v>0</v>
      </c>
      <c r="AD131" s="403">
        <f t="shared" si="273"/>
        <v>0</v>
      </c>
      <c r="AE131" s="403">
        <f t="shared" si="273"/>
        <v>0</v>
      </c>
      <c r="AF131" s="403">
        <f t="shared" si="273"/>
        <v>0</v>
      </c>
      <c r="AG131" s="403">
        <f t="shared" si="273"/>
        <v>0</v>
      </c>
      <c r="AH131" s="323"/>
      <c r="AI131" s="403">
        <f t="shared" si="274"/>
        <v>0</v>
      </c>
      <c r="AJ131" s="403">
        <f t="shared" si="274"/>
        <v>0</v>
      </c>
      <c r="AK131" s="403">
        <f t="shared" si="274"/>
        <v>0</v>
      </c>
      <c r="AL131" s="403">
        <f t="shared" si="274"/>
        <v>0</v>
      </c>
      <c r="AM131" s="403">
        <f t="shared" si="274"/>
        <v>0</v>
      </c>
      <c r="AN131" s="403">
        <f t="shared" si="274"/>
        <v>0</v>
      </c>
      <c r="AO131" s="403">
        <f t="shared" si="274"/>
        <v>0</v>
      </c>
      <c r="AP131" s="403">
        <f t="shared" si="274"/>
        <v>0</v>
      </c>
    </row>
    <row r="132" spans="1:42" ht="22.5">
      <c r="A132" s="191"/>
      <c r="B132" s="689" t="s">
        <v>278</v>
      </c>
      <c r="C132" s="414" t="s">
        <v>353</v>
      </c>
      <c r="D132" s="416" t="s">
        <v>270</v>
      </c>
      <c r="E132" s="566"/>
      <c r="F132" s="566"/>
      <c r="G132" s="566"/>
      <c r="H132" s="566"/>
      <c r="I132" s="566"/>
      <c r="J132" s="566"/>
      <c r="K132" s="566"/>
      <c r="L132" s="566"/>
      <c r="M132" s="567">
        <f t="shared" ref="M132" si="275">N132+N132*O132%+P132</f>
        <v>95</v>
      </c>
      <c r="N132" s="567">
        <f>'附件4-8甲供材料清单'!$K$154</f>
        <v>95</v>
      </c>
      <c r="O132" s="411"/>
      <c r="P132" s="411"/>
      <c r="Q132" s="411">
        <f t="shared" ref="Q132" si="276">E132*$M132</f>
        <v>0</v>
      </c>
      <c r="R132" s="411">
        <f t="shared" ref="R132" si="277">F132*$M132</f>
        <v>0</v>
      </c>
      <c r="S132" s="411">
        <f t="shared" ref="S132" si="278">G132*$M132</f>
        <v>0</v>
      </c>
      <c r="T132" s="411">
        <f t="shared" ref="T132" si="279">H132*$M132</f>
        <v>0</v>
      </c>
      <c r="U132" s="411">
        <f t="shared" ref="U132" si="280">I132*$M132</f>
        <v>0</v>
      </c>
      <c r="V132" s="411">
        <f t="shared" ref="V132" si="281">J132*$M132</f>
        <v>0</v>
      </c>
      <c r="W132" s="411">
        <f t="shared" ref="W132" si="282">K132*$M132</f>
        <v>0</v>
      </c>
      <c r="X132" s="411">
        <f t="shared" ref="X132" si="283">L132*$M132</f>
        <v>0</v>
      </c>
      <c r="Y132" s="409" t="s">
        <v>244</v>
      </c>
      <c r="Z132" s="455">
        <f t="shared" ref="Z132" si="284">Q132</f>
        <v>0</v>
      </c>
      <c r="AA132" s="403">
        <f t="shared" ref="AA132" si="285">R132</f>
        <v>0</v>
      </c>
      <c r="AB132" s="403">
        <f t="shared" ref="AB132" si="286">S132</f>
        <v>0</v>
      </c>
      <c r="AC132" s="403">
        <f t="shared" ref="AC132" si="287">T132</f>
        <v>0</v>
      </c>
      <c r="AD132" s="403">
        <f t="shared" ref="AD132" si="288">U132</f>
        <v>0</v>
      </c>
      <c r="AE132" s="403">
        <f t="shared" ref="AE132" si="289">V132</f>
        <v>0</v>
      </c>
      <c r="AF132" s="403">
        <f t="shared" ref="AF132" si="290">W132</f>
        <v>0</v>
      </c>
      <c r="AG132" s="403">
        <f t="shared" ref="AG132" si="291">X132</f>
        <v>0</v>
      </c>
      <c r="AH132" s="323"/>
      <c r="AI132" s="403">
        <f t="shared" ref="AI132" si="292">E132*$N132*(1+$O132%)</f>
        <v>0</v>
      </c>
      <c r="AJ132" s="403">
        <f t="shared" ref="AJ132" si="293">F132*$N132*(1+$O132%)</f>
        <v>0</v>
      </c>
      <c r="AK132" s="403">
        <f t="shared" ref="AK132" si="294">G132*$N132*(1+$O132%)</f>
        <v>0</v>
      </c>
      <c r="AL132" s="403">
        <f t="shared" ref="AL132" si="295">H132*$N132*(1+$O132%)</f>
        <v>0</v>
      </c>
      <c r="AM132" s="403">
        <f t="shared" ref="AM132" si="296">I132*$N132*(1+$O132%)</f>
        <v>0</v>
      </c>
      <c r="AN132" s="403">
        <f t="shared" ref="AN132" si="297">J132*$N132*(1+$O132%)</f>
        <v>0</v>
      </c>
      <c r="AO132" s="403">
        <f t="shared" ref="AO132" si="298">K132*$N132*(1+$O132%)</f>
        <v>0</v>
      </c>
      <c r="AP132" s="403">
        <f t="shared" ref="AP132" si="299">L132*$N132*(1+$O132%)</f>
        <v>0</v>
      </c>
    </row>
    <row r="133" spans="1:42" ht="22.5">
      <c r="A133" s="191"/>
      <c r="B133" s="689" t="s">
        <v>278</v>
      </c>
      <c r="C133" s="414" t="s">
        <v>354</v>
      </c>
      <c r="D133" s="416" t="s">
        <v>270</v>
      </c>
      <c r="E133" s="566"/>
      <c r="F133" s="566"/>
      <c r="G133" s="566"/>
      <c r="H133" s="566"/>
      <c r="I133" s="566"/>
      <c r="J133" s="566"/>
      <c r="K133" s="566"/>
      <c r="L133" s="566"/>
      <c r="M133" s="567">
        <f t="shared" ref="M133" si="300">N133+N133*O133%+P133</f>
        <v>71</v>
      </c>
      <c r="N133" s="567">
        <f>'附件4-8甲供材料清单'!$K$155</f>
        <v>71</v>
      </c>
      <c r="O133" s="411"/>
      <c r="P133" s="411"/>
      <c r="Q133" s="411">
        <f t="shared" ref="Q133" si="301">E133*$M133</f>
        <v>0</v>
      </c>
      <c r="R133" s="411">
        <f t="shared" ref="R133" si="302">F133*$M133</f>
        <v>0</v>
      </c>
      <c r="S133" s="411">
        <f t="shared" ref="S133" si="303">G133*$M133</f>
        <v>0</v>
      </c>
      <c r="T133" s="411">
        <f t="shared" ref="T133" si="304">H133*$M133</f>
        <v>0</v>
      </c>
      <c r="U133" s="411">
        <f t="shared" ref="U133" si="305">I133*$M133</f>
        <v>0</v>
      </c>
      <c r="V133" s="411">
        <f t="shared" ref="V133" si="306">J133*$M133</f>
        <v>0</v>
      </c>
      <c r="W133" s="411">
        <f t="shared" ref="W133" si="307">K133*$M133</f>
        <v>0</v>
      </c>
      <c r="X133" s="411">
        <f t="shared" ref="X133" si="308">L133*$M133</f>
        <v>0</v>
      </c>
      <c r="Y133" s="409" t="s">
        <v>244</v>
      </c>
      <c r="Z133" s="455">
        <f t="shared" ref="Z133" si="309">Q133</f>
        <v>0</v>
      </c>
      <c r="AA133" s="403">
        <f t="shared" ref="AA133" si="310">R133</f>
        <v>0</v>
      </c>
      <c r="AB133" s="403">
        <f t="shared" ref="AB133" si="311">S133</f>
        <v>0</v>
      </c>
      <c r="AC133" s="403">
        <f t="shared" ref="AC133" si="312">T133</f>
        <v>0</v>
      </c>
      <c r="AD133" s="403">
        <f t="shared" ref="AD133" si="313">U133</f>
        <v>0</v>
      </c>
      <c r="AE133" s="403">
        <f t="shared" ref="AE133" si="314">V133</f>
        <v>0</v>
      </c>
      <c r="AF133" s="403">
        <f t="shared" ref="AF133" si="315">W133</f>
        <v>0</v>
      </c>
      <c r="AG133" s="403">
        <f t="shared" ref="AG133" si="316">X133</f>
        <v>0</v>
      </c>
      <c r="AH133" s="323"/>
      <c r="AI133" s="403">
        <f t="shared" ref="AI133" si="317">E133*$N133*(1+$O133%)</f>
        <v>0</v>
      </c>
      <c r="AJ133" s="403">
        <f t="shared" ref="AJ133" si="318">F133*$N133*(1+$O133%)</f>
        <v>0</v>
      </c>
      <c r="AK133" s="403">
        <f t="shared" ref="AK133" si="319">G133*$N133*(1+$O133%)</f>
        <v>0</v>
      </c>
      <c r="AL133" s="403">
        <f t="shared" ref="AL133" si="320">H133*$N133*(1+$O133%)</f>
        <v>0</v>
      </c>
      <c r="AM133" s="403">
        <f t="shared" ref="AM133" si="321">I133*$N133*(1+$O133%)</f>
        <v>0</v>
      </c>
      <c r="AN133" s="403">
        <f t="shared" ref="AN133" si="322">J133*$N133*(1+$O133%)</f>
        <v>0</v>
      </c>
      <c r="AO133" s="403">
        <f t="shared" ref="AO133" si="323">K133*$N133*(1+$O133%)</f>
        <v>0</v>
      </c>
      <c r="AP133" s="403">
        <f t="shared" ref="AP133" si="324">L133*$N133*(1+$O133%)</f>
        <v>0</v>
      </c>
    </row>
    <row r="134" spans="1:42" ht="11.25">
      <c r="A134" s="191" t="s">
        <v>355</v>
      </c>
      <c r="B134" s="635" t="s">
        <v>146</v>
      </c>
      <c r="C134" s="636" t="s">
        <v>356</v>
      </c>
      <c r="D134" s="635"/>
      <c r="E134" s="647"/>
      <c r="F134" s="647"/>
      <c r="G134" s="647"/>
      <c r="H134" s="647"/>
      <c r="I134" s="647"/>
      <c r="J134" s="647"/>
      <c r="K134" s="647"/>
      <c r="L134" s="647"/>
      <c r="M134" s="648"/>
      <c r="N134" s="648"/>
      <c r="O134" s="648"/>
      <c r="P134" s="648"/>
      <c r="Q134" s="649"/>
      <c r="R134" s="649"/>
      <c r="S134" s="649"/>
      <c r="T134" s="649"/>
      <c r="U134" s="649"/>
      <c r="V134" s="649"/>
      <c r="W134" s="649"/>
      <c r="X134" s="649"/>
      <c r="Y134" s="640" t="s">
        <v>1860</v>
      </c>
      <c r="Z134" s="455"/>
      <c r="AA134" s="403"/>
      <c r="AB134" s="403"/>
      <c r="AC134" s="403"/>
      <c r="AD134" s="403"/>
      <c r="AE134" s="403"/>
      <c r="AF134" s="403"/>
      <c r="AG134" s="403"/>
      <c r="AH134" s="323"/>
      <c r="AI134" s="423"/>
      <c r="AJ134" s="423"/>
      <c r="AK134" s="423"/>
      <c r="AL134" s="423"/>
      <c r="AM134" s="423"/>
      <c r="AN134" s="423"/>
      <c r="AO134" s="423"/>
      <c r="AP134" s="423"/>
    </row>
    <row r="135" spans="1:42" ht="33.75">
      <c r="A135" s="191" t="s">
        <v>355</v>
      </c>
      <c r="B135" s="689">
        <v>1</v>
      </c>
      <c r="C135" s="407" t="s">
        <v>357</v>
      </c>
      <c r="D135" s="689" t="s">
        <v>231</v>
      </c>
      <c r="E135" s="566">
        <f>E115*1.95</f>
        <v>3.6659999999999999</v>
      </c>
      <c r="F135" s="566">
        <f t="shared" ref="F135" si="325">F115*1.95</f>
        <v>4.5629999999999997</v>
      </c>
      <c r="G135" s="566">
        <f t="shared" ref="G135:L135" si="326">G115*1.95</f>
        <v>2.6520000000000001</v>
      </c>
      <c r="H135" s="566">
        <f t="shared" si="326"/>
        <v>2.7104999999999997</v>
      </c>
      <c r="I135" s="566">
        <f t="shared" si="326"/>
        <v>3.198</v>
      </c>
      <c r="J135" s="566">
        <f t="shared" si="326"/>
        <v>3.8609999999999998</v>
      </c>
      <c r="K135" s="566">
        <f t="shared" si="326"/>
        <v>3.198</v>
      </c>
      <c r="L135" s="566">
        <f t="shared" si="326"/>
        <v>4.5629999999999997</v>
      </c>
      <c r="M135" s="567">
        <f t="shared" ref="M135:M162" si="327">N135+N135*O135%+P135</f>
        <v>299</v>
      </c>
      <c r="N135" s="567">
        <f>'附件4-8甲供材料清单'!K161</f>
        <v>299</v>
      </c>
      <c r="O135" s="567"/>
      <c r="P135" s="567">
        <v>0</v>
      </c>
      <c r="Q135" s="411">
        <f t="shared" ref="Q135:Q162" si="328">E135*$M135</f>
        <v>1096.134</v>
      </c>
      <c r="R135" s="411">
        <f t="shared" ref="R135:R168" si="329">F135*$M135</f>
        <v>1364.337</v>
      </c>
      <c r="S135" s="411">
        <f t="shared" ref="S135:S168" si="330">G135*$M135</f>
        <v>792.94800000000009</v>
      </c>
      <c r="T135" s="411">
        <f t="shared" ref="T135:T168" si="331">H135*$M135</f>
        <v>810.43949999999995</v>
      </c>
      <c r="U135" s="411">
        <f t="shared" ref="U135:U168" si="332">I135*$M135</f>
        <v>956.202</v>
      </c>
      <c r="V135" s="411">
        <f t="shared" ref="V135:V168" si="333">J135*$M135</f>
        <v>1154.4389999999999</v>
      </c>
      <c r="W135" s="411">
        <f t="shared" ref="W135:W168" si="334">K135*$M135</f>
        <v>956.202</v>
      </c>
      <c r="X135" s="411">
        <f t="shared" ref="X135:X168" si="335">L135*$M135</f>
        <v>1364.337</v>
      </c>
      <c r="Y135" s="409" t="s">
        <v>316</v>
      </c>
      <c r="Z135" s="455"/>
      <c r="AA135" s="403"/>
      <c r="AB135" s="403"/>
      <c r="AC135" s="403"/>
      <c r="AD135" s="403"/>
      <c r="AE135" s="403"/>
      <c r="AF135" s="403"/>
      <c r="AG135" s="403"/>
      <c r="AH135" s="323"/>
      <c r="AI135" s="403"/>
      <c r="AJ135" s="403"/>
      <c r="AK135" s="403"/>
      <c r="AL135" s="403"/>
      <c r="AM135" s="403"/>
      <c r="AN135" s="403"/>
      <c r="AO135" s="403"/>
      <c r="AP135" s="403"/>
    </row>
    <row r="136" spans="1:42" ht="45">
      <c r="A136" s="191" t="s">
        <v>355</v>
      </c>
      <c r="B136" s="689">
        <v>2</v>
      </c>
      <c r="C136" s="407" t="s">
        <v>358</v>
      </c>
      <c r="D136" s="689" t="s">
        <v>320</v>
      </c>
      <c r="E136" s="566">
        <f t="shared" ref="E136:L136" si="336">E4</f>
        <v>1</v>
      </c>
      <c r="F136" s="566">
        <f t="shared" si="336"/>
        <v>1</v>
      </c>
      <c r="G136" s="566">
        <f t="shared" si="336"/>
        <v>1</v>
      </c>
      <c r="H136" s="566">
        <f t="shared" si="336"/>
        <v>1</v>
      </c>
      <c r="I136" s="566">
        <f t="shared" si="336"/>
        <v>1</v>
      </c>
      <c r="J136" s="566">
        <f t="shared" si="336"/>
        <v>1</v>
      </c>
      <c r="K136" s="566">
        <f t="shared" si="336"/>
        <v>1</v>
      </c>
      <c r="L136" s="566">
        <f t="shared" si="336"/>
        <v>1</v>
      </c>
      <c r="M136" s="567">
        <f t="shared" si="327"/>
        <v>402.40999999999997</v>
      </c>
      <c r="N136" s="567">
        <f>'附件4-8甲供材料清单'!K25</f>
        <v>253</v>
      </c>
      <c r="O136" s="567">
        <v>1</v>
      </c>
      <c r="P136" s="567">
        <v>146.88</v>
      </c>
      <c r="Q136" s="411">
        <f t="shared" si="328"/>
        <v>402.40999999999997</v>
      </c>
      <c r="R136" s="411">
        <f t="shared" si="329"/>
        <v>402.40999999999997</v>
      </c>
      <c r="S136" s="411">
        <f t="shared" si="330"/>
        <v>402.40999999999997</v>
      </c>
      <c r="T136" s="411">
        <f t="shared" si="331"/>
        <v>402.40999999999997</v>
      </c>
      <c r="U136" s="411">
        <f t="shared" si="332"/>
        <v>402.40999999999997</v>
      </c>
      <c r="V136" s="411">
        <f t="shared" si="333"/>
        <v>402.40999999999997</v>
      </c>
      <c r="W136" s="411">
        <f t="shared" si="334"/>
        <v>402.40999999999997</v>
      </c>
      <c r="X136" s="411">
        <f t="shared" si="335"/>
        <v>402.40999999999997</v>
      </c>
      <c r="Y136" s="409" t="s">
        <v>359</v>
      </c>
      <c r="Z136" s="455">
        <f t="shared" ref="Z136" si="337">Q136</f>
        <v>402.40999999999997</v>
      </c>
      <c r="AA136" s="403">
        <f t="shared" ref="AA136" si="338">R136</f>
        <v>402.40999999999997</v>
      </c>
      <c r="AB136" s="403">
        <f t="shared" ref="AB136" si="339">S136</f>
        <v>402.40999999999997</v>
      </c>
      <c r="AC136" s="403">
        <f t="shared" ref="AC136" si="340">T136</f>
        <v>402.40999999999997</v>
      </c>
      <c r="AD136" s="403">
        <f t="shared" ref="AD136" si="341">U136</f>
        <v>402.40999999999997</v>
      </c>
      <c r="AE136" s="403">
        <f t="shared" ref="AE136" si="342">V136</f>
        <v>402.40999999999997</v>
      </c>
      <c r="AF136" s="403">
        <f t="shared" ref="AF136" si="343">W136</f>
        <v>402.40999999999997</v>
      </c>
      <c r="AG136" s="403">
        <f t="shared" ref="AG136" si="344">X136</f>
        <v>402.40999999999997</v>
      </c>
      <c r="AH136" s="323"/>
      <c r="AI136" s="403">
        <f t="shared" ref="AI136" si="345">E136*$N136*(1+$O136%)</f>
        <v>255.53</v>
      </c>
      <c r="AJ136" s="403">
        <f t="shared" ref="AJ136:AP143" si="346">F136*$N136*(1+$O136%)</f>
        <v>255.53</v>
      </c>
      <c r="AK136" s="403">
        <f t="shared" si="346"/>
        <v>255.53</v>
      </c>
      <c r="AL136" s="403">
        <f t="shared" si="346"/>
        <v>255.53</v>
      </c>
      <c r="AM136" s="403">
        <f t="shared" si="346"/>
        <v>255.53</v>
      </c>
      <c r="AN136" s="403">
        <f t="shared" si="346"/>
        <v>255.53</v>
      </c>
      <c r="AO136" s="403">
        <f t="shared" si="346"/>
        <v>255.53</v>
      </c>
      <c r="AP136" s="403">
        <f t="shared" si="346"/>
        <v>255.53</v>
      </c>
    </row>
    <row r="137" spans="1:42" ht="45">
      <c r="A137" s="191" t="s">
        <v>355</v>
      </c>
      <c r="B137" s="689">
        <v>3</v>
      </c>
      <c r="C137" s="407" t="s">
        <v>360</v>
      </c>
      <c r="D137" s="689" t="s">
        <v>320</v>
      </c>
      <c r="E137" s="566"/>
      <c r="F137" s="566"/>
      <c r="G137" s="566"/>
      <c r="H137" s="566"/>
      <c r="I137" s="566"/>
      <c r="J137" s="566"/>
      <c r="K137" s="566"/>
      <c r="L137" s="566"/>
      <c r="M137" s="567">
        <f t="shared" si="327"/>
        <v>597.33999999999992</v>
      </c>
      <c r="N137" s="567">
        <f>'附件4-8甲供材料清单'!K26</f>
        <v>446</v>
      </c>
      <c r="O137" s="567">
        <v>1</v>
      </c>
      <c r="P137" s="567">
        <v>146.88</v>
      </c>
      <c r="Q137" s="411">
        <f t="shared" si="328"/>
        <v>0</v>
      </c>
      <c r="R137" s="411">
        <f t="shared" si="329"/>
        <v>0</v>
      </c>
      <c r="S137" s="411">
        <f t="shared" si="330"/>
        <v>0</v>
      </c>
      <c r="T137" s="411">
        <f t="shared" si="331"/>
        <v>0</v>
      </c>
      <c r="U137" s="411">
        <f t="shared" si="332"/>
        <v>0</v>
      </c>
      <c r="V137" s="411">
        <f t="shared" si="333"/>
        <v>0</v>
      </c>
      <c r="W137" s="411">
        <f t="shared" si="334"/>
        <v>0</v>
      </c>
      <c r="X137" s="411">
        <f t="shared" si="335"/>
        <v>0</v>
      </c>
      <c r="Y137" s="409" t="s">
        <v>359</v>
      </c>
      <c r="Z137" s="455">
        <f t="shared" ref="Z137:AG143" si="347">Q137</f>
        <v>0</v>
      </c>
      <c r="AA137" s="403">
        <f t="shared" si="347"/>
        <v>0</v>
      </c>
      <c r="AB137" s="403">
        <f t="shared" si="347"/>
        <v>0</v>
      </c>
      <c r="AC137" s="403">
        <f t="shared" si="347"/>
        <v>0</v>
      </c>
      <c r="AD137" s="403">
        <f t="shared" si="347"/>
        <v>0</v>
      </c>
      <c r="AE137" s="403">
        <f t="shared" si="347"/>
        <v>0</v>
      </c>
      <c r="AF137" s="403">
        <f t="shared" si="347"/>
        <v>0</v>
      </c>
      <c r="AG137" s="403">
        <f t="shared" si="347"/>
        <v>0</v>
      </c>
      <c r="AH137" s="323"/>
      <c r="AI137" s="403">
        <f t="shared" ref="AI137:AI143" si="348">E137*$N137*(1+$O137%)</f>
        <v>0</v>
      </c>
      <c r="AJ137" s="403">
        <f t="shared" si="346"/>
        <v>0</v>
      </c>
      <c r="AK137" s="403">
        <f t="shared" si="346"/>
        <v>0</v>
      </c>
      <c r="AL137" s="403">
        <f t="shared" si="346"/>
        <v>0</v>
      </c>
      <c r="AM137" s="403">
        <f t="shared" si="346"/>
        <v>0</v>
      </c>
      <c r="AN137" s="403">
        <f t="shared" si="346"/>
        <v>0</v>
      </c>
      <c r="AO137" s="403">
        <f t="shared" si="346"/>
        <v>0</v>
      </c>
      <c r="AP137" s="403">
        <f t="shared" si="346"/>
        <v>0</v>
      </c>
    </row>
    <row r="138" spans="1:42" ht="33.75">
      <c r="A138" s="191" t="s">
        <v>355</v>
      </c>
      <c r="B138" s="689">
        <v>4</v>
      </c>
      <c r="C138" s="415" t="s">
        <v>361</v>
      </c>
      <c r="D138" s="689" t="s">
        <v>320</v>
      </c>
      <c r="E138" s="566">
        <f t="shared" ref="E138:L138" si="349">E4+E5</f>
        <v>1</v>
      </c>
      <c r="F138" s="566">
        <f t="shared" si="349"/>
        <v>1</v>
      </c>
      <c r="G138" s="566">
        <f t="shared" si="349"/>
        <v>1</v>
      </c>
      <c r="H138" s="566">
        <f t="shared" si="349"/>
        <v>1</v>
      </c>
      <c r="I138" s="566">
        <f t="shared" si="349"/>
        <v>1</v>
      </c>
      <c r="J138" s="566">
        <f t="shared" si="349"/>
        <v>1</v>
      </c>
      <c r="K138" s="566">
        <f t="shared" si="349"/>
        <v>1</v>
      </c>
      <c r="L138" s="566">
        <f t="shared" si="349"/>
        <v>1</v>
      </c>
      <c r="M138" s="567">
        <f t="shared" si="327"/>
        <v>1292.2199999999998</v>
      </c>
      <c r="N138" s="567">
        <f>'附件4-8甲供材料清单'!K27</f>
        <v>1134</v>
      </c>
      <c r="O138" s="567">
        <v>1</v>
      </c>
      <c r="P138" s="567">
        <v>146.88</v>
      </c>
      <c r="Q138" s="411">
        <f t="shared" si="328"/>
        <v>1292.2199999999998</v>
      </c>
      <c r="R138" s="411">
        <f t="shared" si="329"/>
        <v>1292.2199999999998</v>
      </c>
      <c r="S138" s="411">
        <f t="shared" si="330"/>
        <v>1292.2199999999998</v>
      </c>
      <c r="T138" s="411">
        <f t="shared" si="331"/>
        <v>1292.2199999999998</v>
      </c>
      <c r="U138" s="411">
        <f t="shared" si="332"/>
        <v>1292.2199999999998</v>
      </c>
      <c r="V138" s="411">
        <f t="shared" si="333"/>
        <v>1292.2199999999998</v>
      </c>
      <c r="W138" s="411">
        <f t="shared" si="334"/>
        <v>1292.2199999999998</v>
      </c>
      <c r="X138" s="411">
        <f t="shared" si="335"/>
        <v>1292.2199999999998</v>
      </c>
      <c r="Y138" s="409" t="s">
        <v>362</v>
      </c>
      <c r="Z138" s="455">
        <f t="shared" si="347"/>
        <v>1292.2199999999998</v>
      </c>
      <c r="AA138" s="403">
        <f t="shared" si="347"/>
        <v>1292.2199999999998</v>
      </c>
      <c r="AB138" s="403">
        <f t="shared" si="347"/>
        <v>1292.2199999999998</v>
      </c>
      <c r="AC138" s="403">
        <f t="shared" si="347"/>
        <v>1292.2199999999998</v>
      </c>
      <c r="AD138" s="403">
        <f t="shared" si="347"/>
        <v>1292.2199999999998</v>
      </c>
      <c r="AE138" s="403">
        <f t="shared" si="347"/>
        <v>1292.2199999999998</v>
      </c>
      <c r="AF138" s="403">
        <f t="shared" si="347"/>
        <v>1292.2199999999998</v>
      </c>
      <c r="AG138" s="403">
        <f t="shared" si="347"/>
        <v>1292.2199999999998</v>
      </c>
      <c r="AH138" s="323"/>
      <c r="AI138" s="403">
        <f t="shared" si="348"/>
        <v>1145.3399999999999</v>
      </c>
      <c r="AJ138" s="403">
        <f t="shared" si="346"/>
        <v>1145.3399999999999</v>
      </c>
      <c r="AK138" s="403">
        <f t="shared" si="346"/>
        <v>1145.3399999999999</v>
      </c>
      <c r="AL138" s="403">
        <f t="shared" si="346"/>
        <v>1145.3399999999999</v>
      </c>
      <c r="AM138" s="403">
        <f t="shared" si="346"/>
        <v>1145.3399999999999</v>
      </c>
      <c r="AN138" s="403">
        <f t="shared" si="346"/>
        <v>1145.3399999999999</v>
      </c>
      <c r="AO138" s="403">
        <f t="shared" si="346"/>
        <v>1145.3399999999999</v>
      </c>
      <c r="AP138" s="403">
        <f t="shared" si="346"/>
        <v>1145.3399999999999</v>
      </c>
    </row>
    <row r="139" spans="1:42" ht="22.5">
      <c r="A139" s="191" t="s">
        <v>355</v>
      </c>
      <c r="B139" s="689">
        <v>5</v>
      </c>
      <c r="C139" s="407" t="s">
        <v>363</v>
      </c>
      <c r="D139" s="689" t="s">
        <v>270</v>
      </c>
      <c r="E139" s="566"/>
      <c r="F139" s="566"/>
      <c r="G139" s="566"/>
      <c r="H139" s="566"/>
      <c r="I139" s="566"/>
      <c r="J139" s="566"/>
      <c r="K139" s="566"/>
      <c r="L139" s="566"/>
      <c r="M139" s="567">
        <f t="shared" si="327"/>
        <v>147.68</v>
      </c>
      <c r="N139" s="567">
        <f>'附件4-8甲供材料清单'!K31</f>
        <v>112</v>
      </c>
      <c r="O139" s="567">
        <v>1</v>
      </c>
      <c r="P139" s="567">
        <v>34.56</v>
      </c>
      <c r="Q139" s="411">
        <f t="shared" si="328"/>
        <v>0</v>
      </c>
      <c r="R139" s="411">
        <f t="shared" si="329"/>
        <v>0</v>
      </c>
      <c r="S139" s="411">
        <f t="shared" si="330"/>
        <v>0</v>
      </c>
      <c r="T139" s="411">
        <f t="shared" si="331"/>
        <v>0</v>
      </c>
      <c r="U139" s="411">
        <f t="shared" si="332"/>
        <v>0</v>
      </c>
      <c r="V139" s="411">
        <f t="shared" si="333"/>
        <v>0</v>
      </c>
      <c r="W139" s="411">
        <f t="shared" si="334"/>
        <v>0</v>
      </c>
      <c r="X139" s="411">
        <f t="shared" si="335"/>
        <v>0</v>
      </c>
      <c r="Y139" s="409" t="s">
        <v>244</v>
      </c>
      <c r="Z139" s="455">
        <f t="shared" si="347"/>
        <v>0</v>
      </c>
      <c r="AA139" s="403">
        <f t="shared" si="347"/>
        <v>0</v>
      </c>
      <c r="AB139" s="403">
        <f t="shared" si="347"/>
        <v>0</v>
      </c>
      <c r="AC139" s="403">
        <f t="shared" si="347"/>
        <v>0</v>
      </c>
      <c r="AD139" s="403">
        <f t="shared" si="347"/>
        <v>0</v>
      </c>
      <c r="AE139" s="403">
        <f t="shared" si="347"/>
        <v>0</v>
      </c>
      <c r="AF139" s="403">
        <f t="shared" si="347"/>
        <v>0</v>
      </c>
      <c r="AG139" s="403">
        <f t="shared" si="347"/>
        <v>0</v>
      </c>
      <c r="AH139" s="323"/>
      <c r="AI139" s="403">
        <f t="shared" si="348"/>
        <v>0</v>
      </c>
      <c r="AJ139" s="403">
        <f t="shared" si="346"/>
        <v>0</v>
      </c>
      <c r="AK139" s="403">
        <f t="shared" si="346"/>
        <v>0</v>
      </c>
      <c r="AL139" s="403">
        <f t="shared" si="346"/>
        <v>0</v>
      </c>
      <c r="AM139" s="403">
        <f t="shared" si="346"/>
        <v>0</v>
      </c>
      <c r="AN139" s="403">
        <f t="shared" si="346"/>
        <v>0</v>
      </c>
      <c r="AO139" s="403">
        <f t="shared" si="346"/>
        <v>0</v>
      </c>
      <c r="AP139" s="403">
        <f t="shared" si="346"/>
        <v>0</v>
      </c>
    </row>
    <row r="140" spans="1:42" ht="22.5">
      <c r="A140" s="191" t="s">
        <v>355</v>
      </c>
      <c r="B140" s="689">
        <v>6</v>
      </c>
      <c r="C140" s="407" t="s">
        <v>364</v>
      </c>
      <c r="D140" s="689" t="s">
        <v>320</v>
      </c>
      <c r="E140" s="566">
        <f t="shared" ref="E140:L140" si="350">E4+E5</f>
        <v>1</v>
      </c>
      <c r="F140" s="566">
        <f t="shared" si="350"/>
        <v>1</v>
      </c>
      <c r="G140" s="566">
        <f t="shared" si="350"/>
        <v>1</v>
      </c>
      <c r="H140" s="566">
        <f t="shared" si="350"/>
        <v>1</v>
      </c>
      <c r="I140" s="566">
        <f t="shared" si="350"/>
        <v>1</v>
      </c>
      <c r="J140" s="566">
        <f t="shared" si="350"/>
        <v>1</v>
      </c>
      <c r="K140" s="566">
        <f t="shared" si="350"/>
        <v>1</v>
      </c>
      <c r="L140" s="566">
        <f t="shared" si="350"/>
        <v>1</v>
      </c>
      <c r="M140" s="567">
        <f t="shared" si="327"/>
        <v>298.17</v>
      </c>
      <c r="N140" s="567">
        <f>'附件4-8甲供材料清单'!K29</f>
        <v>261</v>
      </c>
      <c r="O140" s="567">
        <v>1</v>
      </c>
      <c r="P140" s="567">
        <v>34.56</v>
      </c>
      <c r="Q140" s="411">
        <f t="shared" si="328"/>
        <v>298.17</v>
      </c>
      <c r="R140" s="411">
        <f t="shared" si="329"/>
        <v>298.17</v>
      </c>
      <c r="S140" s="411">
        <f t="shared" si="330"/>
        <v>298.17</v>
      </c>
      <c r="T140" s="411">
        <f t="shared" si="331"/>
        <v>298.17</v>
      </c>
      <c r="U140" s="411">
        <f t="shared" si="332"/>
        <v>298.17</v>
      </c>
      <c r="V140" s="411">
        <f t="shared" si="333"/>
        <v>298.17</v>
      </c>
      <c r="W140" s="411">
        <f t="shared" si="334"/>
        <v>298.17</v>
      </c>
      <c r="X140" s="411">
        <f t="shared" si="335"/>
        <v>298.17</v>
      </c>
      <c r="Y140" s="409" t="s">
        <v>244</v>
      </c>
      <c r="Z140" s="455">
        <f t="shared" si="347"/>
        <v>298.17</v>
      </c>
      <c r="AA140" s="403">
        <f t="shared" si="347"/>
        <v>298.17</v>
      </c>
      <c r="AB140" s="403">
        <f t="shared" si="347"/>
        <v>298.17</v>
      </c>
      <c r="AC140" s="403">
        <f t="shared" si="347"/>
        <v>298.17</v>
      </c>
      <c r="AD140" s="403">
        <f t="shared" si="347"/>
        <v>298.17</v>
      </c>
      <c r="AE140" s="403">
        <f t="shared" si="347"/>
        <v>298.17</v>
      </c>
      <c r="AF140" s="403">
        <f t="shared" si="347"/>
        <v>298.17</v>
      </c>
      <c r="AG140" s="403">
        <f t="shared" si="347"/>
        <v>298.17</v>
      </c>
      <c r="AH140" s="323"/>
      <c r="AI140" s="403">
        <f t="shared" si="348"/>
        <v>263.61</v>
      </c>
      <c r="AJ140" s="403">
        <f t="shared" si="346"/>
        <v>263.61</v>
      </c>
      <c r="AK140" s="403">
        <f t="shared" si="346"/>
        <v>263.61</v>
      </c>
      <c r="AL140" s="403">
        <f t="shared" si="346"/>
        <v>263.61</v>
      </c>
      <c r="AM140" s="403">
        <f t="shared" si="346"/>
        <v>263.61</v>
      </c>
      <c r="AN140" s="403">
        <f t="shared" si="346"/>
        <v>263.61</v>
      </c>
      <c r="AO140" s="403">
        <f t="shared" si="346"/>
        <v>263.61</v>
      </c>
      <c r="AP140" s="403">
        <f t="shared" si="346"/>
        <v>263.61</v>
      </c>
    </row>
    <row r="141" spans="1:42" ht="22.5">
      <c r="A141" s="191" t="s">
        <v>355</v>
      </c>
      <c r="B141" s="689">
        <v>7</v>
      </c>
      <c r="C141" s="407" t="s">
        <v>365</v>
      </c>
      <c r="D141" s="689" t="s">
        <v>320</v>
      </c>
      <c r="E141" s="566">
        <f t="shared" ref="E141:L141" si="351">E4+E5</f>
        <v>1</v>
      </c>
      <c r="F141" s="566">
        <f t="shared" si="351"/>
        <v>1</v>
      </c>
      <c r="G141" s="566">
        <f t="shared" si="351"/>
        <v>1</v>
      </c>
      <c r="H141" s="566">
        <f t="shared" si="351"/>
        <v>1</v>
      </c>
      <c r="I141" s="566">
        <f t="shared" si="351"/>
        <v>1</v>
      </c>
      <c r="J141" s="566">
        <f t="shared" si="351"/>
        <v>1</v>
      </c>
      <c r="K141" s="566">
        <f t="shared" si="351"/>
        <v>1</v>
      </c>
      <c r="L141" s="566">
        <f t="shared" si="351"/>
        <v>1</v>
      </c>
      <c r="M141" s="567">
        <f t="shared" si="327"/>
        <v>312.31</v>
      </c>
      <c r="N141" s="567">
        <f>'附件4-8甲供材料清单'!K30</f>
        <v>275</v>
      </c>
      <c r="O141" s="567">
        <v>1</v>
      </c>
      <c r="P141" s="567">
        <v>34.56</v>
      </c>
      <c r="Q141" s="411">
        <f t="shared" si="328"/>
        <v>312.31</v>
      </c>
      <c r="R141" s="411">
        <f t="shared" si="329"/>
        <v>312.31</v>
      </c>
      <c r="S141" s="411">
        <f t="shared" si="330"/>
        <v>312.31</v>
      </c>
      <c r="T141" s="411">
        <f t="shared" si="331"/>
        <v>312.31</v>
      </c>
      <c r="U141" s="411">
        <f t="shared" si="332"/>
        <v>312.31</v>
      </c>
      <c r="V141" s="411">
        <f t="shared" si="333"/>
        <v>312.31</v>
      </c>
      <c r="W141" s="411">
        <f t="shared" si="334"/>
        <v>312.31</v>
      </c>
      <c r="X141" s="411">
        <f t="shared" si="335"/>
        <v>312.31</v>
      </c>
      <c r="Y141" s="409" t="s">
        <v>244</v>
      </c>
      <c r="Z141" s="455">
        <f t="shared" si="347"/>
        <v>312.31</v>
      </c>
      <c r="AA141" s="403">
        <f t="shared" si="347"/>
        <v>312.31</v>
      </c>
      <c r="AB141" s="403">
        <f t="shared" si="347"/>
        <v>312.31</v>
      </c>
      <c r="AC141" s="403">
        <f t="shared" si="347"/>
        <v>312.31</v>
      </c>
      <c r="AD141" s="403">
        <f t="shared" si="347"/>
        <v>312.31</v>
      </c>
      <c r="AE141" s="403">
        <f t="shared" si="347"/>
        <v>312.31</v>
      </c>
      <c r="AF141" s="403">
        <f t="shared" si="347"/>
        <v>312.31</v>
      </c>
      <c r="AG141" s="403">
        <f t="shared" si="347"/>
        <v>312.31</v>
      </c>
      <c r="AH141" s="323"/>
      <c r="AI141" s="403">
        <f t="shared" si="348"/>
        <v>277.75</v>
      </c>
      <c r="AJ141" s="403">
        <f t="shared" si="346"/>
        <v>277.75</v>
      </c>
      <c r="AK141" s="403">
        <f t="shared" si="346"/>
        <v>277.75</v>
      </c>
      <c r="AL141" s="403">
        <f t="shared" si="346"/>
        <v>277.75</v>
      </c>
      <c r="AM141" s="403">
        <f t="shared" si="346"/>
        <v>277.75</v>
      </c>
      <c r="AN141" s="403">
        <f t="shared" si="346"/>
        <v>277.75</v>
      </c>
      <c r="AO141" s="403">
        <f t="shared" si="346"/>
        <v>277.75</v>
      </c>
      <c r="AP141" s="403">
        <f t="shared" si="346"/>
        <v>277.75</v>
      </c>
    </row>
    <row r="142" spans="1:42" ht="22.5">
      <c r="A142" s="191" t="s">
        <v>355</v>
      </c>
      <c r="B142" s="689">
        <v>8</v>
      </c>
      <c r="C142" s="407" t="s">
        <v>366</v>
      </c>
      <c r="D142" s="689" t="s">
        <v>270</v>
      </c>
      <c r="E142" s="566">
        <f t="shared" ref="E142:L142" si="352">E4+E5</f>
        <v>1</v>
      </c>
      <c r="F142" s="566">
        <f t="shared" si="352"/>
        <v>1</v>
      </c>
      <c r="G142" s="566">
        <f t="shared" si="352"/>
        <v>1</v>
      </c>
      <c r="H142" s="566">
        <f t="shared" si="352"/>
        <v>1</v>
      </c>
      <c r="I142" s="566">
        <f t="shared" si="352"/>
        <v>1</v>
      </c>
      <c r="J142" s="566">
        <f t="shared" si="352"/>
        <v>1</v>
      </c>
      <c r="K142" s="566">
        <f t="shared" si="352"/>
        <v>1</v>
      </c>
      <c r="L142" s="566">
        <f t="shared" si="352"/>
        <v>1</v>
      </c>
      <c r="M142" s="567">
        <f t="shared" si="327"/>
        <v>73.91</v>
      </c>
      <c r="N142" s="567">
        <f>'附件4-8甲供材料清单'!K35</f>
        <v>55</v>
      </c>
      <c r="O142" s="567">
        <v>1</v>
      </c>
      <c r="P142" s="567">
        <v>18.36</v>
      </c>
      <c r="Q142" s="411">
        <f t="shared" si="328"/>
        <v>73.91</v>
      </c>
      <c r="R142" s="411">
        <f t="shared" si="329"/>
        <v>73.91</v>
      </c>
      <c r="S142" s="411">
        <f t="shared" si="330"/>
        <v>73.91</v>
      </c>
      <c r="T142" s="411">
        <f t="shared" si="331"/>
        <v>73.91</v>
      </c>
      <c r="U142" s="411">
        <f t="shared" si="332"/>
        <v>73.91</v>
      </c>
      <c r="V142" s="411">
        <f t="shared" si="333"/>
        <v>73.91</v>
      </c>
      <c r="W142" s="411">
        <f t="shared" si="334"/>
        <v>73.91</v>
      </c>
      <c r="X142" s="411">
        <f t="shared" si="335"/>
        <v>73.91</v>
      </c>
      <c r="Y142" s="409" t="s">
        <v>244</v>
      </c>
      <c r="Z142" s="455">
        <f t="shared" si="347"/>
        <v>73.91</v>
      </c>
      <c r="AA142" s="403">
        <f t="shared" si="347"/>
        <v>73.91</v>
      </c>
      <c r="AB142" s="403">
        <f t="shared" si="347"/>
        <v>73.91</v>
      </c>
      <c r="AC142" s="403">
        <f t="shared" si="347"/>
        <v>73.91</v>
      </c>
      <c r="AD142" s="403">
        <f t="shared" si="347"/>
        <v>73.91</v>
      </c>
      <c r="AE142" s="403">
        <f t="shared" si="347"/>
        <v>73.91</v>
      </c>
      <c r="AF142" s="403">
        <f t="shared" si="347"/>
        <v>73.91</v>
      </c>
      <c r="AG142" s="403">
        <f t="shared" si="347"/>
        <v>73.91</v>
      </c>
      <c r="AH142" s="323"/>
      <c r="AI142" s="403">
        <f t="shared" si="348"/>
        <v>55.55</v>
      </c>
      <c r="AJ142" s="403">
        <f t="shared" si="346"/>
        <v>55.55</v>
      </c>
      <c r="AK142" s="403">
        <f t="shared" si="346"/>
        <v>55.55</v>
      </c>
      <c r="AL142" s="403">
        <f t="shared" si="346"/>
        <v>55.55</v>
      </c>
      <c r="AM142" s="403">
        <f t="shared" si="346"/>
        <v>55.55</v>
      </c>
      <c r="AN142" s="403">
        <f t="shared" si="346"/>
        <v>55.55</v>
      </c>
      <c r="AO142" s="403">
        <f t="shared" si="346"/>
        <v>55.55</v>
      </c>
      <c r="AP142" s="403">
        <f t="shared" si="346"/>
        <v>55.55</v>
      </c>
    </row>
    <row r="143" spans="1:42" ht="22.5">
      <c r="A143" s="191" t="s">
        <v>355</v>
      </c>
      <c r="B143" s="689">
        <v>9</v>
      </c>
      <c r="C143" s="407" t="s">
        <v>367</v>
      </c>
      <c r="D143" s="689" t="s">
        <v>270</v>
      </c>
      <c r="E143" s="566">
        <f t="shared" ref="E143:L143" si="353">E4+E5</f>
        <v>1</v>
      </c>
      <c r="F143" s="566">
        <f t="shared" si="353"/>
        <v>1</v>
      </c>
      <c r="G143" s="566">
        <f t="shared" si="353"/>
        <v>1</v>
      </c>
      <c r="H143" s="566">
        <f t="shared" si="353"/>
        <v>1</v>
      </c>
      <c r="I143" s="566">
        <f t="shared" si="353"/>
        <v>1</v>
      </c>
      <c r="J143" s="566">
        <f t="shared" si="353"/>
        <v>1</v>
      </c>
      <c r="K143" s="566">
        <f t="shared" si="353"/>
        <v>1</v>
      </c>
      <c r="L143" s="566">
        <f t="shared" si="353"/>
        <v>1</v>
      </c>
      <c r="M143" s="567">
        <f t="shared" si="327"/>
        <v>109.26</v>
      </c>
      <c r="N143" s="567">
        <f>'附件4-8甲供材料清单'!K36</f>
        <v>90</v>
      </c>
      <c r="O143" s="567">
        <v>1</v>
      </c>
      <c r="P143" s="567">
        <v>18.36</v>
      </c>
      <c r="Q143" s="411">
        <f t="shared" si="328"/>
        <v>109.26</v>
      </c>
      <c r="R143" s="411">
        <f t="shared" si="329"/>
        <v>109.26</v>
      </c>
      <c r="S143" s="411">
        <f t="shared" si="330"/>
        <v>109.26</v>
      </c>
      <c r="T143" s="411">
        <f t="shared" si="331"/>
        <v>109.26</v>
      </c>
      <c r="U143" s="411">
        <f t="shared" si="332"/>
        <v>109.26</v>
      </c>
      <c r="V143" s="411">
        <f t="shared" si="333"/>
        <v>109.26</v>
      </c>
      <c r="W143" s="411">
        <f t="shared" si="334"/>
        <v>109.26</v>
      </c>
      <c r="X143" s="411">
        <f t="shared" si="335"/>
        <v>109.26</v>
      </c>
      <c r="Y143" s="409" t="s">
        <v>244</v>
      </c>
      <c r="Z143" s="455">
        <f t="shared" si="347"/>
        <v>109.26</v>
      </c>
      <c r="AA143" s="403">
        <f t="shared" si="347"/>
        <v>109.26</v>
      </c>
      <c r="AB143" s="403">
        <f t="shared" si="347"/>
        <v>109.26</v>
      </c>
      <c r="AC143" s="403">
        <f t="shared" si="347"/>
        <v>109.26</v>
      </c>
      <c r="AD143" s="403">
        <f t="shared" si="347"/>
        <v>109.26</v>
      </c>
      <c r="AE143" s="403">
        <f t="shared" si="347"/>
        <v>109.26</v>
      </c>
      <c r="AF143" s="403">
        <f t="shared" si="347"/>
        <v>109.26</v>
      </c>
      <c r="AG143" s="403">
        <f t="shared" si="347"/>
        <v>109.26</v>
      </c>
      <c r="AH143" s="323"/>
      <c r="AI143" s="403">
        <f t="shared" si="348"/>
        <v>90.9</v>
      </c>
      <c r="AJ143" s="403">
        <f t="shared" si="346"/>
        <v>90.9</v>
      </c>
      <c r="AK143" s="403">
        <f t="shared" si="346"/>
        <v>90.9</v>
      </c>
      <c r="AL143" s="403">
        <f t="shared" si="346"/>
        <v>90.9</v>
      </c>
      <c r="AM143" s="403">
        <f t="shared" si="346"/>
        <v>90.9</v>
      </c>
      <c r="AN143" s="403">
        <f t="shared" si="346"/>
        <v>90.9</v>
      </c>
      <c r="AO143" s="403">
        <f t="shared" si="346"/>
        <v>90.9</v>
      </c>
      <c r="AP143" s="403">
        <f t="shared" si="346"/>
        <v>90.9</v>
      </c>
    </row>
    <row r="144" spans="1:42" ht="11.25">
      <c r="A144" s="191"/>
      <c r="B144" s="635" t="s">
        <v>64</v>
      </c>
      <c r="C144" s="636" t="s">
        <v>368</v>
      </c>
      <c r="D144" s="635"/>
      <c r="E144" s="647"/>
      <c r="F144" s="647"/>
      <c r="G144" s="647"/>
      <c r="H144" s="647"/>
      <c r="I144" s="647"/>
      <c r="J144" s="647"/>
      <c r="K144" s="647"/>
      <c r="L144" s="647"/>
      <c r="M144" s="648"/>
      <c r="N144" s="648"/>
      <c r="O144" s="648"/>
      <c r="P144" s="648"/>
      <c r="Q144" s="649"/>
      <c r="R144" s="649"/>
      <c r="S144" s="649"/>
      <c r="T144" s="649"/>
      <c r="U144" s="649"/>
      <c r="V144" s="649"/>
      <c r="W144" s="649"/>
      <c r="X144" s="649"/>
      <c r="Y144" s="640" t="s">
        <v>1860</v>
      </c>
      <c r="Z144" s="455"/>
      <c r="AA144" s="403"/>
      <c r="AB144" s="403"/>
      <c r="AC144" s="403"/>
      <c r="AD144" s="403"/>
      <c r="AE144" s="403"/>
      <c r="AF144" s="403"/>
      <c r="AG144" s="403"/>
      <c r="AH144" s="323"/>
      <c r="AI144" s="423"/>
      <c r="AJ144" s="423"/>
      <c r="AK144" s="423"/>
      <c r="AL144" s="423"/>
      <c r="AM144" s="423"/>
      <c r="AN144" s="423"/>
      <c r="AO144" s="423"/>
      <c r="AP144" s="423"/>
    </row>
    <row r="145" spans="1:42" ht="11.25">
      <c r="A145" s="191"/>
      <c r="B145" s="635" t="s">
        <v>133</v>
      </c>
      <c r="C145" s="636" t="s">
        <v>229</v>
      </c>
      <c r="D145" s="635"/>
      <c r="E145" s="647"/>
      <c r="F145" s="647"/>
      <c r="G145" s="647"/>
      <c r="H145" s="647"/>
      <c r="I145" s="647"/>
      <c r="J145" s="647"/>
      <c r="K145" s="647"/>
      <c r="L145" s="647"/>
      <c r="M145" s="648"/>
      <c r="N145" s="648"/>
      <c r="O145" s="648"/>
      <c r="P145" s="648"/>
      <c r="Q145" s="649"/>
      <c r="R145" s="649"/>
      <c r="S145" s="649"/>
      <c r="T145" s="649"/>
      <c r="U145" s="649"/>
      <c r="V145" s="649"/>
      <c r="W145" s="649"/>
      <c r="X145" s="649"/>
      <c r="Y145" s="640" t="s">
        <v>1860</v>
      </c>
      <c r="Z145" s="455"/>
      <c r="AA145" s="403"/>
      <c r="AB145" s="403"/>
      <c r="AC145" s="403"/>
      <c r="AD145" s="403"/>
      <c r="AE145" s="403"/>
      <c r="AF145" s="403"/>
      <c r="AG145" s="403"/>
      <c r="AH145" s="323"/>
      <c r="AI145" s="423"/>
      <c r="AJ145" s="423"/>
      <c r="AK145" s="423"/>
      <c r="AL145" s="423"/>
      <c r="AM145" s="423"/>
      <c r="AN145" s="423"/>
      <c r="AO145" s="423"/>
      <c r="AP145" s="423"/>
    </row>
    <row r="146" spans="1:42" ht="33.75">
      <c r="A146" s="191"/>
      <c r="B146" s="689">
        <v>1</v>
      </c>
      <c r="C146" s="407" t="s">
        <v>300</v>
      </c>
      <c r="D146" s="689" t="s">
        <v>231</v>
      </c>
      <c r="E146" s="566"/>
      <c r="F146" s="566"/>
      <c r="G146" s="566"/>
      <c r="H146" s="566"/>
      <c r="I146" s="566"/>
      <c r="J146" s="566"/>
      <c r="K146" s="566"/>
      <c r="L146" s="566"/>
      <c r="M146" s="567">
        <f t="shared" si="327"/>
        <v>95.70204081632653</v>
      </c>
      <c r="N146" s="567">
        <f>'附件4-8甲供材料清单'!M130</f>
        <v>55.183673469387763</v>
      </c>
      <c r="O146" s="567">
        <v>10</v>
      </c>
      <c r="P146" s="567">
        <v>35</v>
      </c>
      <c r="Q146" s="411">
        <f t="shared" si="328"/>
        <v>0</v>
      </c>
      <c r="R146" s="411">
        <f t="shared" si="329"/>
        <v>0</v>
      </c>
      <c r="S146" s="411">
        <f t="shared" si="330"/>
        <v>0</v>
      </c>
      <c r="T146" s="411">
        <f t="shared" si="331"/>
        <v>0</v>
      </c>
      <c r="U146" s="411">
        <f t="shared" si="332"/>
        <v>0</v>
      </c>
      <c r="V146" s="411">
        <f t="shared" si="333"/>
        <v>0</v>
      </c>
      <c r="W146" s="411">
        <f t="shared" si="334"/>
        <v>0</v>
      </c>
      <c r="X146" s="411">
        <f t="shared" si="335"/>
        <v>0</v>
      </c>
      <c r="Y146" s="409" t="s">
        <v>244</v>
      </c>
      <c r="Z146" s="455">
        <f t="shared" ref="Z146" si="354">Q146</f>
        <v>0</v>
      </c>
      <c r="AA146" s="403">
        <f t="shared" ref="AA146:AG146" si="355">R146</f>
        <v>0</v>
      </c>
      <c r="AB146" s="403">
        <f t="shared" si="355"/>
        <v>0</v>
      </c>
      <c r="AC146" s="403">
        <f t="shared" si="355"/>
        <v>0</v>
      </c>
      <c r="AD146" s="403">
        <f t="shared" si="355"/>
        <v>0</v>
      </c>
      <c r="AE146" s="403">
        <f t="shared" si="355"/>
        <v>0</v>
      </c>
      <c r="AF146" s="403">
        <f t="shared" si="355"/>
        <v>0</v>
      </c>
      <c r="AG146" s="403">
        <f t="shared" si="355"/>
        <v>0</v>
      </c>
      <c r="AH146" s="323"/>
      <c r="AI146" s="403">
        <f t="shared" ref="AI146" si="356">E146*$N146*(1+$O146%)</f>
        <v>0</v>
      </c>
      <c r="AJ146" s="403">
        <f t="shared" ref="AJ146:AP146" si="357">F146*$N146*(1+$O146%)</f>
        <v>0</v>
      </c>
      <c r="AK146" s="403">
        <f t="shared" si="357"/>
        <v>0</v>
      </c>
      <c r="AL146" s="403">
        <f t="shared" si="357"/>
        <v>0</v>
      </c>
      <c r="AM146" s="403">
        <f t="shared" si="357"/>
        <v>0</v>
      </c>
      <c r="AN146" s="403">
        <f t="shared" si="357"/>
        <v>0</v>
      </c>
      <c r="AO146" s="403">
        <f t="shared" si="357"/>
        <v>0</v>
      </c>
      <c r="AP146" s="403">
        <f t="shared" si="357"/>
        <v>0</v>
      </c>
    </row>
    <row r="147" spans="1:42" s="384" customFormat="1" ht="22.5">
      <c r="A147" s="191"/>
      <c r="B147" s="689" t="s">
        <v>233</v>
      </c>
      <c r="C147" s="407" t="s">
        <v>369</v>
      </c>
      <c r="D147" s="689" t="s">
        <v>231</v>
      </c>
      <c r="E147" s="566">
        <v>8.34</v>
      </c>
      <c r="F147" s="566">
        <f t="shared" ref="F147" si="358">F148</f>
        <v>6.25</v>
      </c>
      <c r="G147" s="566">
        <f t="shared" ref="G147:L147" si="359">G148</f>
        <v>7.78</v>
      </c>
      <c r="H147" s="566">
        <f t="shared" si="359"/>
        <v>5.62</v>
      </c>
      <c r="I147" s="566">
        <f t="shared" si="359"/>
        <v>9.15</v>
      </c>
      <c r="J147" s="566">
        <f t="shared" si="359"/>
        <v>4.92</v>
      </c>
      <c r="K147" s="566">
        <f t="shared" si="359"/>
        <v>7.31</v>
      </c>
      <c r="L147" s="566">
        <f t="shared" si="359"/>
        <v>1.07</v>
      </c>
      <c r="M147" s="567">
        <f t="shared" si="327"/>
        <v>79.14</v>
      </c>
      <c r="N147" s="567">
        <v>15</v>
      </c>
      <c r="O147" s="567">
        <v>10</v>
      </c>
      <c r="P147" s="567">
        <v>62.64</v>
      </c>
      <c r="Q147" s="402">
        <f t="shared" si="328"/>
        <v>660.02760000000001</v>
      </c>
      <c r="R147" s="402">
        <f t="shared" si="329"/>
        <v>494.625</v>
      </c>
      <c r="S147" s="402">
        <f t="shared" si="330"/>
        <v>615.70920000000001</v>
      </c>
      <c r="T147" s="402">
        <f t="shared" si="331"/>
        <v>444.76679999999999</v>
      </c>
      <c r="U147" s="402">
        <f t="shared" si="332"/>
        <v>724.13100000000009</v>
      </c>
      <c r="V147" s="402">
        <f t="shared" si="333"/>
        <v>389.36880000000002</v>
      </c>
      <c r="W147" s="402">
        <f t="shared" si="334"/>
        <v>578.51339999999993</v>
      </c>
      <c r="X147" s="402">
        <f t="shared" si="335"/>
        <v>84.6798</v>
      </c>
      <c r="Y147" s="409"/>
      <c r="Z147" s="455"/>
      <c r="AA147" s="403"/>
      <c r="AB147" s="403"/>
      <c r="AC147" s="403"/>
      <c r="AD147" s="403"/>
      <c r="AE147" s="403"/>
      <c r="AF147" s="403"/>
      <c r="AG147" s="403"/>
      <c r="AH147" s="323"/>
      <c r="AI147" s="423"/>
      <c r="AJ147" s="423"/>
      <c r="AK147" s="423"/>
      <c r="AL147" s="423"/>
      <c r="AM147" s="423"/>
      <c r="AN147" s="423"/>
      <c r="AO147" s="423"/>
      <c r="AP147" s="423"/>
    </row>
    <row r="148" spans="1:42" ht="22.5">
      <c r="A148" s="191"/>
      <c r="B148" s="689" t="s">
        <v>233</v>
      </c>
      <c r="C148" s="407" t="s">
        <v>302</v>
      </c>
      <c r="D148" s="689" t="s">
        <v>231</v>
      </c>
      <c r="E148" s="566">
        <f>E152+E153</f>
        <v>0.97</v>
      </c>
      <c r="F148" s="566">
        <f t="shared" ref="F148" si="360">F152+F153</f>
        <v>6.25</v>
      </c>
      <c r="G148" s="566">
        <f t="shared" ref="G148:L148" si="361">G152+G153</f>
        <v>7.78</v>
      </c>
      <c r="H148" s="566">
        <f t="shared" si="361"/>
        <v>5.62</v>
      </c>
      <c r="I148" s="566">
        <f t="shared" si="361"/>
        <v>9.15</v>
      </c>
      <c r="J148" s="566">
        <f t="shared" si="361"/>
        <v>4.92</v>
      </c>
      <c r="K148" s="566">
        <f t="shared" si="361"/>
        <v>7.31</v>
      </c>
      <c r="L148" s="566">
        <f t="shared" si="361"/>
        <v>1.07</v>
      </c>
      <c r="M148" s="567">
        <f t="shared" si="327"/>
        <v>22.012509999999999</v>
      </c>
      <c r="N148" s="567">
        <f>'附件4-8甲供材料清单'!N127</f>
        <v>2.79251</v>
      </c>
      <c r="O148" s="567"/>
      <c r="P148" s="567">
        <v>19.22</v>
      </c>
      <c r="Q148" s="411">
        <f t="shared" si="328"/>
        <v>21.352134699999997</v>
      </c>
      <c r="R148" s="411">
        <f t="shared" si="329"/>
        <v>137.57818749999998</v>
      </c>
      <c r="S148" s="411">
        <f t="shared" si="330"/>
        <v>171.25732779999998</v>
      </c>
      <c r="T148" s="411">
        <f t="shared" si="331"/>
        <v>123.71030619999999</v>
      </c>
      <c r="U148" s="411">
        <f t="shared" si="332"/>
        <v>201.4144665</v>
      </c>
      <c r="V148" s="411">
        <f t="shared" si="333"/>
        <v>108.3015492</v>
      </c>
      <c r="W148" s="411">
        <f t="shared" si="334"/>
        <v>160.91144809999997</v>
      </c>
      <c r="X148" s="411">
        <f t="shared" si="335"/>
        <v>23.5533857</v>
      </c>
      <c r="Y148" s="409" t="s">
        <v>244</v>
      </c>
      <c r="Z148" s="455">
        <f t="shared" ref="Z148" si="362">Q148</f>
        <v>21.352134699999997</v>
      </c>
      <c r="AA148" s="403">
        <f t="shared" ref="AA148:AG149" si="363">R148</f>
        <v>137.57818749999998</v>
      </c>
      <c r="AB148" s="403">
        <f t="shared" si="363"/>
        <v>171.25732779999998</v>
      </c>
      <c r="AC148" s="403">
        <f t="shared" si="363"/>
        <v>123.71030619999999</v>
      </c>
      <c r="AD148" s="403">
        <f t="shared" si="363"/>
        <v>201.4144665</v>
      </c>
      <c r="AE148" s="403">
        <f t="shared" si="363"/>
        <v>108.3015492</v>
      </c>
      <c r="AF148" s="403">
        <f t="shared" si="363"/>
        <v>160.91144809999997</v>
      </c>
      <c r="AG148" s="403">
        <f t="shared" si="363"/>
        <v>23.5533857</v>
      </c>
      <c r="AH148" s="323"/>
      <c r="AI148" s="403">
        <f t="shared" ref="AI148" si="364">E148*$N148*(1+$O148%)</f>
        <v>2.7087346999999999</v>
      </c>
      <c r="AJ148" s="403">
        <f t="shared" ref="AJ148:AP149" si="365">F148*$N148*(1+$O148%)</f>
        <v>17.453187499999999</v>
      </c>
      <c r="AK148" s="403">
        <f t="shared" si="365"/>
        <v>21.725727800000001</v>
      </c>
      <c r="AL148" s="403">
        <f t="shared" si="365"/>
        <v>15.693906200000001</v>
      </c>
      <c r="AM148" s="403">
        <f t="shared" si="365"/>
        <v>25.5514665</v>
      </c>
      <c r="AN148" s="403">
        <f t="shared" si="365"/>
        <v>13.7391492</v>
      </c>
      <c r="AO148" s="403">
        <f t="shared" si="365"/>
        <v>20.413248100000001</v>
      </c>
      <c r="AP148" s="403">
        <f t="shared" si="365"/>
        <v>2.9879857000000003</v>
      </c>
    </row>
    <row r="149" spans="1:42" ht="22.5">
      <c r="A149" s="191"/>
      <c r="B149" s="689" t="s">
        <v>233</v>
      </c>
      <c r="C149" s="407" t="s">
        <v>303</v>
      </c>
      <c r="D149" s="689" t="s">
        <v>231</v>
      </c>
      <c r="E149" s="566"/>
      <c r="F149" s="566"/>
      <c r="G149" s="566"/>
      <c r="H149" s="566"/>
      <c r="I149" s="566"/>
      <c r="J149" s="566"/>
      <c r="K149" s="566"/>
      <c r="L149" s="566"/>
      <c r="M149" s="567">
        <f t="shared" si="327"/>
        <v>24.572509999999998</v>
      </c>
      <c r="N149" s="567">
        <f>N148</f>
        <v>2.79251</v>
      </c>
      <c r="O149" s="567"/>
      <c r="P149" s="567">
        <f>2.56+19.22</f>
        <v>21.779999999999998</v>
      </c>
      <c r="Q149" s="411">
        <f t="shared" si="328"/>
        <v>0</v>
      </c>
      <c r="R149" s="411">
        <f t="shared" si="329"/>
        <v>0</v>
      </c>
      <c r="S149" s="411">
        <f t="shared" si="330"/>
        <v>0</v>
      </c>
      <c r="T149" s="411">
        <f t="shared" si="331"/>
        <v>0</v>
      </c>
      <c r="U149" s="411">
        <f t="shared" si="332"/>
        <v>0</v>
      </c>
      <c r="V149" s="411">
        <f t="shared" si="333"/>
        <v>0</v>
      </c>
      <c r="W149" s="411">
        <f t="shared" si="334"/>
        <v>0</v>
      </c>
      <c r="X149" s="411">
        <f t="shared" si="335"/>
        <v>0</v>
      </c>
      <c r="Y149" s="409" t="s">
        <v>244</v>
      </c>
      <c r="Z149" s="455">
        <f>Q149</f>
        <v>0</v>
      </c>
      <c r="AA149" s="403">
        <f t="shared" si="363"/>
        <v>0</v>
      </c>
      <c r="AB149" s="403">
        <f t="shared" si="363"/>
        <v>0</v>
      </c>
      <c r="AC149" s="403">
        <f t="shared" si="363"/>
        <v>0</v>
      </c>
      <c r="AD149" s="403">
        <f t="shared" si="363"/>
        <v>0</v>
      </c>
      <c r="AE149" s="403">
        <f t="shared" si="363"/>
        <v>0</v>
      </c>
      <c r="AF149" s="403">
        <f t="shared" si="363"/>
        <v>0</v>
      </c>
      <c r="AG149" s="403">
        <f t="shared" si="363"/>
        <v>0</v>
      </c>
      <c r="AH149" s="323"/>
      <c r="AI149" s="403">
        <f>E149*$N149*(1+$O149%)</f>
        <v>0</v>
      </c>
      <c r="AJ149" s="403">
        <f t="shared" si="365"/>
        <v>0</v>
      </c>
      <c r="AK149" s="403">
        <f t="shared" si="365"/>
        <v>0</v>
      </c>
      <c r="AL149" s="403">
        <f t="shared" si="365"/>
        <v>0</v>
      </c>
      <c r="AM149" s="403">
        <f t="shared" si="365"/>
        <v>0</v>
      </c>
      <c r="AN149" s="403">
        <f t="shared" si="365"/>
        <v>0</v>
      </c>
      <c r="AO149" s="403">
        <f t="shared" si="365"/>
        <v>0</v>
      </c>
      <c r="AP149" s="403">
        <f t="shared" si="365"/>
        <v>0</v>
      </c>
    </row>
    <row r="150" spans="1:42" s="384" customFormat="1" ht="33.75">
      <c r="A150" s="191"/>
      <c r="B150" s="689" t="s">
        <v>233</v>
      </c>
      <c r="C150" s="407" t="s">
        <v>370</v>
      </c>
      <c r="D150" s="689" t="s">
        <v>270</v>
      </c>
      <c r="E150" s="566">
        <v>1</v>
      </c>
      <c r="F150" s="566">
        <v>1</v>
      </c>
      <c r="G150" s="566">
        <v>1</v>
      </c>
      <c r="H150" s="566">
        <v>1</v>
      </c>
      <c r="I150" s="566">
        <v>1</v>
      </c>
      <c r="J150" s="566">
        <v>1</v>
      </c>
      <c r="K150" s="566">
        <v>1</v>
      </c>
      <c r="L150" s="566">
        <v>1</v>
      </c>
      <c r="M150" s="567">
        <f t="shared" si="327"/>
        <v>56.25</v>
      </c>
      <c r="N150" s="567">
        <v>45</v>
      </c>
      <c r="O150" s="567">
        <v>1</v>
      </c>
      <c r="P150" s="567">
        <v>10.8</v>
      </c>
      <c r="Q150" s="402">
        <f t="shared" si="328"/>
        <v>56.25</v>
      </c>
      <c r="R150" s="402">
        <f t="shared" si="329"/>
        <v>56.25</v>
      </c>
      <c r="S150" s="402">
        <f t="shared" si="330"/>
        <v>56.25</v>
      </c>
      <c r="T150" s="402">
        <f t="shared" si="331"/>
        <v>56.25</v>
      </c>
      <c r="U150" s="402">
        <f t="shared" si="332"/>
        <v>56.25</v>
      </c>
      <c r="V150" s="402">
        <f t="shared" si="333"/>
        <v>56.25</v>
      </c>
      <c r="W150" s="402">
        <f t="shared" si="334"/>
        <v>56.25</v>
      </c>
      <c r="X150" s="402">
        <f t="shared" si="335"/>
        <v>56.25</v>
      </c>
      <c r="Y150" s="409"/>
      <c r="Z150" s="455"/>
      <c r="AA150" s="403"/>
      <c r="AB150" s="403"/>
      <c r="AC150" s="403"/>
      <c r="AD150" s="403"/>
      <c r="AE150" s="403"/>
      <c r="AF150" s="403"/>
      <c r="AG150" s="403"/>
      <c r="AH150" s="323"/>
      <c r="AI150" s="423"/>
      <c r="AJ150" s="423"/>
      <c r="AK150" s="423"/>
      <c r="AL150" s="423"/>
      <c r="AM150" s="423"/>
      <c r="AN150" s="423"/>
      <c r="AO150" s="423"/>
      <c r="AP150" s="423"/>
    </row>
    <row r="151" spans="1:42" ht="11.25">
      <c r="A151" s="191"/>
      <c r="B151" s="635" t="s">
        <v>246</v>
      </c>
      <c r="C151" s="636" t="s">
        <v>247</v>
      </c>
      <c r="D151" s="635"/>
      <c r="E151" s="647"/>
      <c r="F151" s="647"/>
      <c r="G151" s="647"/>
      <c r="H151" s="647"/>
      <c r="I151" s="647"/>
      <c r="J151" s="647"/>
      <c r="K151" s="647"/>
      <c r="L151" s="647"/>
      <c r="M151" s="648"/>
      <c r="N151" s="648"/>
      <c r="O151" s="648"/>
      <c r="P151" s="648"/>
      <c r="Q151" s="649"/>
      <c r="R151" s="649"/>
      <c r="S151" s="649"/>
      <c r="T151" s="649"/>
      <c r="U151" s="649"/>
      <c r="V151" s="649"/>
      <c r="W151" s="649"/>
      <c r="X151" s="649"/>
      <c r="Y151" s="640" t="s">
        <v>1860</v>
      </c>
      <c r="Z151" s="455"/>
      <c r="AA151" s="403"/>
      <c r="AB151" s="403"/>
      <c r="AC151" s="403"/>
      <c r="AD151" s="403"/>
      <c r="AE151" s="403"/>
      <c r="AF151" s="403"/>
      <c r="AG151" s="403"/>
      <c r="AH151" s="323"/>
      <c r="AI151" s="423"/>
      <c r="AJ151" s="423"/>
      <c r="AK151" s="423"/>
      <c r="AL151" s="423"/>
      <c r="AM151" s="423"/>
      <c r="AN151" s="423"/>
      <c r="AO151" s="423"/>
      <c r="AP151" s="423"/>
    </row>
    <row r="152" spans="1:42" s="384" customFormat="1">
      <c r="A152" s="191"/>
      <c r="B152" s="689">
        <v>1</v>
      </c>
      <c r="C152" s="407" t="s">
        <v>371</v>
      </c>
      <c r="D152" s="689" t="s">
        <v>231</v>
      </c>
      <c r="E152" s="566">
        <f>A单元!$E$55</f>
        <v>0.97</v>
      </c>
      <c r="F152" s="566">
        <f>C单元!$E$55</f>
        <v>1.47</v>
      </c>
      <c r="G152" s="566">
        <f>B单元!$E$55</f>
        <v>1.91</v>
      </c>
      <c r="H152" s="566">
        <f>F单元!E55</f>
        <v>0.87</v>
      </c>
      <c r="I152" s="566">
        <f>H单元!$E$55</f>
        <v>1.87</v>
      </c>
      <c r="J152" s="566">
        <f>'D单元 '!$E$55</f>
        <v>1.4</v>
      </c>
      <c r="K152" s="566">
        <f>I单元!$E$55</f>
        <v>1.51</v>
      </c>
      <c r="L152" s="566">
        <f>E单元!$E$55</f>
        <v>1.07</v>
      </c>
      <c r="M152" s="567">
        <f t="shared" si="327"/>
        <v>24.44</v>
      </c>
      <c r="N152" s="567"/>
      <c r="O152" s="567"/>
      <c r="P152" s="567">
        <v>24.44</v>
      </c>
      <c r="Q152" s="402">
        <f t="shared" si="328"/>
        <v>23.706800000000001</v>
      </c>
      <c r="R152" s="402">
        <f t="shared" si="329"/>
        <v>35.9268</v>
      </c>
      <c r="S152" s="402">
        <f t="shared" si="330"/>
        <v>46.680399999999999</v>
      </c>
      <c r="T152" s="402">
        <f t="shared" si="331"/>
        <v>21.262800000000002</v>
      </c>
      <c r="U152" s="402">
        <f t="shared" si="332"/>
        <v>45.702800000000003</v>
      </c>
      <c r="V152" s="402">
        <f t="shared" si="333"/>
        <v>34.216000000000001</v>
      </c>
      <c r="W152" s="402">
        <f t="shared" si="334"/>
        <v>36.904400000000003</v>
      </c>
      <c r="X152" s="402">
        <f t="shared" si="335"/>
        <v>26.150800000000004</v>
      </c>
      <c r="Y152" s="409"/>
      <c r="Z152" s="455"/>
      <c r="AA152" s="403"/>
      <c r="AB152" s="403"/>
      <c r="AC152" s="403"/>
      <c r="AD152" s="403"/>
      <c r="AE152" s="403"/>
      <c r="AF152" s="403"/>
      <c r="AG152" s="403"/>
      <c r="AH152" s="323"/>
      <c r="AI152" s="423"/>
      <c r="AJ152" s="423"/>
      <c r="AK152" s="423"/>
      <c r="AL152" s="423"/>
      <c r="AM152" s="423"/>
      <c r="AN152" s="423"/>
      <c r="AO152" s="423"/>
      <c r="AP152" s="423"/>
    </row>
    <row r="153" spans="1:42" ht="22.5">
      <c r="A153" s="191"/>
      <c r="B153" s="689">
        <v>2</v>
      </c>
      <c r="C153" s="407" t="s">
        <v>304</v>
      </c>
      <c r="D153" s="689" t="s">
        <v>231</v>
      </c>
      <c r="E153" s="566">
        <v>0</v>
      </c>
      <c r="F153" s="566">
        <f>C单元!$E$56</f>
        <v>4.78</v>
      </c>
      <c r="G153" s="566">
        <f>B单元!$E$56</f>
        <v>5.87</v>
      </c>
      <c r="H153" s="566">
        <f>F单元!E56</f>
        <v>4.75</v>
      </c>
      <c r="I153" s="566">
        <f>H单元!$E$56</f>
        <v>7.28</v>
      </c>
      <c r="J153" s="566">
        <f>'D单元 '!E56</f>
        <v>3.52</v>
      </c>
      <c r="K153" s="566">
        <f>I单元!$E$56</f>
        <v>5.8</v>
      </c>
      <c r="L153" s="566">
        <v>0</v>
      </c>
      <c r="M153" s="567">
        <f t="shared" si="327"/>
        <v>109.54749999999999</v>
      </c>
      <c r="N153" s="567">
        <f>'附件4-8甲供材料清单'!M13</f>
        <v>57.874999999999986</v>
      </c>
      <c r="O153" s="567">
        <v>6</v>
      </c>
      <c r="P153" s="567">
        <v>48.2</v>
      </c>
      <c r="Q153" s="411">
        <f t="shared" si="328"/>
        <v>0</v>
      </c>
      <c r="R153" s="411">
        <f t="shared" si="329"/>
        <v>523.63704999999993</v>
      </c>
      <c r="S153" s="411">
        <f t="shared" si="330"/>
        <v>643.04382499999997</v>
      </c>
      <c r="T153" s="411">
        <f t="shared" si="331"/>
        <v>520.35062499999992</v>
      </c>
      <c r="U153" s="411">
        <f t="shared" si="332"/>
        <v>797.50579999999991</v>
      </c>
      <c r="V153" s="411">
        <f t="shared" si="333"/>
        <v>385.60719999999998</v>
      </c>
      <c r="W153" s="411">
        <f t="shared" si="334"/>
        <v>635.37549999999987</v>
      </c>
      <c r="X153" s="411">
        <f t="shared" si="335"/>
        <v>0</v>
      </c>
      <c r="Y153" s="409" t="s">
        <v>244</v>
      </c>
      <c r="Z153" s="455">
        <f t="shared" ref="Z153" si="366">Q153</f>
        <v>0</v>
      </c>
      <c r="AA153" s="403">
        <f t="shared" ref="AA153:AG153" si="367">R153</f>
        <v>523.63704999999993</v>
      </c>
      <c r="AB153" s="403">
        <f t="shared" si="367"/>
        <v>643.04382499999997</v>
      </c>
      <c r="AC153" s="403">
        <f t="shared" si="367"/>
        <v>520.35062499999992</v>
      </c>
      <c r="AD153" s="403">
        <f t="shared" si="367"/>
        <v>797.50579999999991</v>
      </c>
      <c r="AE153" s="403">
        <f t="shared" si="367"/>
        <v>385.60719999999998</v>
      </c>
      <c r="AF153" s="403">
        <f t="shared" si="367"/>
        <v>635.37549999999987</v>
      </c>
      <c r="AG153" s="403">
        <f t="shared" si="367"/>
        <v>0</v>
      </c>
      <c r="AH153" s="323"/>
      <c r="AI153" s="403">
        <f t="shared" ref="AI153" si="368">E153*$N153*(1+$O153%)</f>
        <v>0</v>
      </c>
      <c r="AJ153" s="403">
        <f t="shared" ref="AJ153:AP153" si="369">F153*$N153*(1+$O153%)</f>
        <v>293.24104999999992</v>
      </c>
      <c r="AK153" s="403">
        <f t="shared" si="369"/>
        <v>360.10982499999994</v>
      </c>
      <c r="AL153" s="403">
        <f t="shared" si="369"/>
        <v>291.40062499999993</v>
      </c>
      <c r="AM153" s="403">
        <f t="shared" si="369"/>
        <v>446.60979999999995</v>
      </c>
      <c r="AN153" s="403">
        <f t="shared" si="369"/>
        <v>215.94319999999996</v>
      </c>
      <c r="AO153" s="403">
        <f t="shared" si="369"/>
        <v>355.81549999999993</v>
      </c>
      <c r="AP153" s="403">
        <f t="shared" si="369"/>
        <v>0</v>
      </c>
    </row>
    <row r="154" spans="1:42" ht="11.25">
      <c r="A154" s="191"/>
      <c r="B154" s="635" t="s">
        <v>136</v>
      </c>
      <c r="C154" s="636" t="s">
        <v>261</v>
      </c>
      <c r="D154" s="635"/>
      <c r="E154" s="647"/>
      <c r="F154" s="647"/>
      <c r="G154" s="647"/>
      <c r="H154" s="647"/>
      <c r="I154" s="647"/>
      <c r="J154" s="647"/>
      <c r="K154" s="647"/>
      <c r="L154" s="647"/>
      <c r="M154" s="648"/>
      <c r="N154" s="648"/>
      <c r="O154" s="648"/>
      <c r="P154" s="648"/>
      <c r="Q154" s="649"/>
      <c r="R154" s="649"/>
      <c r="S154" s="649"/>
      <c r="T154" s="649"/>
      <c r="U154" s="649"/>
      <c r="V154" s="649"/>
      <c r="W154" s="649"/>
      <c r="X154" s="649"/>
      <c r="Y154" s="640" t="s">
        <v>1860</v>
      </c>
      <c r="Z154" s="455"/>
      <c r="AA154" s="403"/>
      <c r="AB154" s="403"/>
      <c r="AC154" s="403"/>
      <c r="AD154" s="403"/>
      <c r="AE154" s="403"/>
      <c r="AF154" s="403"/>
      <c r="AG154" s="403"/>
      <c r="AH154" s="323"/>
      <c r="AI154" s="423"/>
      <c r="AJ154" s="423"/>
      <c r="AK154" s="423"/>
      <c r="AL154" s="423"/>
      <c r="AM154" s="423"/>
      <c r="AN154" s="423"/>
      <c r="AO154" s="423"/>
      <c r="AP154" s="423"/>
    </row>
    <row r="155" spans="1:42" ht="22.5">
      <c r="A155" s="194"/>
      <c r="B155" s="689">
        <v>1</v>
      </c>
      <c r="C155" s="407" t="s">
        <v>372</v>
      </c>
      <c r="D155" s="689" t="s">
        <v>231</v>
      </c>
      <c r="E155" s="566">
        <f>(4.37+0.567)*A单元!$F$54</f>
        <v>11.75006</v>
      </c>
      <c r="F155" s="566">
        <f>C单元!$O$54</f>
        <v>18.056800000000003</v>
      </c>
      <c r="G155" s="566">
        <f>B单元!$O$54</f>
        <v>22.126799999999999</v>
      </c>
      <c r="H155" s="566">
        <f>5.08*F单元!$F$54-F单元!L6*F单元!L7</f>
        <v>12.192</v>
      </c>
      <c r="I155" s="566">
        <f>5.9*H单元!F54-I159</f>
        <v>12.500399999999999</v>
      </c>
      <c r="J155" s="566">
        <f>'D单元 '!O54</f>
        <v>17.854800000000001</v>
      </c>
      <c r="K155" s="566">
        <f>5.36*H单元!$F$54-K159</f>
        <v>10.38208</v>
      </c>
      <c r="L155" s="566">
        <f>5.51*E单元!$F$54-E单元!$K$6*E单元!$K$7</f>
        <v>10.290591999999998</v>
      </c>
      <c r="M155" s="567">
        <f t="shared" si="327"/>
        <v>97.113333333333344</v>
      </c>
      <c r="N155" s="567">
        <f>'附件4-8甲供材料清单'!M18</f>
        <v>40.666666666666671</v>
      </c>
      <c r="O155" s="567">
        <v>7</v>
      </c>
      <c r="P155" s="567">
        <v>53.6</v>
      </c>
      <c r="Q155" s="411">
        <f t="shared" si="328"/>
        <v>1141.0874934666667</v>
      </c>
      <c r="R155" s="411">
        <f t="shared" si="329"/>
        <v>1753.5560373333337</v>
      </c>
      <c r="S155" s="411">
        <f t="shared" si="330"/>
        <v>2148.8073040000004</v>
      </c>
      <c r="T155" s="411">
        <f t="shared" si="331"/>
        <v>1184.0057600000002</v>
      </c>
      <c r="U155" s="411">
        <f t="shared" si="332"/>
        <v>1213.955512</v>
      </c>
      <c r="V155" s="411">
        <f t="shared" si="333"/>
        <v>1733.9391440000002</v>
      </c>
      <c r="W155" s="411">
        <f t="shared" si="334"/>
        <v>1008.2383957333335</v>
      </c>
      <c r="X155" s="411">
        <f t="shared" si="335"/>
        <v>999.35369109333328</v>
      </c>
      <c r="Y155" s="409" t="s">
        <v>244</v>
      </c>
      <c r="Z155" s="455">
        <f t="shared" ref="Z155" si="370">Q155</f>
        <v>1141.0874934666667</v>
      </c>
      <c r="AA155" s="403">
        <f t="shared" ref="AA155:AG155" si="371">R155</f>
        <v>1753.5560373333337</v>
      </c>
      <c r="AB155" s="403">
        <f t="shared" si="371"/>
        <v>2148.8073040000004</v>
      </c>
      <c r="AC155" s="403">
        <f t="shared" si="371"/>
        <v>1184.0057600000002</v>
      </c>
      <c r="AD155" s="403">
        <f t="shared" si="371"/>
        <v>1213.955512</v>
      </c>
      <c r="AE155" s="403">
        <f t="shared" si="371"/>
        <v>1733.9391440000002</v>
      </c>
      <c r="AF155" s="403">
        <f t="shared" si="371"/>
        <v>1008.2383957333335</v>
      </c>
      <c r="AG155" s="403">
        <f t="shared" si="371"/>
        <v>999.35369109333328</v>
      </c>
      <c r="AH155" s="323"/>
      <c r="AI155" s="403">
        <f t="shared" ref="AI155" si="372">E155*$N155*(1+$O155%)</f>
        <v>511.28427746666671</v>
      </c>
      <c r="AJ155" s="403">
        <f t="shared" ref="AJ155:AP155" si="373">F155*$N155*(1+$O155%)</f>
        <v>785.71155733333353</v>
      </c>
      <c r="AK155" s="403">
        <f t="shared" si="373"/>
        <v>962.81082400000014</v>
      </c>
      <c r="AL155" s="403">
        <f t="shared" si="373"/>
        <v>530.51456000000007</v>
      </c>
      <c r="AM155" s="403">
        <f t="shared" si="373"/>
        <v>543.93407200000001</v>
      </c>
      <c r="AN155" s="403">
        <f t="shared" si="373"/>
        <v>776.92186400000014</v>
      </c>
      <c r="AO155" s="403">
        <f t="shared" si="373"/>
        <v>451.75890773333344</v>
      </c>
      <c r="AP155" s="403">
        <f t="shared" si="373"/>
        <v>447.77795989333333</v>
      </c>
    </row>
    <row r="156" spans="1:42" s="384" customFormat="1" ht="22.5">
      <c r="A156" s="363" t="s">
        <v>373</v>
      </c>
      <c r="B156" s="689">
        <v>2</v>
      </c>
      <c r="C156" s="407" t="s">
        <v>374</v>
      </c>
      <c r="D156" s="689" t="s">
        <v>231</v>
      </c>
      <c r="E156" s="566"/>
      <c r="F156" s="566"/>
      <c r="G156" s="566"/>
      <c r="H156" s="566"/>
      <c r="I156" s="566"/>
      <c r="J156" s="566"/>
      <c r="K156" s="566"/>
      <c r="L156" s="566"/>
      <c r="M156" s="567">
        <f t="shared" si="327"/>
        <v>415.85</v>
      </c>
      <c r="N156" s="567">
        <v>300</v>
      </c>
      <c r="O156" s="567">
        <v>6</v>
      </c>
      <c r="P156" s="567">
        <v>97.85</v>
      </c>
      <c r="Q156" s="402">
        <f t="shared" si="328"/>
        <v>0</v>
      </c>
      <c r="R156" s="402">
        <f t="shared" si="329"/>
        <v>0</v>
      </c>
      <c r="S156" s="402">
        <f t="shared" si="330"/>
        <v>0</v>
      </c>
      <c r="T156" s="402">
        <f t="shared" si="331"/>
        <v>0</v>
      </c>
      <c r="U156" s="402">
        <f t="shared" si="332"/>
        <v>0</v>
      </c>
      <c r="V156" s="402">
        <f t="shared" si="333"/>
        <v>0</v>
      </c>
      <c r="W156" s="402">
        <f t="shared" si="334"/>
        <v>0</v>
      </c>
      <c r="X156" s="402">
        <f t="shared" si="335"/>
        <v>0</v>
      </c>
      <c r="Y156" s="409"/>
      <c r="Z156" s="455"/>
      <c r="AA156" s="403"/>
      <c r="AB156" s="403"/>
      <c r="AC156" s="403"/>
      <c r="AD156" s="403"/>
      <c r="AE156" s="403"/>
      <c r="AF156" s="403"/>
      <c r="AG156" s="403"/>
      <c r="AH156" s="323"/>
      <c r="AI156" s="423"/>
      <c r="AJ156" s="423"/>
      <c r="AK156" s="423"/>
      <c r="AL156" s="423"/>
      <c r="AM156" s="423"/>
      <c r="AN156" s="423"/>
      <c r="AO156" s="423"/>
      <c r="AP156" s="423"/>
    </row>
    <row r="157" spans="1:42" s="384" customFormat="1" ht="26.25" customHeight="1">
      <c r="A157" s="191"/>
      <c r="B157" s="689">
        <v>3</v>
      </c>
      <c r="C157" s="407" t="s">
        <v>342</v>
      </c>
      <c r="D157" s="689" t="s">
        <v>270</v>
      </c>
      <c r="E157" s="566">
        <v>0</v>
      </c>
      <c r="F157" s="566">
        <v>2</v>
      </c>
      <c r="G157" s="566">
        <v>2</v>
      </c>
      <c r="H157" s="566">
        <v>0</v>
      </c>
      <c r="I157" s="566">
        <v>0</v>
      </c>
      <c r="J157" s="566">
        <v>2</v>
      </c>
      <c r="K157" s="566">
        <v>0</v>
      </c>
      <c r="L157" s="566">
        <v>0</v>
      </c>
      <c r="M157" s="567">
        <f t="shared" si="327"/>
        <v>27.995999999999999</v>
      </c>
      <c r="N157" s="567">
        <v>13.6</v>
      </c>
      <c r="O157" s="567">
        <v>1</v>
      </c>
      <c r="P157" s="567">
        <v>14.26</v>
      </c>
      <c r="Q157" s="402">
        <f t="shared" si="328"/>
        <v>0</v>
      </c>
      <c r="R157" s="402">
        <f t="shared" si="329"/>
        <v>55.991999999999997</v>
      </c>
      <c r="S157" s="402">
        <f t="shared" si="330"/>
        <v>55.991999999999997</v>
      </c>
      <c r="T157" s="402">
        <f t="shared" si="331"/>
        <v>0</v>
      </c>
      <c r="U157" s="402">
        <f t="shared" si="332"/>
        <v>0</v>
      </c>
      <c r="V157" s="402">
        <f t="shared" si="333"/>
        <v>55.991999999999997</v>
      </c>
      <c r="W157" s="402">
        <f t="shared" si="334"/>
        <v>0</v>
      </c>
      <c r="X157" s="402">
        <f t="shared" si="335"/>
        <v>0</v>
      </c>
      <c r="Y157" s="409"/>
      <c r="Z157" s="455"/>
      <c r="AA157" s="403"/>
      <c r="AB157" s="403"/>
      <c r="AC157" s="403"/>
      <c r="AD157" s="403"/>
      <c r="AE157" s="403"/>
      <c r="AF157" s="403"/>
      <c r="AG157" s="403"/>
      <c r="AH157" s="323"/>
      <c r="AI157" s="423"/>
      <c r="AJ157" s="423"/>
      <c r="AK157" s="423"/>
      <c r="AL157" s="423"/>
      <c r="AM157" s="423"/>
      <c r="AN157" s="423"/>
      <c r="AO157" s="423"/>
      <c r="AP157" s="423"/>
    </row>
    <row r="158" spans="1:42" ht="22.5">
      <c r="A158" s="191"/>
      <c r="B158" s="689" t="s">
        <v>233</v>
      </c>
      <c r="C158" s="407" t="s">
        <v>343</v>
      </c>
      <c r="D158" s="689" t="s">
        <v>270</v>
      </c>
      <c r="E158" s="566"/>
      <c r="F158" s="566"/>
      <c r="G158" s="566"/>
      <c r="H158" s="566"/>
      <c r="I158" s="566"/>
      <c r="J158" s="566"/>
      <c r="K158" s="566"/>
      <c r="L158" s="566"/>
      <c r="M158" s="567">
        <f t="shared" si="327"/>
        <v>41.045200000000001</v>
      </c>
      <c r="N158" s="567">
        <f>'附件4-8甲供材料清单'!K144</f>
        <v>26.52</v>
      </c>
      <c r="O158" s="567">
        <v>1</v>
      </c>
      <c r="P158" s="567">
        <v>14.26</v>
      </c>
      <c r="Q158" s="411">
        <f t="shared" si="328"/>
        <v>0</v>
      </c>
      <c r="R158" s="411">
        <f t="shared" si="329"/>
        <v>0</v>
      </c>
      <c r="S158" s="411">
        <f t="shared" si="330"/>
        <v>0</v>
      </c>
      <c r="T158" s="411">
        <f t="shared" si="331"/>
        <v>0</v>
      </c>
      <c r="U158" s="411">
        <f t="shared" si="332"/>
        <v>0</v>
      </c>
      <c r="V158" s="411">
        <f t="shared" si="333"/>
        <v>0</v>
      </c>
      <c r="W158" s="411">
        <f t="shared" si="334"/>
        <v>0</v>
      </c>
      <c r="X158" s="411">
        <f t="shared" si="335"/>
        <v>0</v>
      </c>
      <c r="Y158" s="409" t="s">
        <v>244</v>
      </c>
      <c r="Z158" s="455">
        <f t="shared" ref="Z158" si="374">Q158</f>
        <v>0</v>
      </c>
      <c r="AA158" s="403">
        <f t="shared" ref="AA158:AG158" si="375">R158</f>
        <v>0</v>
      </c>
      <c r="AB158" s="403">
        <f t="shared" si="375"/>
        <v>0</v>
      </c>
      <c r="AC158" s="403">
        <f t="shared" si="375"/>
        <v>0</v>
      </c>
      <c r="AD158" s="403">
        <f t="shared" si="375"/>
        <v>0</v>
      </c>
      <c r="AE158" s="403">
        <f t="shared" si="375"/>
        <v>0</v>
      </c>
      <c r="AF158" s="403">
        <f t="shared" si="375"/>
        <v>0</v>
      </c>
      <c r="AG158" s="403">
        <f t="shared" si="375"/>
        <v>0</v>
      </c>
      <c r="AH158" s="323"/>
      <c r="AI158" s="403">
        <f t="shared" ref="AI158" si="376">E158*$N158*(1+$O158%)</f>
        <v>0</v>
      </c>
      <c r="AJ158" s="403">
        <f t="shared" ref="AJ158:AP158" si="377">F158*$N158*(1+$O158%)</f>
        <v>0</v>
      </c>
      <c r="AK158" s="403">
        <f t="shared" si="377"/>
        <v>0</v>
      </c>
      <c r="AL158" s="403">
        <f t="shared" si="377"/>
        <v>0</v>
      </c>
      <c r="AM158" s="403">
        <f t="shared" si="377"/>
        <v>0</v>
      </c>
      <c r="AN158" s="403">
        <f t="shared" si="377"/>
        <v>0</v>
      </c>
      <c r="AO158" s="403">
        <f t="shared" si="377"/>
        <v>0</v>
      </c>
      <c r="AP158" s="403">
        <f t="shared" si="377"/>
        <v>0</v>
      </c>
    </row>
    <row r="159" spans="1:42" s="384" customFormat="1" ht="22.9" customHeight="1">
      <c r="A159" s="191"/>
      <c r="B159" s="689">
        <v>4</v>
      </c>
      <c r="C159" s="407" t="s">
        <v>375</v>
      </c>
      <c r="D159" s="689" t="s">
        <v>231</v>
      </c>
      <c r="E159" s="566">
        <f>(0.2+1.41+0.46)*0.82</f>
        <v>1.6973999999999998</v>
      </c>
      <c r="F159" s="566">
        <f>C单元!M54</f>
        <v>3.7802000000000002</v>
      </c>
      <c r="G159" s="566">
        <f>B单元!M54</f>
        <v>3.8621999999999996</v>
      </c>
      <c r="H159" s="566">
        <f>F单元!$M$54</f>
        <v>1.8187599999999999</v>
      </c>
      <c r="I159" s="566">
        <f>(0.95+0.93)*0.82</f>
        <v>1.5415999999999999</v>
      </c>
      <c r="J159" s="566">
        <f>'D单元 '!M54</f>
        <v>3.8621999999999996</v>
      </c>
      <c r="K159" s="566">
        <f>(1.986+0.45+0.46)*0.82</f>
        <v>2.3747199999999999</v>
      </c>
      <c r="L159" s="566">
        <v>1.9843999999999999</v>
      </c>
      <c r="M159" s="567">
        <f t="shared" si="327"/>
        <v>18.5</v>
      </c>
      <c r="N159" s="567"/>
      <c r="O159" s="567"/>
      <c r="P159" s="567">
        <v>18.5</v>
      </c>
      <c r="Q159" s="402">
        <f t="shared" si="328"/>
        <v>31.401899999999998</v>
      </c>
      <c r="R159" s="402">
        <f t="shared" si="329"/>
        <v>69.933700000000002</v>
      </c>
      <c r="S159" s="402">
        <f t="shared" si="330"/>
        <v>71.450699999999998</v>
      </c>
      <c r="T159" s="402">
        <f t="shared" si="331"/>
        <v>33.647059999999996</v>
      </c>
      <c r="U159" s="402">
        <f t="shared" si="332"/>
        <v>28.519599999999997</v>
      </c>
      <c r="V159" s="402">
        <f t="shared" si="333"/>
        <v>71.450699999999998</v>
      </c>
      <c r="W159" s="402">
        <f t="shared" si="334"/>
        <v>43.932319999999997</v>
      </c>
      <c r="X159" s="402">
        <f t="shared" si="335"/>
        <v>36.711399999999998</v>
      </c>
      <c r="Y159" s="409"/>
      <c r="Z159" s="455"/>
      <c r="AA159" s="403"/>
      <c r="AB159" s="403"/>
      <c r="AC159" s="403"/>
      <c r="AD159" s="403"/>
      <c r="AE159" s="403"/>
      <c r="AF159" s="403"/>
      <c r="AG159" s="403"/>
      <c r="AH159" s="323"/>
      <c r="AI159" s="423"/>
      <c r="AJ159" s="423"/>
      <c r="AK159" s="423"/>
      <c r="AL159" s="423"/>
      <c r="AM159" s="423"/>
      <c r="AN159" s="423"/>
      <c r="AO159" s="423"/>
      <c r="AP159" s="423"/>
    </row>
    <row r="160" spans="1:42" s="384" customFormat="1">
      <c r="A160" s="191"/>
      <c r="B160" s="689">
        <v>5</v>
      </c>
      <c r="C160" s="407" t="s">
        <v>334</v>
      </c>
      <c r="D160" s="689" t="s">
        <v>231</v>
      </c>
      <c r="E160" s="566">
        <f>4.37*1</f>
        <v>4.37</v>
      </c>
      <c r="F160" s="566">
        <f>C单元!N54</f>
        <v>8.81</v>
      </c>
      <c r="G160" s="566">
        <f>B单元!N54</f>
        <v>10.639999999999999</v>
      </c>
      <c r="H160" s="566">
        <f>5.08*1</f>
        <v>5.08</v>
      </c>
      <c r="I160" s="566">
        <f>5.9*1</f>
        <v>5.9</v>
      </c>
      <c r="J160" s="566">
        <f>'D单元 '!N54</f>
        <v>8.86</v>
      </c>
      <c r="K160" s="566">
        <f>5.36*1</f>
        <v>5.36</v>
      </c>
      <c r="L160" s="566">
        <f>4.36*1</f>
        <v>4.3600000000000003</v>
      </c>
      <c r="M160" s="567">
        <f t="shared" si="327"/>
        <v>20.56</v>
      </c>
      <c r="N160" s="567">
        <v>13</v>
      </c>
      <c r="O160" s="567"/>
      <c r="P160" s="567">
        <v>7.56</v>
      </c>
      <c r="Q160" s="402">
        <f t="shared" si="328"/>
        <v>89.847200000000001</v>
      </c>
      <c r="R160" s="402">
        <f t="shared" si="329"/>
        <v>181.1336</v>
      </c>
      <c r="S160" s="402">
        <f t="shared" si="330"/>
        <v>218.75839999999997</v>
      </c>
      <c r="T160" s="402">
        <f t="shared" si="331"/>
        <v>104.4448</v>
      </c>
      <c r="U160" s="402">
        <f t="shared" si="332"/>
        <v>121.304</v>
      </c>
      <c r="V160" s="402">
        <f t="shared" si="333"/>
        <v>182.16159999999996</v>
      </c>
      <c r="W160" s="402">
        <f t="shared" si="334"/>
        <v>110.2016</v>
      </c>
      <c r="X160" s="402">
        <f t="shared" si="335"/>
        <v>89.641599999999997</v>
      </c>
      <c r="Y160" s="409"/>
      <c r="Z160" s="455"/>
      <c r="AA160" s="403"/>
      <c r="AB160" s="403"/>
      <c r="AC160" s="403"/>
      <c r="AD160" s="403"/>
      <c r="AE160" s="403"/>
      <c r="AF160" s="403"/>
      <c r="AG160" s="403"/>
      <c r="AH160" s="323"/>
      <c r="AI160" s="423"/>
      <c r="AJ160" s="423"/>
      <c r="AK160" s="423"/>
      <c r="AL160" s="423"/>
      <c r="AM160" s="423"/>
      <c r="AN160" s="423"/>
      <c r="AO160" s="423"/>
      <c r="AP160" s="423"/>
    </row>
    <row r="161" spans="1:42" s="384" customFormat="1" ht="45">
      <c r="A161" s="191"/>
      <c r="B161" s="689">
        <v>6</v>
      </c>
      <c r="C161" s="415" t="s">
        <v>376</v>
      </c>
      <c r="D161" s="689" t="s">
        <v>340</v>
      </c>
      <c r="E161" s="566">
        <v>1</v>
      </c>
      <c r="F161" s="566">
        <v>1</v>
      </c>
      <c r="G161" s="566">
        <v>1</v>
      </c>
      <c r="H161" s="566">
        <v>1</v>
      </c>
      <c r="I161" s="566">
        <v>1</v>
      </c>
      <c r="J161" s="566">
        <v>1</v>
      </c>
      <c r="K161" s="566">
        <v>1</v>
      </c>
      <c r="L161" s="566">
        <v>1</v>
      </c>
      <c r="M161" s="567">
        <f t="shared" si="327"/>
        <v>32.4</v>
      </c>
      <c r="N161" s="567"/>
      <c r="O161" s="567"/>
      <c r="P161" s="567">
        <v>32.4</v>
      </c>
      <c r="Q161" s="402">
        <f t="shared" si="328"/>
        <v>32.4</v>
      </c>
      <c r="R161" s="402">
        <f t="shared" si="329"/>
        <v>32.4</v>
      </c>
      <c r="S161" s="402">
        <f t="shared" si="330"/>
        <v>32.4</v>
      </c>
      <c r="T161" s="402">
        <f t="shared" si="331"/>
        <v>32.4</v>
      </c>
      <c r="U161" s="402">
        <f t="shared" si="332"/>
        <v>32.4</v>
      </c>
      <c r="V161" s="402">
        <f t="shared" si="333"/>
        <v>32.4</v>
      </c>
      <c r="W161" s="402">
        <f t="shared" si="334"/>
        <v>32.4</v>
      </c>
      <c r="X161" s="402">
        <f t="shared" si="335"/>
        <v>32.4</v>
      </c>
      <c r="Y161" s="409" t="s">
        <v>341</v>
      </c>
      <c r="Z161" s="455"/>
      <c r="AA161" s="403"/>
      <c r="AB161" s="403"/>
      <c r="AC161" s="403"/>
      <c r="AD161" s="403"/>
      <c r="AE161" s="403"/>
      <c r="AF161" s="403"/>
      <c r="AG161" s="403"/>
      <c r="AH161" s="323"/>
      <c r="AI161" s="423"/>
      <c r="AJ161" s="423"/>
      <c r="AK161" s="423"/>
      <c r="AL161" s="423"/>
      <c r="AM161" s="423"/>
      <c r="AN161" s="423"/>
      <c r="AO161" s="423"/>
      <c r="AP161" s="423"/>
    </row>
    <row r="162" spans="1:42" s="384" customFormat="1" ht="33.75">
      <c r="A162" s="191"/>
      <c r="B162" s="689">
        <v>7</v>
      </c>
      <c r="C162" s="417" t="s">
        <v>377</v>
      </c>
      <c r="D162" s="418" t="s">
        <v>231</v>
      </c>
      <c r="E162" s="566"/>
      <c r="F162" s="566"/>
      <c r="G162" s="566"/>
      <c r="H162" s="566"/>
      <c r="I162" s="566"/>
      <c r="J162" s="566"/>
      <c r="K162" s="566"/>
      <c r="L162" s="566"/>
      <c r="M162" s="567">
        <f t="shared" si="327"/>
        <v>124</v>
      </c>
      <c r="N162" s="567"/>
      <c r="O162" s="567"/>
      <c r="P162" s="567">
        <v>124</v>
      </c>
      <c r="Q162" s="402">
        <f t="shared" si="328"/>
        <v>0</v>
      </c>
      <c r="R162" s="402">
        <f t="shared" si="329"/>
        <v>0</v>
      </c>
      <c r="S162" s="402">
        <f t="shared" si="330"/>
        <v>0</v>
      </c>
      <c r="T162" s="402">
        <f t="shared" si="331"/>
        <v>0</v>
      </c>
      <c r="U162" s="402">
        <f t="shared" si="332"/>
        <v>0</v>
      </c>
      <c r="V162" s="402">
        <f t="shared" si="333"/>
        <v>0</v>
      </c>
      <c r="W162" s="402">
        <f t="shared" si="334"/>
        <v>0</v>
      </c>
      <c r="X162" s="402">
        <f t="shared" si="335"/>
        <v>0</v>
      </c>
      <c r="Y162" s="409" t="s">
        <v>378</v>
      </c>
      <c r="Z162" s="455"/>
      <c r="AA162" s="403"/>
      <c r="AB162" s="403"/>
      <c r="AC162" s="403"/>
      <c r="AD162" s="403"/>
      <c r="AE162" s="403"/>
      <c r="AF162" s="403"/>
      <c r="AG162" s="403"/>
      <c r="AH162" s="323"/>
      <c r="AI162" s="423"/>
      <c r="AJ162" s="423"/>
      <c r="AK162" s="423"/>
      <c r="AL162" s="423"/>
      <c r="AM162" s="423"/>
      <c r="AN162" s="423"/>
      <c r="AO162" s="423"/>
      <c r="AP162" s="423"/>
    </row>
    <row r="163" spans="1:42" ht="11.25">
      <c r="A163" s="191"/>
      <c r="B163" s="635" t="s">
        <v>115</v>
      </c>
      <c r="C163" s="636" t="s">
        <v>379</v>
      </c>
      <c r="D163" s="635"/>
      <c r="E163" s="647"/>
      <c r="F163" s="647"/>
      <c r="G163" s="647"/>
      <c r="H163" s="647"/>
      <c r="I163" s="647"/>
      <c r="J163" s="647"/>
      <c r="K163" s="647"/>
      <c r="L163" s="647"/>
      <c r="M163" s="648"/>
      <c r="N163" s="648"/>
      <c r="O163" s="648"/>
      <c r="P163" s="648"/>
      <c r="Q163" s="649"/>
      <c r="R163" s="649"/>
      <c r="S163" s="649"/>
      <c r="T163" s="649"/>
      <c r="U163" s="649"/>
      <c r="V163" s="649"/>
      <c r="W163" s="649"/>
      <c r="X163" s="649"/>
      <c r="Y163" s="640" t="s">
        <v>1860</v>
      </c>
      <c r="Z163" s="455"/>
      <c r="AA163" s="403"/>
      <c r="AB163" s="403"/>
      <c r="AC163" s="403"/>
      <c r="AD163" s="403"/>
      <c r="AE163" s="403"/>
      <c r="AF163" s="403"/>
      <c r="AG163" s="403"/>
      <c r="AH163" s="323"/>
      <c r="AI163" s="423"/>
      <c r="AJ163" s="423"/>
      <c r="AK163" s="423"/>
      <c r="AL163" s="423"/>
      <c r="AM163" s="423"/>
      <c r="AN163" s="423"/>
      <c r="AO163" s="423"/>
      <c r="AP163" s="423"/>
    </row>
    <row r="164" spans="1:42" ht="67.5">
      <c r="A164" s="191"/>
      <c r="B164" s="689" t="s">
        <v>380</v>
      </c>
      <c r="C164" s="407" t="s">
        <v>381</v>
      </c>
      <c r="D164" s="689" t="s">
        <v>320</v>
      </c>
      <c r="E164" s="566">
        <v>1</v>
      </c>
      <c r="F164" s="566">
        <v>1</v>
      </c>
      <c r="G164" s="566">
        <v>1</v>
      </c>
      <c r="H164" s="566">
        <v>1</v>
      </c>
      <c r="I164" s="566">
        <v>1</v>
      </c>
      <c r="J164" s="566">
        <v>1</v>
      </c>
      <c r="K164" s="566">
        <v>1</v>
      </c>
      <c r="L164" s="566">
        <v>1</v>
      </c>
      <c r="M164" s="567">
        <f>N164+N164*O164%+P164</f>
        <v>4140</v>
      </c>
      <c r="N164" s="567">
        <f>'附件4-8甲供材料清单'!K69</f>
        <v>4140</v>
      </c>
      <c r="O164" s="567"/>
      <c r="P164" s="567"/>
      <c r="Q164" s="411">
        <f>E164*$M164</f>
        <v>4140</v>
      </c>
      <c r="R164" s="411">
        <f t="shared" si="329"/>
        <v>4140</v>
      </c>
      <c r="S164" s="411">
        <f t="shared" si="330"/>
        <v>4140</v>
      </c>
      <c r="T164" s="411">
        <f t="shared" si="331"/>
        <v>4140</v>
      </c>
      <c r="U164" s="411">
        <f t="shared" si="332"/>
        <v>4140</v>
      </c>
      <c r="V164" s="411">
        <f t="shared" si="333"/>
        <v>4140</v>
      </c>
      <c r="W164" s="411">
        <f t="shared" si="334"/>
        <v>4140</v>
      </c>
      <c r="X164" s="411">
        <f t="shared" si="335"/>
        <v>4140</v>
      </c>
      <c r="Y164" s="409" t="s">
        <v>382</v>
      </c>
      <c r="Z164" s="455"/>
      <c r="AA164" s="403"/>
      <c r="AB164" s="403"/>
      <c r="AC164" s="403"/>
      <c r="AD164" s="403"/>
      <c r="AE164" s="403"/>
      <c r="AF164" s="403"/>
      <c r="AG164" s="403"/>
      <c r="AH164" s="323"/>
      <c r="AI164" s="403"/>
      <c r="AJ164" s="403"/>
      <c r="AK164" s="403"/>
      <c r="AL164" s="403"/>
      <c r="AM164" s="403"/>
      <c r="AN164" s="403"/>
      <c r="AO164" s="403"/>
      <c r="AP164" s="403"/>
    </row>
    <row r="165" spans="1:42" ht="45">
      <c r="A165" s="191"/>
      <c r="B165" s="689" t="s">
        <v>383</v>
      </c>
      <c r="C165" s="407" t="s">
        <v>384</v>
      </c>
      <c r="D165" s="689" t="s">
        <v>385</v>
      </c>
      <c r="E165" s="566">
        <v>1</v>
      </c>
      <c r="F165" s="566">
        <v>1</v>
      </c>
      <c r="G165" s="566">
        <v>1</v>
      </c>
      <c r="H165" s="566">
        <v>1</v>
      </c>
      <c r="I165" s="566">
        <v>1</v>
      </c>
      <c r="J165" s="566">
        <v>1</v>
      </c>
      <c r="K165" s="566">
        <v>1</v>
      </c>
      <c r="L165" s="566">
        <v>1</v>
      </c>
      <c r="M165" s="567">
        <f>N165+N165*O165%+P165</f>
        <v>54</v>
      </c>
      <c r="N165" s="567"/>
      <c r="O165" s="567"/>
      <c r="P165" s="567">
        <v>54</v>
      </c>
      <c r="Q165" s="411">
        <f>E165*$M165</f>
        <v>54</v>
      </c>
      <c r="R165" s="411">
        <f t="shared" si="329"/>
        <v>54</v>
      </c>
      <c r="S165" s="411">
        <f t="shared" si="330"/>
        <v>54</v>
      </c>
      <c r="T165" s="411">
        <f t="shared" si="331"/>
        <v>54</v>
      </c>
      <c r="U165" s="411">
        <f t="shared" si="332"/>
        <v>54</v>
      </c>
      <c r="V165" s="411">
        <f t="shared" si="333"/>
        <v>54</v>
      </c>
      <c r="W165" s="411">
        <f t="shared" si="334"/>
        <v>54</v>
      </c>
      <c r="X165" s="411">
        <f t="shared" si="335"/>
        <v>54</v>
      </c>
      <c r="Y165" s="409" t="s">
        <v>386</v>
      </c>
      <c r="Z165" s="455">
        <f t="shared" ref="Z165" si="378">Q165</f>
        <v>54</v>
      </c>
      <c r="AA165" s="403">
        <f t="shared" ref="AA165:AG165" si="379">R165</f>
        <v>54</v>
      </c>
      <c r="AB165" s="403">
        <f t="shared" si="379"/>
        <v>54</v>
      </c>
      <c r="AC165" s="403">
        <f t="shared" si="379"/>
        <v>54</v>
      </c>
      <c r="AD165" s="403">
        <f t="shared" si="379"/>
        <v>54</v>
      </c>
      <c r="AE165" s="403">
        <f t="shared" si="379"/>
        <v>54</v>
      </c>
      <c r="AF165" s="403">
        <f t="shared" si="379"/>
        <v>54</v>
      </c>
      <c r="AG165" s="403">
        <f t="shared" si="379"/>
        <v>54</v>
      </c>
      <c r="AH165" s="323"/>
      <c r="AI165" s="403">
        <f t="shared" ref="AI165" si="380">E165*$N165*(1+$O165%)</f>
        <v>0</v>
      </c>
      <c r="AJ165" s="403">
        <f t="shared" ref="AJ165:AP165" si="381">F165*$N165*(1+$O165%)</f>
        <v>0</v>
      </c>
      <c r="AK165" s="403">
        <f t="shared" si="381"/>
        <v>0</v>
      </c>
      <c r="AL165" s="403">
        <f t="shared" si="381"/>
        <v>0</v>
      </c>
      <c r="AM165" s="403">
        <f t="shared" si="381"/>
        <v>0</v>
      </c>
      <c r="AN165" s="403">
        <f t="shared" si="381"/>
        <v>0</v>
      </c>
      <c r="AO165" s="403">
        <f t="shared" si="381"/>
        <v>0</v>
      </c>
      <c r="AP165" s="403">
        <f t="shared" si="381"/>
        <v>0</v>
      </c>
    </row>
    <row r="166" spans="1:42" s="384" customFormat="1">
      <c r="A166" s="191"/>
      <c r="B166" s="689" t="s">
        <v>387</v>
      </c>
      <c r="C166" s="407" t="s">
        <v>388</v>
      </c>
      <c r="D166" s="689"/>
      <c r="E166" s="566"/>
      <c r="F166" s="566"/>
      <c r="G166" s="566"/>
      <c r="H166" s="566"/>
      <c r="I166" s="566"/>
      <c r="J166" s="566"/>
      <c r="K166" s="566"/>
      <c r="L166" s="566"/>
      <c r="M166" s="567">
        <f>N166+N166*O166%+P166</f>
        <v>0</v>
      </c>
      <c r="N166" s="567"/>
      <c r="O166" s="567"/>
      <c r="P166" s="567"/>
      <c r="Q166" s="402">
        <f>E166*$M166</f>
        <v>0</v>
      </c>
      <c r="R166" s="402">
        <f t="shared" si="329"/>
        <v>0</v>
      </c>
      <c r="S166" s="402">
        <f t="shared" si="330"/>
        <v>0</v>
      </c>
      <c r="T166" s="402">
        <f t="shared" si="331"/>
        <v>0</v>
      </c>
      <c r="U166" s="402">
        <f t="shared" si="332"/>
        <v>0</v>
      </c>
      <c r="V166" s="402">
        <f t="shared" si="333"/>
        <v>0</v>
      </c>
      <c r="W166" s="402">
        <f t="shared" si="334"/>
        <v>0</v>
      </c>
      <c r="X166" s="402">
        <f t="shared" si="335"/>
        <v>0</v>
      </c>
      <c r="Y166" s="409"/>
      <c r="Z166" s="455"/>
      <c r="AA166" s="403"/>
      <c r="AB166" s="403"/>
      <c r="AC166" s="403"/>
      <c r="AD166" s="403"/>
      <c r="AE166" s="403"/>
      <c r="AF166" s="403"/>
      <c r="AG166" s="403"/>
      <c r="AH166" s="323"/>
      <c r="AI166" s="423"/>
      <c r="AJ166" s="423"/>
      <c r="AK166" s="423"/>
      <c r="AL166" s="423"/>
      <c r="AM166" s="423"/>
      <c r="AN166" s="423"/>
      <c r="AO166" s="423"/>
      <c r="AP166" s="423"/>
    </row>
    <row r="167" spans="1:42" ht="33.75">
      <c r="A167" s="191"/>
      <c r="B167" s="689">
        <v>1</v>
      </c>
      <c r="C167" s="415" t="s">
        <v>389</v>
      </c>
      <c r="D167" s="689" t="s">
        <v>320</v>
      </c>
      <c r="E167" s="566">
        <v>1</v>
      </c>
      <c r="F167" s="566">
        <v>1</v>
      </c>
      <c r="G167" s="566">
        <v>1</v>
      </c>
      <c r="H167" s="566">
        <v>1</v>
      </c>
      <c r="I167" s="566">
        <v>1</v>
      </c>
      <c r="J167" s="566">
        <v>1</v>
      </c>
      <c r="K167" s="566">
        <v>1</v>
      </c>
      <c r="L167" s="566">
        <v>1</v>
      </c>
      <c r="M167" s="567">
        <f>N167+N167*O167%+P167</f>
        <v>292</v>
      </c>
      <c r="N167" s="567">
        <f>'附件4-8甲供材料清单'!K33</f>
        <v>292</v>
      </c>
      <c r="O167" s="567"/>
      <c r="P167" s="567"/>
      <c r="Q167" s="411">
        <f>E167*$M167</f>
        <v>292</v>
      </c>
      <c r="R167" s="411">
        <f t="shared" si="329"/>
        <v>292</v>
      </c>
      <c r="S167" s="411">
        <f t="shared" si="330"/>
        <v>292</v>
      </c>
      <c r="T167" s="411">
        <f t="shared" si="331"/>
        <v>292</v>
      </c>
      <c r="U167" s="411">
        <f t="shared" si="332"/>
        <v>292</v>
      </c>
      <c r="V167" s="411">
        <f t="shared" si="333"/>
        <v>292</v>
      </c>
      <c r="W167" s="411">
        <f t="shared" si="334"/>
        <v>292</v>
      </c>
      <c r="X167" s="411">
        <f t="shared" si="335"/>
        <v>292</v>
      </c>
      <c r="Y167" s="409" t="s">
        <v>316</v>
      </c>
      <c r="Z167" s="455"/>
      <c r="AA167" s="403"/>
      <c r="AB167" s="403"/>
      <c r="AC167" s="403"/>
      <c r="AD167" s="403"/>
      <c r="AE167" s="403"/>
      <c r="AF167" s="403"/>
      <c r="AG167" s="403"/>
      <c r="AH167" s="323"/>
      <c r="AI167" s="403"/>
      <c r="AJ167" s="403"/>
      <c r="AK167" s="403"/>
      <c r="AL167" s="403"/>
      <c r="AM167" s="403"/>
      <c r="AN167" s="403"/>
      <c r="AO167" s="403"/>
      <c r="AP167" s="403"/>
    </row>
    <row r="168" spans="1:42" ht="33.75">
      <c r="A168" s="191"/>
      <c r="B168" s="689">
        <v>2</v>
      </c>
      <c r="C168" s="415" t="s">
        <v>390</v>
      </c>
      <c r="D168" s="689" t="s">
        <v>320</v>
      </c>
      <c r="E168" s="566"/>
      <c r="F168" s="566"/>
      <c r="G168" s="566"/>
      <c r="H168" s="566"/>
      <c r="I168" s="566"/>
      <c r="J168" s="566"/>
      <c r="K168" s="566"/>
      <c r="L168" s="566"/>
      <c r="M168" s="567">
        <f>N168+N168*O168%+P168</f>
        <v>162</v>
      </c>
      <c r="N168" s="567">
        <f>'附件4-8甲供材料清单'!K34</f>
        <v>162</v>
      </c>
      <c r="O168" s="567"/>
      <c r="P168" s="567"/>
      <c r="Q168" s="411">
        <f>E168*$M168</f>
        <v>0</v>
      </c>
      <c r="R168" s="411">
        <f t="shared" si="329"/>
        <v>0</v>
      </c>
      <c r="S168" s="411">
        <f t="shared" si="330"/>
        <v>0</v>
      </c>
      <c r="T168" s="411">
        <f t="shared" si="331"/>
        <v>0</v>
      </c>
      <c r="U168" s="411">
        <f t="shared" si="332"/>
        <v>0</v>
      </c>
      <c r="V168" s="411">
        <f t="shared" si="333"/>
        <v>0</v>
      </c>
      <c r="W168" s="411">
        <f t="shared" si="334"/>
        <v>0</v>
      </c>
      <c r="X168" s="411">
        <f t="shared" si="335"/>
        <v>0</v>
      </c>
      <c r="Y168" s="409" t="s">
        <v>316</v>
      </c>
      <c r="Z168" s="455"/>
      <c r="AA168" s="403"/>
      <c r="AB168" s="403"/>
      <c r="AC168" s="403"/>
      <c r="AD168" s="403"/>
      <c r="AE168" s="403"/>
      <c r="AF168" s="403"/>
      <c r="AG168" s="403"/>
      <c r="AH168" s="323"/>
      <c r="AI168" s="403"/>
      <c r="AJ168" s="403"/>
      <c r="AK168" s="403"/>
      <c r="AL168" s="403"/>
      <c r="AM168" s="403"/>
      <c r="AN168" s="403"/>
      <c r="AO168" s="403"/>
      <c r="AP168" s="403"/>
    </row>
    <row r="169" spans="1:42" s="384" customFormat="1" ht="22.5">
      <c r="A169" s="191" t="s">
        <v>277</v>
      </c>
      <c r="B169" s="689" t="s">
        <v>278</v>
      </c>
      <c r="C169" s="407" t="s">
        <v>391</v>
      </c>
      <c r="D169" s="689" t="s">
        <v>320</v>
      </c>
      <c r="E169" s="566"/>
      <c r="F169" s="566"/>
      <c r="G169" s="566"/>
      <c r="H169" s="566"/>
      <c r="I169" s="566"/>
      <c r="J169" s="566"/>
      <c r="K169" s="566"/>
      <c r="L169" s="566"/>
      <c r="M169" s="567">
        <f t="shared" ref="M169" si="382">N169+N169*O169%+P169</f>
        <v>25</v>
      </c>
      <c r="N169" s="567"/>
      <c r="O169" s="567"/>
      <c r="P169" s="567">
        <v>25</v>
      </c>
      <c r="Q169" s="402">
        <f t="shared" ref="Q169" si="383">E169*$M169</f>
        <v>0</v>
      </c>
      <c r="R169" s="402">
        <f t="shared" ref="R169" si="384">F169*$M169</f>
        <v>0</v>
      </c>
      <c r="S169" s="402">
        <f t="shared" ref="S169" si="385">G169*$M169</f>
        <v>0</v>
      </c>
      <c r="T169" s="402">
        <f t="shared" ref="T169" si="386">H169*$M169</f>
        <v>0</v>
      </c>
      <c r="U169" s="402">
        <f t="shared" ref="U169" si="387">I169*$M169</f>
        <v>0</v>
      </c>
      <c r="V169" s="402">
        <f t="shared" ref="V169" si="388">J169*$M169</f>
        <v>0</v>
      </c>
      <c r="W169" s="402">
        <f t="shared" ref="W169" si="389">K169*$M169</f>
        <v>0</v>
      </c>
      <c r="X169" s="402">
        <f t="shared" ref="X169" si="390">L169*$M169</f>
        <v>0</v>
      </c>
      <c r="Y169" s="409" t="s">
        <v>392</v>
      </c>
      <c r="Z169" s="455">
        <f t="shared" ref="Z169" si="391">Q169</f>
        <v>0</v>
      </c>
      <c r="AA169" s="403">
        <f t="shared" ref="AA169" si="392">R169</f>
        <v>0</v>
      </c>
      <c r="AB169" s="403">
        <f t="shared" ref="AB169" si="393">S169</f>
        <v>0</v>
      </c>
      <c r="AC169" s="403">
        <f t="shared" ref="AC169" si="394">T169</f>
        <v>0</v>
      </c>
      <c r="AD169" s="403">
        <f t="shared" ref="AD169" si="395">U169</f>
        <v>0</v>
      </c>
      <c r="AE169" s="403">
        <f t="shared" ref="AE169" si="396">V169</f>
        <v>0</v>
      </c>
      <c r="AF169" s="403">
        <f t="shared" ref="AF169" si="397">W169</f>
        <v>0</v>
      </c>
      <c r="AG169" s="403">
        <f t="shared" ref="AG169" si="398">X169</f>
        <v>0</v>
      </c>
      <c r="AH169" s="323"/>
      <c r="AI169" s="403">
        <f t="shared" ref="AI169" si="399">E169*$N169*(1+$O169%)</f>
        <v>0</v>
      </c>
      <c r="AJ169" s="403">
        <f t="shared" ref="AJ169" si="400">F169*$N169*(1+$O169%)</f>
        <v>0</v>
      </c>
      <c r="AK169" s="403">
        <f t="shared" ref="AK169" si="401">G169*$N169*(1+$O169%)</f>
        <v>0</v>
      </c>
      <c r="AL169" s="403">
        <f t="shared" ref="AL169" si="402">H169*$N169*(1+$O169%)</f>
        <v>0</v>
      </c>
      <c r="AM169" s="403">
        <f t="shared" ref="AM169" si="403">I169*$N169*(1+$O169%)</f>
        <v>0</v>
      </c>
      <c r="AN169" s="403">
        <f t="shared" ref="AN169" si="404">J169*$N169*(1+$O169%)</f>
        <v>0</v>
      </c>
      <c r="AO169" s="403">
        <f t="shared" ref="AO169" si="405">K169*$N169*(1+$O169%)</f>
        <v>0</v>
      </c>
      <c r="AP169" s="403">
        <f t="shared" ref="AP169" si="406">L169*$N169*(1+$O169%)</f>
        <v>0</v>
      </c>
    </row>
    <row r="170" spans="1:42" ht="33.75">
      <c r="A170" s="191"/>
      <c r="B170" s="689">
        <v>3</v>
      </c>
      <c r="C170" s="407" t="s">
        <v>393</v>
      </c>
      <c r="D170" s="689" t="s">
        <v>320</v>
      </c>
      <c r="E170" s="566">
        <v>1</v>
      </c>
      <c r="F170" s="566">
        <v>1</v>
      </c>
      <c r="G170" s="566">
        <v>1</v>
      </c>
      <c r="H170" s="566">
        <v>1</v>
      </c>
      <c r="I170" s="566">
        <v>1</v>
      </c>
      <c r="J170" s="566">
        <v>1</v>
      </c>
      <c r="K170" s="566">
        <v>1</v>
      </c>
      <c r="L170" s="566">
        <v>1</v>
      </c>
      <c r="M170" s="567">
        <f t="shared" ref="M170:M191" si="407">N170+N170*O170%+P170</f>
        <v>265.93</v>
      </c>
      <c r="N170" s="567">
        <f>'附件4-8甲供材料清单'!K32</f>
        <v>197</v>
      </c>
      <c r="O170" s="567">
        <v>1</v>
      </c>
      <c r="P170" s="567">
        <v>66.959999999999994</v>
      </c>
      <c r="Q170" s="411">
        <f t="shared" ref="Q170:Q184" si="408">E170*$M170</f>
        <v>265.93</v>
      </c>
      <c r="R170" s="411">
        <f t="shared" ref="R170:R184" si="409">F170*$M170</f>
        <v>265.93</v>
      </c>
      <c r="S170" s="411">
        <f t="shared" ref="S170:S184" si="410">G170*$M170</f>
        <v>265.93</v>
      </c>
      <c r="T170" s="411">
        <f t="shared" ref="T170:T184" si="411">H170*$M170</f>
        <v>265.93</v>
      </c>
      <c r="U170" s="411">
        <f t="shared" ref="U170:U184" si="412">I170*$M170</f>
        <v>265.93</v>
      </c>
      <c r="V170" s="411">
        <f t="shared" ref="V170:V184" si="413">J170*$M170</f>
        <v>265.93</v>
      </c>
      <c r="W170" s="411">
        <f t="shared" ref="W170:W184" si="414">K170*$M170</f>
        <v>265.93</v>
      </c>
      <c r="X170" s="411">
        <f t="shared" ref="X170:X184" si="415">L170*$M170</f>
        <v>265.93</v>
      </c>
      <c r="Y170" s="409" t="s">
        <v>362</v>
      </c>
      <c r="Z170" s="455">
        <f t="shared" ref="Z170" si="416">Q170</f>
        <v>265.93</v>
      </c>
      <c r="AA170" s="403">
        <f t="shared" ref="AA170:AG170" si="417">R170</f>
        <v>265.93</v>
      </c>
      <c r="AB170" s="403">
        <f t="shared" si="417"/>
        <v>265.93</v>
      </c>
      <c r="AC170" s="403">
        <f t="shared" si="417"/>
        <v>265.93</v>
      </c>
      <c r="AD170" s="403">
        <f t="shared" si="417"/>
        <v>265.93</v>
      </c>
      <c r="AE170" s="403">
        <f t="shared" si="417"/>
        <v>265.93</v>
      </c>
      <c r="AF170" s="403">
        <f t="shared" si="417"/>
        <v>265.93</v>
      </c>
      <c r="AG170" s="403">
        <f t="shared" si="417"/>
        <v>265.93</v>
      </c>
      <c r="AH170" s="323"/>
      <c r="AI170" s="403">
        <f t="shared" ref="AI170" si="418">E170*$N170*(1+$O170%)</f>
        <v>198.97</v>
      </c>
      <c r="AJ170" s="403">
        <f t="shared" ref="AJ170:AP170" si="419">F170*$N170*(1+$O170%)</f>
        <v>198.97</v>
      </c>
      <c r="AK170" s="403">
        <f t="shared" si="419"/>
        <v>198.97</v>
      </c>
      <c r="AL170" s="403">
        <f t="shared" si="419"/>
        <v>198.97</v>
      </c>
      <c r="AM170" s="403">
        <f t="shared" si="419"/>
        <v>198.97</v>
      </c>
      <c r="AN170" s="403">
        <f t="shared" si="419"/>
        <v>198.97</v>
      </c>
      <c r="AO170" s="403">
        <f t="shared" si="419"/>
        <v>198.97</v>
      </c>
      <c r="AP170" s="403">
        <f t="shared" si="419"/>
        <v>198.97</v>
      </c>
    </row>
    <row r="171" spans="1:42" ht="11.25">
      <c r="A171" s="191"/>
      <c r="B171" s="635" t="s">
        <v>111</v>
      </c>
      <c r="C171" s="636" t="s">
        <v>394</v>
      </c>
      <c r="D171" s="635"/>
      <c r="E171" s="647"/>
      <c r="F171" s="647"/>
      <c r="G171" s="647"/>
      <c r="H171" s="647"/>
      <c r="I171" s="647"/>
      <c r="J171" s="647"/>
      <c r="K171" s="647"/>
      <c r="L171" s="647"/>
      <c r="M171" s="648"/>
      <c r="N171" s="648"/>
      <c r="O171" s="648"/>
      <c r="P171" s="648"/>
      <c r="Q171" s="649"/>
      <c r="R171" s="649"/>
      <c r="S171" s="649"/>
      <c r="T171" s="649"/>
      <c r="U171" s="649"/>
      <c r="V171" s="649"/>
      <c r="W171" s="649"/>
      <c r="X171" s="649"/>
      <c r="Y171" s="640" t="s">
        <v>1860</v>
      </c>
      <c r="Z171" s="455"/>
      <c r="AA171" s="403"/>
      <c r="AB171" s="403"/>
      <c r="AC171" s="403"/>
      <c r="AD171" s="403"/>
      <c r="AE171" s="403"/>
      <c r="AF171" s="403"/>
      <c r="AG171" s="403"/>
      <c r="AH171" s="323"/>
      <c r="AI171" s="423"/>
      <c r="AJ171" s="423"/>
      <c r="AK171" s="423"/>
      <c r="AL171" s="423"/>
      <c r="AM171" s="423"/>
      <c r="AN171" s="423"/>
      <c r="AO171" s="423"/>
      <c r="AP171" s="423"/>
    </row>
    <row r="172" spans="1:42" ht="11.25">
      <c r="A172" s="191"/>
      <c r="B172" s="635" t="s">
        <v>133</v>
      </c>
      <c r="C172" s="636" t="s">
        <v>229</v>
      </c>
      <c r="D172" s="635"/>
      <c r="E172" s="647"/>
      <c r="F172" s="647"/>
      <c r="G172" s="647"/>
      <c r="H172" s="647"/>
      <c r="I172" s="647"/>
      <c r="J172" s="647"/>
      <c r="K172" s="647"/>
      <c r="L172" s="647"/>
      <c r="M172" s="648"/>
      <c r="N172" s="648"/>
      <c r="O172" s="648"/>
      <c r="P172" s="648"/>
      <c r="Q172" s="649"/>
      <c r="R172" s="649"/>
      <c r="S172" s="649"/>
      <c r="T172" s="649"/>
      <c r="U172" s="649"/>
      <c r="V172" s="649"/>
      <c r="W172" s="649"/>
      <c r="X172" s="649"/>
      <c r="Y172" s="640" t="s">
        <v>1860</v>
      </c>
      <c r="Z172" s="455"/>
      <c r="AA172" s="403"/>
      <c r="AB172" s="403"/>
      <c r="AC172" s="403"/>
      <c r="AD172" s="403"/>
      <c r="AE172" s="403"/>
      <c r="AF172" s="403"/>
      <c r="AG172" s="403"/>
      <c r="AH172" s="323"/>
      <c r="AI172" s="423"/>
      <c r="AJ172" s="423"/>
      <c r="AK172" s="423"/>
      <c r="AL172" s="423"/>
      <c r="AM172" s="423"/>
      <c r="AN172" s="423"/>
      <c r="AO172" s="423"/>
      <c r="AP172" s="423"/>
    </row>
    <row r="173" spans="1:42" s="384" customFormat="1" ht="22.5">
      <c r="A173" s="191"/>
      <c r="B173" s="689">
        <v>1</v>
      </c>
      <c r="C173" s="407" t="s">
        <v>284</v>
      </c>
      <c r="D173" s="689" t="s">
        <v>231</v>
      </c>
      <c r="E173" s="566"/>
      <c r="F173" s="566"/>
      <c r="G173" s="566"/>
      <c r="H173" s="566"/>
      <c r="I173" s="566"/>
      <c r="J173" s="566"/>
      <c r="K173" s="566"/>
      <c r="L173" s="566"/>
      <c r="M173" s="567">
        <f t="shared" si="407"/>
        <v>84.64</v>
      </c>
      <c r="N173" s="567">
        <v>20</v>
      </c>
      <c r="O173" s="567">
        <v>10</v>
      </c>
      <c r="P173" s="567">
        <v>62.64</v>
      </c>
      <c r="Q173" s="402">
        <f t="shared" si="408"/>
        <v>0</v>
      </c>
      <c r="R173" s="402">
        <f t="shared" si="409"/>
        <v>0</v>
      </c>
      <c r="S173" s="402">
        <f t="shared" si="410"/>
        <v>0</v>
      </c>
      <c r="T173" s="402">
        <f t="shared" si="411"/>
        <v>0</v>
      </c>
      <c r="U173" s="402">
        <f t="shared" si="412"/>
        <v>0</v>
      </c>
      <c r="V173" s="402">
        <f t="shared" si="413"/>
        <v>0</v>
      </c>
      <c r="W173" s="402">
        <f t="shared" si="414"/>
        <v>0</v>
      </c>
      <c r="X173" s="402">
        <f t="shared" si="415"/>
        <v>0</v>
      </c>
      <c r="Y173" s="409"/>
      <c r="Z173" s="455"/>
      <c r="AA173" s="403"/>
      <c r="AB173" s="403"/>
      <c r="AC173" s="403"/>
      <c r="AD173" s="403"/>
      <c r="AE173" s="403"/>
      <c r="AF173" s="403"/>
      <c r="AG173" s="403"/>
      <c r="AH173" s="323"/>
      <c r="AI173" s="423"/>
      <c r="AJ173" s="423"/>
      <c r="AK173" s="423"/>
      <c r="AL173" s="423"/>
      <c r="AM173" s="423"/>
      <c r="AN173" s="423"/>
      <c r="AO173" s="423"/>
      <c r="AP173" s="423"/>
    </row>
    <row r="174" spans="1:42" ht="22.5">
      <c r="A174" s="191"/>
      <c r="B174" s="689">
        <v>2</v>
      </c>
      <c r="C174" s="415" t="s">
        <v>243</v>
      </c>
      <c r="D174" s="689" t="s">
        <v>231</v>
      </c>
      <c r="E174" s="566"/>
      <c r="F174" s="566"/>
      <c r="G174" s="566"/>
      <c r="H174" s="566"/>
      <c r="I174" s="566"/>
      <c r="J174" s="566"/>
      <c r="K174" s="566"/>
      <c r="L174" s="566"/>
      <c r="M174" s="567">
        <f t="shared" si="407"/>
        <v>21.428709999999999</v>
      </c>
      <c r="N174" s="567">
        <f>'附件4-8甲供材料清单'!N123</f>
        <v>2.2087100000000004</v>
      </c>
      <c r="O174" s="567"/>
      <c r="P174" s="567">
        <v>19.22</v>
      </c>
      <c r="Q174" s="411">
        <f t="shared" si="408"/>
        <v>0</v>
      </c>
      <c r="R174" s="411">
        <f t="shared" si="409"/>
        <v>0</v>
      </c>
      <c r="S174" s="411">
        <f t="shared" si="410"/>
        <v>0</v>
      </c>
      <c r="T174" s="411">
        <f t="shared" si="411"/>
        <v>0</v>
      </c>
      <c r="U174" s="411">
        <f t="shared" si="412"/>
        <v>0</v>
      </c>
      <c r="V174" s="411">
        <f t="shared" si="413"/>
        <v>0</v>
      </c>
      <c r="W174" s="411">
        <f t="shared" si="414"/>
        <v>0</v>
      </c>
      <c r="X174" s="411">
        <f t="shared" si="415"/>
        <v>0</v>
      </c>
      <c r="Y174" s="409" t="s">
        <v>244</v>
      </c>
      <c r="Z174" s="455">
        <f t="shared" ref="Z174" si="420">Q174</f>
        <v>0</v>
      </c>
      <c r="AA174" s="403">
        <f t="shared" ref="AA174:AG176" si="421">R174</f>
        <v>0</v>
      </c>
      <c r="AB174" s="403">
        <f t="shared" si="421"/>
        <v>0</v>
      </c>
      <c r="AC174" s="403">
        <f t="shared" si="421"/>
        <v>0</v>
      </c>
      <c r="AD174" s="403">
        <f t="shared" si="421"/>
        <v>0</v>
      </c>
      <c r="AE174" s="403">
        <f t="shared" si="421"/>
        <v>0</v>
      </c>
      <c r="AF174" s="403">
        <f t="shared" si="421"/>
        <v>0</v>
      </c>
      <c r="AG174" s="403">
        <f t="shared" si="421"/>
        <v>0</v>
      </c>
      <c r="AH174" s="323"/>
      <c r="AI174" s="403">
        <f t="shared" ref="AI174" si="422">E174*$N174*(1+$O174%)</f>
        <v>0</v>
      </c>
      <c r="AJ174" s="403">
        <f t="shared" ref="AJ174:AP176" si="423">F174*$N174*(1+$O174%)</f>
        <v>0</v>
      </c>
      <c r="AK174" s="403">
        <f t="shared" si="423"/>
        <v>0</v>
      </c>
      <c r="AL174" s="403">
        <f t="shared" si="423"/>
        <v>0</v>
      </c>
      <c r="AM174" s="403">
        <f t="shared" si="423"/>
        <v>0</v>
      </c>
      <c r="AN174" s="403">
        <f t="shared" si="423"/>
        <v>0</v>
      </c>
      <c r="AO174" s="403">
        <f t="shared" si="423"/>
        <v>0</v>
      </c>
      <c r="AP174" s="403">
        <f t="shared" si="423"/>
        <v>0</v>
      </c>
    </row>
    <row r="175" spans="1:42" ht="22.5">
      <c r="A175" s="191"/>
      <c r="B175" s="689" t="s">
        <v>233</v>
      </c>
      <c r="C175" s="415" t="s">
        <v>245</v>
      </c>
      <c r="D175" s="689" t="s">
        <v>231</v>
      </c>
      <c r="E175" s="566"/>
      <c r="F175" s="566"/>
      <c r="G175" s="566"/>
      <c r="H175" s="566"/>
      <c r="I175" s="566"/>
      <c r="J175" s="566"/>
      <c r="K175" s="566"/>
      <c r="L175" s="566"/>
      <c r="M175" s="567">
        <f t="shared" si="407"/>
        <v>23.988709999999998</v>
      </c>
      <c r="N175" s="567">
        <f>N174</f>
        <v>2.2087100000000004</v>
      </c>
      <c r="O175" s="567"/>
      <c r="P175" s="567">
        <f>2.56+19.22</f>
        <v>21.779999999999998</v>
      </c>
      <c r="Q175" s="411">
        <f t="shared" si="408"/>
        <v>0</v>
      </c>
      <c r="R175" s="411">
        <f t="shared" si="409"/>
        <v>0</v>
      </c>
      <c r="S175" s="411">
        <f t="shared" si="410"/>
        <v>0</v>
      </c>
      <c r="T175" s="411">
        <f t="shared" si="411"/>
        <v>0</v>
      </c>
      <c r="U175" s="411">
        <f t="shared" si="412"/>
        <v>0</v>
      </c>
      <c r="V175" s="411">
        <f t="shared" si="413"/>
        <v>0</v>
      </c>
      <c r="W175" s="411">
        <f t="shared" si="414"/>
        <v>0</v>
      </c>
      <c r="X175" s="411">
        <f t="shared" si="415"/>
        <v>0</v>
      </c>
      <c r="Y175" s="409" t="s">
        <v>244</v>
      </c>
      <c r="Z175" s="455">
        <f>Q175</f>
        <v>0</v>
      </c>
      <c r="AA175" s="403">
        <f t="shared" si="421"/>
        <v>0</v>
      </c>
      <c r="AB175" s="403">
        <f t="shared" si="421"/>
        <v>0</v>
      </c>
      <c r="AC175" s="403">
        <f t="shared" si="421"/>
        <v>0</v>
      </c>
      <c r="AD175" s="403">
        <f t="shared" si="421"/>
        <v>0</v>
      </c>
      <c r="AE175" s="403">
        <f t="shared" si="421"/>
        <v>0</v>
      </c>
      <c r="AF175" s="403">
        <f t="shared" si="421"/>
        <v>0</v>
      </c>
      <c r="AG175" s="403">
        <f t="shared" si="421"/>
        <v>0</v>
      </c>
      <c r="AH175" s="323"/>
      <c r="AI175" s="403">
        <f>E175*$N175*(1+$O175%)</f>
        <v>0</v>
      </c>
      <c r="AJ175" s="403">
        <f t="shared" si="423"/>
        <v>0</v>
      </c>
      <c r="AK175" s="403">
        <f t="shared" si="423"/>
        <v>0</v>
      </c>
      <c r="AL175" s="403">
        <f t="shared" si="423"/>
        <v>0</v>
      </c>
      <c r="AM175" s="403">
        <f t="shared" si="423"/>
        <v>0</v>
      </c>
      <c r="AN175" s="403">
        <f t="shared" si="423"/>
        <v>0</v>
      </c>
      <c r="AO175" s="403">
        <f t="shared" si="423"/>
        <v>0</v>
      </c>
      <c r="AP175" s="403">
        <f t="shared" si="423"/>
        <v>0</v>
      </c>
    </row>
    <row r="176" spans="1:42" ht="33.75">
      <c r="A176" s="191"/>
      <c r="B176" s="689">
        <v>3</v>
      </c>
      <c r="C176" s="407" t="s">
        <v>300</v>
      </c>
      <c r="D176" s="689" t="s">
        <v>231</v>
      </c>
      <c r="E176" s="566"/>
      <c r="F176" s="566"/>
      <c r="G176" s="566"/>
      <c r="H176" s="566"/>
      <c r="I176" s="566"/>
      <c r="J176" s="566"/>
      <c r="K176" s="566"/>
      <c r="L176" s="566"/>
      <c r="M176" s="567">
        <f t="shared" si="407"/>
        <v>95.70204081632653</v>
      </c>
      <c r="N176" s="567">
        <f>'附件4-8甲供材料清单'!M130</f>
        <v>55.183673469387763</v>
      </c>
      <c r="O176" s="567">
        <v>10</v>
      </c>
      <c r="P176" s="567">
        <v>35</v>
      </c>
      <c r="Q176" s="411">
        <f t="shared" si="408"/>
        <v>0</v>
      </c>
      <c r="R176" s="411">
        <f t="shared" si="409"/>
        <v>0</v>
      </c>
      <c r="S176" s="411">
        <f t="shared" si="410"/>
        <v>0</v>
      </c>
      <c r="T176" s="411">
        <f t="shared" si="411"/>
        <v>0</v>
      </c>
      <c r="U176" s="411">
        <f t="shared" si="412"/>
        <v>0</v>
      </c>
      <c r="V176" s="411">
        <f t="shared" si="413"/>
        <v>0</v>
      </c>
      <c r="W176" s="411">
        <f t="shared" si="414"/>
        <v>0</v>
      </c>
      <c r="X176" s="411">
        <f t="shared" si="415"/>
        <v>0</v>
      </c>
      <c r="Y176" s="409" t="s">
        <v>244</v>
      </c>
      <c r="Z176" s="455">
        <f>Q176</f>
        <v>0</v>
      </c>
      <c r="AA176" s="403">
        <f t="shared" si="421"/>
        <v>0</v>
      </c>
      <c r="AB176" s="403">
        <f t="shared" si="421"/>
        <v>0</v>
      </c>
      <c r="AC176" s="403">
        <f t="shared" si="421"/>
        <v>0</v>
      </c>
      <c r="AD176" s="403">
        <f t="shared" si="421"/>
        <v>0</v>
      </c>
      <c r="AE176" s="403">
        <f t="shared" si="421"/>
        <v>0</v>
      </c>
      <c r="AF176" s="403">
        <f t="shared" si="421"/>
        <v>0</v>
      </c>
      <c r="AG176" s="403">
        <f t="shared" si="421"/>
        <v>0</v>
      </c>
      <c r="AH176" s="323"/>
      <c r="AI176" s="403">
        <f>E176*$N176*(1+$O176%)</f>
        <v>0</v>
      </c>
      <c r="AJ176" s="403">
        <f t="shared" si="423"/>
        <v>0</v>
      </c>
      <c r="AK176" s="403">
        <f t="shared" si="423"/>
        <v>0</v>
      </c>
      <c r="AL176" s="403">
        <f t="shared" si="423"/>
        <v>0</v>
      </c>
      <c r="AM176" s="403">
        <f t="shared" si="423"/>
        <v>0</v>
      </c>
      <c r="AN176" s="403">
        <f t="shared" si="423"/>
        <v>0</v>
      </c>
      <c r="AO176" s="403">
        <f t="shared" si="423"/>
        <v>0</v>
      </c>
      <c r="AP176" s="403">
        <f t="shared" si="423"/>
        <v>0</v>
      </c>
    </row>
    <row r="177" spans="1:42" ht="11.25">
      <c r="A177" s="191"/>
      <c r="B177" s="635" t="s">
        <v>246</v>
      </c>
      <c r="C177" s="636" t="s">
        <v>247</v>
      </c>
      <c r="D177" s="635"/>
      <c r="E177" s="647"/>
      <c r="F177" s="647"/>
      <c r="G177" s="647"/>
      <c r="H177" s="647"/>
      <c r="I177" s="647"/>
      <c r="J177" s="647"/>
      <c r="K177" s="647"/>
      <c r="L177" s="647"/>
      <c r="M177" s="648"/>
      <c r="N177" s="648"/>
      <c r="O177" s="648"/>
      <c r="P177" s="648"/>
      <c r="Q177" s="649"/>
      <c r="R177" s="649"/>
      <c r="S177" s="649"/>
      <c r="T177" s="649"/>
      <c r="U177" s="649"/>
      <c r="V177" s="649"/>
      <c r="W177" s="649"/>
      <c r="X177" s="649"/>
      <c r="Y177" s="640" t="s">
        <v>1860</v>
      </c>
      <c r="Z177" s="455"/>
      <c r="AA177" s="403"/>
      <c r="AB177" s="403"/>
      <c r="AC177" s="403"/>
      <c r="AD177" s="403"/>
      <c r="AE177" s="403"/>
      <c r="AF177" s="403"/>
      <c r="AG177" s="403"/>
      <c r="AH177" s="323"/>
      <c r="AI177" s="423"/>
      <c r="AJ177" s="423"/>
      <c r="AK177" s="423"/>
      <c r="AL177" s="423"/>
      <c r="AM177" s="423"/>
      <c r="AN177" s="423"/>
      <c r="AO177" s="423"/>
      <c r="AP177" s="423"/>
    </row>
    <row r="178" spans="1:42" ht="22.5">
      <c r="A178" s="191"/>
      <c r="B178" s="419" t="s">
        <v>395</v>
      </c>
      <c r="C178" s="420" t="s">
        <v>396</v>
      </c>
      <c r="D178" s="689" t="s">
        <v>231</v>
      </c>
      <c r="E178" s="566"/>
      <c r="F178" s="566"/>
      <c r="G178" s="566"/>
      <c r="H178" s="566"/>
      <c r="I178" s="566"/>
      <c r="J178" s="566"/>
      <c r="K178" s="566"/>
      <c r="L178" s="566"/>
      <c r="M178" s="567">
        <f t="shared" si="407"/>
        <v>109.54749999999999</v>
      </c>
      <c r="N178" s="567">
        <f>'附件4-8甲供材料清单'!M14</f>
        <v>57.874999999999986</v>
      </c>
      <c r="O178" s="567">
        <v>6</v>
      </c>
      <c r="P178" s="567">
        <v>48.2</v>
      </c>
      <c r="Q178" s="411">
        <f t="shared" si="408"/>
        <v>0</v>
      </c>
      <c r="R178" s="411">
        <f t="shared" si="409"/>
        <v>0</v>
      </c>
      <c r="S178" s="411">
        <f t="shared" si="410"/>
        <v>0</v>
      </c>
      <c r="T178" s="411">
        <f t="shared" si="411"/>
        <v>0</v>
      </c>
      <c r="U178" s="411">
        <f t="shared" si="412"/>
        <v>0</v>
      </c>
      <c r="V178" s="411">
        <f t="shared" si="413"/>
        <v>0</v>
      </c>
      <c r="W178" s="411">
        <f t="shared" si="414"/>
        <v>0</v>
      </c>
      <c r="X178" s="411">
        <f t="shared" si="415"/>
        <v>0</v>
      </c>
      <c r="Y178" s="409" t="s">
        <v>244</v>
      </c>
      <c r="Z178" s="455">
        <f t="shared" ref="Z178" si="424">Q178</f>
        <v>0</v>
      </c>
      <c r="AA178" s="403">
        <f t="shared" ref="AA178:AG181" si="425">R178</f>
        <v>0</v>
      </c>
      <c r="AB178" s="403">
        <f t="shared" si="425"/>
        <v>0</v>
      </c>
      <c r="AC178" s="403">
        <f t="shared" si="425"/>
        <v>0</v>
      </c>
      <c r="AD178" s="403">
        <f t="shared" si="425"/>
        <v>0</v>
      </c>
      <c r="AE178" s="403">
        <f t="shared" si="425"/>
        <v>0</v>
      </c>
      <c r="AF178" s="403">
        <f t="shared" si="425"/>
        <v>0</v>
      </c>
      <c r="AG178" s="403">
        <f t="shared" si="425"/>
        <v>0</v>
      </c>
      <c r="AH178" s="323"/>
      <c r="AI178" s="403">
        <f t="shared" ref="AI178" si="426">E178*$N178*(1+$O178%)</f>
        <v>0</v>
      </c>
      <c r="AJ178" s="403">
        <f t="shared" ref="AJ178:AP181" si="427">F178*$N178*(1+$O178%)</f>
        <v>0</v>
      </c>
      <c r="AK178" s="403">
        <f t="shared" si="427"/>
        <v>0</v>
      </c>
      <c r="AL178" s="403">
        <f t="shared" si="427"/>
        <v>0</v>
      </c>
      <c r="AM178" s="403">
        <f t="shared" si="427"/>
        <v>0</v>
      </c>
      <c r="AN178" s="403">
        <f t="shared" si="427"/>
        <v>0</v>
      </c>
      <c r="AO178" s="403">
        <f t="shared" si="427"/>
        <v>0</v>
      </c>
      <c r="AP178" s="403">
        <f t="shared" si="427"/>
        <v>0</v>
      </c>
    </row>
    <row r="179" spans="1:42" ht="33.75">
      <c r="A179" s="191"/>
      <c r="B179" s="421" t="s">
        <v>233</v>
      </c>
      <c r="C179" s="407" t="s">
        <v>397</v>
      </c>
      <c r="D179" s="689" t="s">
        <v>231</v>
      </c>
      <c r="E179" s="566"/>
      <c r="F179" s="566"/>
      <c r="G179" s="566"/>
      <c r="H179" s="566"/>
      <c r="I179" s="566"/>
      <c r="J179" s="566"/>
      <c r="K179" s="566"/>
      <c r="L179" s="566"/>
      <c r="M179" s="567">
        <f t="shared" si="407"/>
        <v>39.800000000000004</v>
      </c>
      <c r="N179" s="567">
        <f>'附件4-8甲供材料清单'!M168</f>
        <v>30.800000000000004</v>
      </c>
      <c r="O179" s="567"/>
      <c r="P179" s="567">
        <v>9</v>
      </c>
      <c r="Q179" s="411">
        <f t="shared" si="408"/>
        <v>0</v>
      </c>
      <c r="R179" s="411">
        <f t="shared" si="409"/>
        <v>0</v>
      </c>
      <c r="S179" s="411">
        <f t="shared" si="410"/>
        <v>0</v>
      </c>
      <c r="T179" s="411">
        <f t="shared" si="411"/>
        <v>0</v>
      </c>
      <c r="U179" s="411">
        <f t="shared" si="412"/>
        <v>0</v>
      </c>
      <c r="V179" s="411">
        <f t="shared" si="413"/>
        <v>0</v>
      </c>
      <c r="W179" s="411">
        <f t="shared" si="414"/>
        <v>0</v>
      </c>
      <c r="X179" s="411">
        <f t="shared" si="415"/>
        <v>0</v>
      </c>
      <c r="Y179" s="409" t="s">
        <v>244</v>
      </c>
      <c r="Z179" s="455">
        <f>Q179</f>
        <v>0</v>
      </c>
      <c r="AA179" s="403">
        <f t="shared" si="425"/>
        <v>0</v>
      </c>
      <c r="AB179" s="403">
        <f t="shared" si="425"/>
        <v>0</v>
      </c>
      <c r="AC179" s="403">
        <f t="shared" si="425"/>
        <v>0</v>
      </c>
      <c r="AD179" s="403">
        <f t="shared" si="425"/>
        <v>0</v>
      </c>
      <c r="AE179" s="403">
        <f t="shared" si="425"/>
        <v>0</v>
      </c>
      <c r="AF179" s="403">
        <f t="shared" si="425"/>
        <v>0</v>
      </c>
      <c r="AG179" s="403">
        <f t="shared" si="425"/>
        <v>0</v>
      </c>
      <c r="AH179" s="323"/>
      <c r="AI179" s="403">
        <f>E179*$N179*(1+$O179%)</f>
        <v>0</v>
      </c>
      <c r="AJ179" s="403">
        <f t="shared" si="427"/>
        <v>0</v>
      </c>
      <c r="AK179" s="403">
        <f t="shared" si="427"/>
        <v>0</v>
      </c>
      <c r="AL179" s="403">
        <f t="shared" si="427"/>
        <v>0</v>
      </c>
      <c r="AM179" s="403">
        <f t="shared" si="427"/>
        <v>0</v>
      </c>
      <c r="AN179" s="403">
        <f t="shared" si="427"/>
        <v>0</v>
      </c>
      <c r="AO179" s="403">
        <f t="shared" si="427"/>
        <v>0</v>
      </c>
      <c r="AP179" s="403">
        <f t="shared" si="427"/>
        <v>0</v>
      </c>
    </row>
    <row r="180" spans="1:42" ht="33.75">
      <c r="A180" s="191"/>
      <c r="B180" s="689">
        <v>2</v>
      </c>
      <c r="C180" s="407" t="s">
        <v>291</v>
      </c>
      <c r="D180" s="689" t="s">
        <v>231</v>
      </c>
      <c r="E180" s="566"/>
      <c r="F180" s="566"/>
      <c r="G180" s="566"/>
      <c r="H180" s="566"/>
      <c r="I180" s="566"/>
      <c r="J180" s="566"/>
      <c r="K180" s="566"/>
      <c r="L180" s="566"/>
      <c r="M180" s="567">
        <f t="shared" si="407"/>
        <v>207.42</v>
      </c>
      <c r="N180" s="567">
        <f>'附件4-8甲供材料清单'!K21</f>
        <v>124</v>
      </c>
      <c r="O180" s="567">
        <v>5</v>
      </c>
      <c r="P180" s="567">
        <v>77.22</v>
      </c>
      <c r="Q180" s="411">
        <f t="shared" si="408"/>
        <v>0</v>
      </c>
      <c r="R180" s="411">
        <f t="shared" si="409"/>
        <v>0</v>
      </c>
      <c r="S180" s="411">
        <f t="shared" si="410"/>
        <v>0</v>
      </c>
      <c r="T180" s="411">
        <f t="shared" si="411"/>
        <v>0</v>
      </c>
      <c r="U180" s="411">
        <f t="shared" si="412"/>
        <v>0</v>
      </c>
      <c r="V180" s="411">
        <f t="shared" si="413"/>
        <v>0</v>
      </c>
      <c r="W180" s="411">
        <f t="shared" si="414"/>
        <v>0</v>
      </c>
      <c r="X180" s="411">
        <f t="shared" si="415"/>
        <v>0</v>
      </c>
      <c r="Y180" s="409" t="s">
        <v>244</v>
      </c>
      <c r="Z180" s="455">
        <f>Q180</f>
        <v>0</v>
      </c>
      <c r="AA180" s="403">
        <f t="shared" si="425"/>
        <v>0</v>
      </c>
      <c r="AB180" s="403">
        <f t="shared" si="425"/>
        <v>0</v>
      </c>
      <c r="AC180" s="403">
        <f t="shared" si="425"/>
        <v>0</v>
      </c>
      <c r="AD180" s="403">
        <f t="shared" si="425"/>
        <v>0</v>
      </c>
      <c r="AE180" s="403">
        <f t="shared" si="425"/>
        <v>0</v>
      </c>
      <c r="AF180" s="403">
        <f t="shared" si="425"/>
        <v>0</v>
      </c>
      <c r="AG180" s="403">
        <f t="shared" si="425"/>
        <v>0</v>
      </c>
      <c r="AH180" s="323"/>
      <c r="AI180" s="403">
        <f>E180*$N180*(1+$O180%)</f>
        <v>0</v>
      </c>
      <c r="AJ180" s="403">
        <f t="shared" si="427"/>
        <v>0</v>
      </c>
      <c r="AK180" s="403">
        <f t="shared" si="427"/>
        <v>0</v>
      </c>
      <c r="AL180" s="403">
        <f t="shared" si="427"/>
        <v>0</v>
      </c>
      <c r="AM180" s="403">
        <f t="shared" si="427"/>
        <v>0</v>
      </c>
      <c r="AN180" s="403">
        <f t="shared" si="427"/>
        <v>0</v>
      </c>
      <c r="AO180" s="403">
        <f t="shared" si="427"/>
        <v>0</v>
      </c>
      <c r="AP180" s="403">
        <f t="shared" si="427"/>
        <v>0</v>
      </c>
    </row>
    <row r="181" spans="1:42" ht="22.5">
      <c r="A181" s="191"/>
      <c r="B181" s="419" t="s">
        <v>398</v>
      </c>
      <c r="C181" s="407" t="s">
        <v>292</v>
      </c>
      <c r="D181" s="689" t="s">
        <v>231</v>
      </c>
      <c r="E181" s="566"/>
      <c r="F181" s="566"/>
      <c r="G181" s="566"/>
      <c r="H181" s="566"/>
      <c r="I181" s="566"/>
      <c r="J181" s="566"/>
      <c r="K181" s="566"/>
      <c r="L181" s="566"/>
      <c r="M181" s="567">
        <f t="shared" si="407"/>
        <v>164.22</v>
      </c>
      <c r="N181" s="567">
        <f>'附件4-8甲供材料清单'!K22</f>
        <v>124</v>
      </c>
      <c r="O181" s="567">
        <v>5</v>
      </c>
      <c r="P181" s="567">
        <v>34.020000000000003</v>
      </c>
      <c r="Q181" s="411">
        <f t="shared" si="408"/>
        <v>0</v>
      </c>
      <c r="R181" s="411">
        <f t="shared" si="409"/>
        <v>0</v>
      </c>
      <c r="S181" s="411">
        <f t="shared" si="410"/>
        <v>0</v>
      </c>
      <c r="T181" s="411">
        <f t="shared" si="411"/>
        <v>0</v>
      </c>
      <c r="U181" s="411">
        <f t="shared" si="412"/>
        <v>0</v>
      </c>
      <c r="V181" s="411">
        <f t="shared" si="413"/>
        <v>0</v>
      </c>
      <c r="W181" s="411">
        <f t="shared" si="414"/>
        <v>0</v>
      </c>
      <c r="X181" s="411">
        <f t="shared" si="415"/>
        <v>0</v>
      </c>
      <c r="Y181" s="409" t="s">
        <v>244</v>
      </c>
      <c r="Z181" s="455">
        <f>Q181</f>
        <v>0</v>
      </c>
      <c r="AA181" s="403">
        <f t="shared" si="425"/>
        <v>0</v>
      </c>
      <c r="AB181" s="403">
        <f t="shared" si="425"/>
        <v>0</v>
      </c>
      <c r="AC181" s="403">
        <f t="shared" si="425"/>
        <v>0</v>
      </c>
      <c r="AD181" s="403">
        <f t="shared" si="425"/>
        <v>0</v>
      </c>
      <c r="AE181" s="403">
        <f t="shared" si="425"/>
        <v>0</v>
      </c>
      <c r="AF181" s="403">
        <f t="shared" si="425"/>
        <v>0</v>
      </c>
      <c r="AG181" s="403">
        <f t="shared" si="425"/>
        <v>0</v>
      </c>
      <c r="AH181" s="323"/>
      <c r="AI181" s="403">
        <f>E181*$N181*(1+$O181%)</f>
        <v>0</v>
      </c>
      <c r="AJ181" s="403">
        <f t="shared" si="427"/>
        <v>0</v>
      </c>
      <c r="AK181" s="403">
        <f t="shared" si="427"/>
        <v>0</v>
      </c>
      <c r="AL181" s="403">
        <f t="shared" si="427"/>
        <v>0</v>
      </c>
      <c r="AM181" s="403">
        <f t="shared" si="427"/>
        <v>0</v>
      </c>
      <c r="AN181" s="403">
        <f t="shared" si="427"/>
        <v>0</v>
      </c>
      <c r="AO181" s="403">
        <f t="shared" si="427"/>
        <v>0</v>
      </c>
      <c r="AP181" s="403">
        <f t="shared" si="427"/>
        <v>0</v>
      </c>
    </row>
    <row r="182" spans="1:42" s="384" customFormat="1">
      <c r="A182" s="191"/>
      <c r="B182" s="689">
        <v>4</v>
      </c>
      <c r="C182" s="407" t="s">
        <v>399</v>
      </c>
      <c r="D182" s="689" t="s">
        <v>231</v>
      </c>
      <c r="E182" s="566"/>
      <c r="F182" s="566"/>
      <c r="G182" s="566"/>
      <c r="H182" s="566"/>
      <c r="I182" s="566"/>
      <c r="J182" s="566"/>
      <c r="K182" s="566"/>
      <c r="L182" s="566"/>
      <c r="M182" s="567">
        <f t="shared" si="407"/>
        <v>24.44</v>
      </c>
      <c r="N182" s="567"/>
      <c r="O182" s="567"/>
      <c r="P182" s="567">
        <v>24.44</v>
      </c>
      <c r="Q182" s="402">
        <f t="shared" si="408"/>
        <v>0</v>
      </c>
      <c r="R182" s="402">
        <f t="shared" si="409"/>
        <v>0</v>
      </c>
      <c r="S182" s="402">
        <f t="shared" si="410"/>
        <v>0</v>
      </c>
      <c r="T182" s="402">
        <f t="shared" si="411"/>
        <v>0</v>
      </c>
      <c r="U182" s="402">
        <f t="shared" si="412"/>
        <v>0</v>
      </c>
      <c r="V182" s="402">
        <f t="shared" si="413"/>
        <v>0</v>
      </c>
      <c r="W182" s="402">
        <f t="shared" si="414"/>
        <v>0</v>
      </c>
      <c r="X182" s="402">
        <f t="shared" si="415"/>
        <v>0</v>
      </c>
      <c r="Y182" s="409"/>
      <c r="Z182" s="455"/>
      <c r="AA182" s="403"/>
      <c r="AB182" s="403"/>
      <c r="AC182" s="403"/>
      <c r="AD182" s="403"/>
      <c r="AE182" s="403"/>
      <c r="AF182" s="403"/>
      <c r="AG182" s="403"/>
      <c r="AH182" s="323"/>
      <c r="AI182" s="423"/>
      <c r="AJ182" s="423"/>
      <c r="AK182" s="423"/>
      <c r="AL182" s="423"/>
      <c r="AM182" s="423"/>
      <c r="AN182" s="423"/>
      <c r="AO182" s="423"/>
      <c r="AP182" s="423"/>
    </row>
    <row r="183" spans="1:42" ht="11.25">
      <c r="A183" s="191"/>
      <c r="B183" s="650" t="s">
        <v>136</v>
      </c>
      <c r="C183" s="636" t="s">
        <v>261</v>
      </c>
      <c r="D183" s="635"/>
      <c r="E183" s="647"/>
      <c r="F183" s="647"/>
      <c r="G183" s="647"/>
      <c r="H183" s="647"/>
      <c r="I183" s="647"/>
      <c r="J183" s="647"/>
      <c r="K183" s="647"/>
      <c r="L183" s="647"/>
      <c r="M183" s="648"/>
      <c r="N183" s="648"/>
      <c r="O183" s="648"/>
      <c r="P183" s="648"/>
      <c r="Q183" s="649"/>
      <c r="R183" s="649"/>
      <c r="S183" s="649"/>
      <c r="T183" s="649"/>
      <c r="U183" s="649"/>
      <c r="V183" s="649"/>
      <c r="W183" s="649"/>
      <c r="X183" s="649"/>
      <c r="Y183" s="640" t="s">
        <v>1860</v>
      </c>
      <c r="Z183" s="455"/>
      <c r="AA183" s="403"/>
      <c r="AB183" s="403"/>
      <c r="AC183" s="403"/>
      <c r="AD183" s="403"/>
      <c r="AE183" s="403"/>
      <c r="AF183" s="403"/>
      <c r="AG183" s="403"/>
      <c r="AH183" s="323"/>
      <c r="AI183" s="423"/>
      <c r="AJ183" s="423"/>
      <c r="AK183" s="423"/>
      <c r="AL183" s="423"/>
      <c r="AM183" s="423"/>
      <c r="AN183" s="423"/>
      <c r="AO183" s="423"/>
      <c r="AP183" s="423"/>
    </row>
    <row r="184" spans="1:42" ht="22.5">
      <c r="A184" s="191"/>
      <c r="B184" s="419" t="s">
        <v>395</v>
      </c>
      <c r="C184" s="415" t="s">
        <v>400</v>
      </c>
      <c r="D184" s="689" t="s">
        <v>231</v>
      </c>
      <c r="E184" s="566"/>
      <c r="F184" s="566"/>
      <c r="G184" s="566"/>
      <c r="H184" s="566"/>
      <c r="I184" s="566"/>
      <c r="J184" s="566"/>
      <c r="K184" s="566"/>
      <c r="L184" s="566"/>
      <c r="M184" s="567">
        <f t="shared" si="407"/>
        <v>21.428709999999999</v>
      </c>
      <c r="N184" s="567">
        <f>'附件4-8甲供材料清单'!N125</f>
        <v>2.2087100000000004</v>
      </c>
      <c r="O184" s="567"/>
      <c r="P184" s="567">
        <v>19.22</v>
      </c>
      <c r="Q184" s="411">
        <f t="shared" si="408"/>
        <v>0</v>
      </c>
      <c r="R184" s="411">
        <f t="shared" si="409"/>
        <v>0</v>
      </c>
      <c r="S184" s="411">
        <f t="shared" si="410"/>
        <v>0</v>
      </c>
      <c r="T184" s="411">
        <f t="shared" si="411"/>
        <v>0</v>
      </c>
      <c r="U184" s="411">
        <f t="shared" si="412"/>
        <v>0</v>
      </c>
      <c r="V184" s="411">
        <f t="shared" si="413"/>
        <v>0</v>
      </c>
      <c r="W184" s="411">
        <f t="shared" si="414"/>
        <v>0</v>
      </c>
      <c r="X184" s="411">
        <f t="shared" si="415"/>
        <v>0</v>
      </c>
      <c r="Y184" s="409" t="s">
        <v>244</v>
      </c>
      <c r="Z184" s="455">
        <f t="shared" ref="Z184" si="428">Q184</f>
        <v>0</v>
      </c>
      <c r="AA184" s="403">
        <f t="shared" ref="AA184:AG187" si="429">R184</f>
        <v>0</v>
      </c>
      <c r="AB184" s="403">
        <f t="shared" si="429"/>
        <v>0</v>
      </c>
      <c r="AC184" s="403">
        <f t="shared" si="429"/>
        <v>0</v>
      </c>
      <c r="AD184" s="403">
        <f t="shared" si="429"/>
        <v>0</v>
      </c>
      <c r="AE184" s="403">
        <f t="shared" si="429"/>
        <v>0</v>
      </c>
      <c r="AF184" s="403">
        <f t="shared" si="429"/>
        <v>0</v>
      </c>
      <c r="AG184" s="403">
        <f t="shared" si="429"/>
        <v>0</v>
      </c>
      <c r="AH184" s="323"/>
      <c r="AI184" s="403">
        <f t="shared" ref="AI184" si="430">E184*$N184*(1+$O184%)</f>
        <v>0</v>
      </c>
      <c r="AJ184" s="403">
        <f t="shared" ref="AJ184:AP187" si="431">F184*$N184*(1+$O184%)</f>
        <v>0</v>
      </c>
      <c r="AK184" s="403">
        <f t="shared" si="431"/>
        <v>0</v>
      </c>
      <c r="AL184" s="403">
        <f t="shared" si="431"/>
        <v>0</v>
      </c>
      <c r="AM184" s="403">
        <f t="shared" si="431"/>
        <v>0</v>
      </c>
      <c r="AN184" s="403">
        <f t="shared" si="431"/>
        <v>0</v>
      </c>
      <c r="AO184" s="403">
        <f t="shared" si="431"/>
        <v>0</v>
      </c>
      <c r="AP184" s="403">
        <f t="shared" si="431"/>
        <v>0</v>
      </c>
    </row>
    <row r="185" spans="1:42" ht="33.75">
      <c r="A185" s="191"/>
      <c r="B185" s="419" t="s">
        <v>395</v>
      </c>
      <c r="C185" s="415" t="s">
        <v>401</v>
      </c>
      <c r="D185" s="689" t="s">
        <v>231</v>
      </c>
      <c r="E185" s="566"/>
      <c r="F185" s="566"/>
      <c r="G185" s="566"/>
      <c r="H185" s="566"/>
      <c r="I185" s="566"/>
      <c r="J185" s="566"/>
      <c r="K185" s="566"/>
      <c r="L185" s="566"/>
      <c r="M185" s="567">
        <f t="shared" si="407"/>
        <v>23.988709999999998</v>
      </c>
      <c r="N185" s="567">
        <f>N184</f>
        <v>2.2087100000000004</v>
      </c>
      <c r="O185" s="567"/>
      <c r="P185" s="567">
        <f>2.56+19.22</f>
        <v>21.779999999999998</v>
      </c>
      <c r="Q185" s="411">
        <f t="shared" ref="Q185" si="432">E185*$M185</f>
        <v>0</v>
      </c>
      <c r="R185" s="411">
        <f t="shared" ref="R185" si="433">F185*$M185</f>
        <v>0</v>
      </c>
      <c r="S185" s="411">
        <f t="shared" ref="S185" si="434">G185*$M185</f>
        <v>0</v>
      </c>
      <c r="T185" s="411">
        <f t="shared" ref="T185" si="435">H185*$M185</f>
        <v>0</v>
      </c>
      <c r="U185" s="411">
        <f t="shared" ref="U185" si="436">I185*$M185</f>
        <v>0</v>
      </c>
      <c r="V185" s="411">
        <f t="shared" ref="V185" si="437">J185*$M185</f>
        <v>0</v>
      </c>
      <c r="W185" s="411">
        <f t="shared" ref="W185" si="438">K185*$M185</f>
        <v>0</v>
      </c>
      <c r="X185" s="411">
        <f t="shared" ref="X185" si="439">L185*$M185</f>
        <v>0</v>
      </c>
      <c r="Y185" s="409" t="s">
        <v>244</v>
      </c>
      <c r="Z185" s="455">
        <f>Q185</f>
        <v>0</v>
      </c>
      <c r="AA185" s="403">
        <f t="shared" si="429"/>
        <v>0</v>
      </c>
      <c r="AB185" s="403">
        <f t="shared" si="429"/>
        <v>0</v>
      </c>
      <c r="AC185" s="403">
        <f t="shared" si="429"/>
        <v>0</v>
      </c>
      <c r="AD185" s="403">
        <f t="shared" si="429"/>
        <v>0</v>
      </c>
      <c r="AE185" s="403">
        <f t="shared" si="429"/>
        <v>0</v>
      </c>
      <c r="AF185" s="403">
        <f t="shared" si="429"/>
        <v>0</v>
      </c>
      <c r="AG185" s="403">
        <f t="shared" si="429"/>
        <v>0</v>
      </c>
      <c r="AH185" s="323"/>
      <c r="AI185" s="403">
        <f>E185*$N185*(1+$O185%)</f>
        <v>0</v>
      </c>
      <c r="AJ185" s="403">
        <f t="shared" si="431"/>
        <v>0</v>
      </c>
      <c r="AK185" s="403">
        <f t="shared" si="431"/>
        <v>0</v>
      </c>
      <c r="AL185" s="403">
        <f t="shared" si="431"/>
        <v>0</v>
      </c>
      <c r="AM185" s="403">
        <f t="shared" si="431"/>
        <v>0</v>
      </c>
      <c r="AN185" s="403">
        <f t="shared" si="431"/>
        <v>0</v>
      </c>
      <c r="AO185" s="403">
        <f t="shared" si="431"/>
        <v>0</v>
      </c>
      <c r="AP185" s="403">
        <f t="shared" si="431"/>
        <v>0</v>
      </c>
    </row>
    <row r="186" spans="1:42" ht="22.5">
      <c r="A186" s="191"/>
      <c r="B186" s="419" t="s">
        <v>402</v>
      </c>
      <c r="C186" s="407" t="s">
        <v>314</v>
      </c>
      <c r="D186" s="689" t="s">
        <v>231</v>
      </c>
      <c r="E186" s="566"/>
      <c r="F186" s="566"/>
      <c r="G186" s="566"/>
      <c r="H186" s="566"/>
      <c r="I186" s="566"/>
      <c r="J186" s="566"/>
      <c r="K186" s="566"/>
      <c r="L186" s="566"/>
      <c r="M186" s="567">
        <f t="shared" si="407"/>
        <v>96.706666666666678</v>
      </c>
      <c r="N186" s="567">
        <f>'附件4-8甲供材料清单'!M15</f>
        <v>40.666666666666671</v>
      </c>
      <c r="O186" s="567">
        <v>6</v>
      </c>
      <c r="P186" s="567">
        <v>53.6</v>
      </c>
      <c r="Q186" s="411">
        <f t="shared" ref="Q186:X191" si="440">E186*$M186</f>
        <v>0</v>
      </c>
      <c r="R186" s="411">
        <f t="shared" si="440"/>
        <v>0</v>
      </c>
      <c r="S186" s="411">
        <f t="shared" si="440"/>
        <v>0</v>
      </c>
      <c r="T186" s="411">
        <f t="shared" si="440"/>
        <v>0</v>
      </c>
      <c r="U186" s="411">
        <f t="shared" si="440"/>
        <v>0</v>
      </c>
      <c r="V186" s="411">
        <f t="shared" si="440"/>
        <v>0</v>
      </c>
      <c r="W186" s="411">
        <f t="shared" si="440"/>
        <v>0</v>
      </c>
      <c r="X186" s="411">
        <f t="shared" si="440"/>
        <v>0</v>
      </c>
      <c r="Y186" s="409" t="s">
        <v>244</v>
      </c>
      <c r="Z186" s="455">
        <f>Q186</f>
        <v>0</v>
      </c>
      <c r="AA186" s="403">
        <f t="shared" si="429"/>
        <v>0</v>
      </c>
      <c r="AB186" s="403">
        <f t="shared" si="429"/>
        <v>0</v>
      </c>
      <c r="AC186" s="403">
        <f t="shared" si="429"/>
        <v>0</v>
      </c>
      <c r="AD186" s="403">
        <f t="shared" si="429"/>
        <v>0</v>
      </c>
      <c r="AE186" s="403">
        <f t="shared" si="429"/>
        <v>0</v>
      </c>
      <c r="AF186" s="403">
        <f t="shared" si="429"/>
        <v>0</v>
      </c>
      <c r="AG186" s="403">
        <f t="shared" si="429"/>
        <v>0</v>
      </c>
      <c r="AH186" s="323"/>
      <c r="AI186" s="403">
        <f>E186*$N186*(1+$O186%)</f>
        <v>0</v>
      </c>
      <c r="AJ186" s="403">
        <f t="shared" si="431"/>
        <v>0</v>
      </c>
      <c r="AK186" s="403">
        <f t="shared" si="431"/>
        <v>0</v>
      </c>
      <c r="AL186" s="403">
        <f t="shared" si="431"/>
        <v>0</v>
      </c>
      <c r="AM186" s="403">
        <f t="shared" si="431"/>
        <v>0</v>
      </c>
      <c r="AN186" s="403">
        <f t="shared" si="431"/>
        <v>0</v>
      </c>
      <c r="AO186" s="403">
        <f t="shared" si="431"/>
        <v>0</v>
      </c>
      <c r="AP186" s="403">
        <f t="shared" si="431"/>
        <v>0</v>
      </c>
    </row>
    <row r="187" spans="1:42" ht="22.5">
      <c r="A187" s="191"/>
      <c r="B187" s="419" t="s">
        <v>398</v>
      </c>
      <c r="C187" s="415" t="s">
        <v>403</v>
      </c>
      <c r="D187" s="689" t="s">
        <v>235</v>
      </c>
      <c r="E187" s="566"/>
      <c r="F187" s="566"/>
      <c r="G187" s="566"/>
      <c r="H187" s="566"/>
      <c r="I187" s="566"/>
      <c r="J187" s="566"/>
      <c r="K187" s="566"/>
      <c r="L187" s="566"/>
      <c r="M187" s="567">
        <f t="shared" si="407"/>
        <v>23.25</v>
      </c>
      <c r="N187" s="567">
        <f>'附件4-8甲供材料清单'!K23</f>
        <v>17</v>
      </c>
      <c r="O187" s="567">
        <v>5</v>
      </c>
      <c r="P187" s="567">
        <v>5.4</v>
      </c>
      <c r="Q187" s="411">
        <f t="shared" si="440"/>
        <v>0</v>
      </c>
      <c r="R187" s="411">
        <f t="shared" si="440"/>
        <v>0</v>
      </c>
      <c r="S187" s="411">
        <f t="shared" si="440"/>
        <v>0</v>
      </c>
      <c r="T187" s="411">
        <f t="shared" si="440"/>
        <v>0</v>
      </c>
      <c r="U187" s="411">
        <f t="shared" si="440"/>
        <v>0</v>
      </c>
      <c r="V187" s="411">
        <f t="shared" si="440"/>
        <v>0</v>
      </c>
      <c r="W187" s="411">
        <f t="shared" si="440"/>
        <v>0</v>
      </c>
      <c r="X187" s="411">
        <f t="shared" si="440"/>
        <v>0</v>
      </c>
      <c r="Y187" s="409" t="s">
        <v>244</v>
      </c>
      <c r="Z187" s="455">
        <f>Q187</f>
        <v>0</v>
      </c>
      <c r="AA187" s="403">
        <f t="shared" si="429"/>
        <v>0</v>
      </c>
      <c r="AB187" s="403">
        <f t="shared" si="429"/>
        <v>0</v>
      </c>
      <c r="AC187" s="403">
        <f t="shared" si="429"/>
        <v>0</v>
      </c>
      <c r="AD187" s="403">
        <f t="shared" si="429"/>
        <v>0</v>
      </c>
      <c r="AE187" s="403">
        <f t="shared" si="429"/>
        <v>0</v>
      </c>
      <c r="AF187" s="403">
        <f t="shared" si="429"/>
        <v>0</v>
      </c>
      <c r="AG187" s="403">
        <f t="shared" si="429"/>
        <v>0</v>
      </c>
      <c r="AH187" s="323"/>
      <c r="AI187" s="403">
        <f>E187*$N187*(1+$O187%)</f>
        <v>0</v>
      </c>
      <c r="AJ187" s="403">
        <f t="shared" si="431"/>
        <v>0</v>
      </c>
      <c r="AK187" s="403">
        <f t="shared" si="431"/>
        <v>0</v>
      </c>
      <c r="AL187" s="403">
        <f t="shared" si="431"/>
        <v>0</v>
      </c>
      <c r="AM187" s="403">
        <f t="shared" si="431"/>
        <v>0</v>
      </c>
      <c r="AN187" s="403">
        <f t="shared" si="431"/>
        <v>0</v>
      </c>
      <c r="AO187" s="403">
        <f t="shared" si="431"/>
        <v>0</v>
      </c>
      <c r="AP187" s="403">
        <f t="shared" si="431"/>
        <v>0</v>
      </c>
    </row>
    <row r="188" spans="1:42" s="384" customFormat="1">
      <c r="A188" s="191"/>
      <c r="B188" s="419" t="s">
        <v>404</v>
      </c>
      <c r="C188" s="407" t="s">
        <v>405</v>
      </c>
      <c r="D188" s="689" t="s">
        <v>231</v>
      </c>
      <c r="E188" s="566"/>
      <c r="F188" s="566"/>
      <c r="G188" s="566"/>
      <c r="H188" s="566"/>
      <c r="I188" s="566"/>
      <c r="J188" s="566"/>
      <c r="K188" s="566"/>
      <c r="L188" s="566"/>
      <c r="M188" s="567">
        <f t="shared" si="407"/>
        <v>20.56</v>
      </c>
      <c r="N188" s="411">
        <v>13</v>
      </c>
      <c r="O188" s="567"/>
      <c r="P188" s="567">
        <v>7.56</v>
      </c>
      <c r="Q188" s="402">
        <f t="shared" si="440"/>
        <v>0</v>
      </c>
      <c r="R188" s="402">
        <f t="shared" si="440"/>
        <v>0</v>
      </c>
      <c r="S188" s="402">
        <f t="shared" si="440"/>
        <v>0</v>
      </c>
      <c r="T188" s="402">
        <f t="shared" si="440"/>
        <v>0</v>
      </c>
      <c r="U188" s="402">
        <f t="shared" si="440"/>
        <v>0</v>
      </c>
      <c r="V188" s="402">
        <f t="shared" si="440"/>
        <v>0</v>
      </c>
      <c r="W188" s="402">
        <f t="shared" si="440"/>
        <v>0</v>
      </c>
      <c r="X188" s="402">
        <f t="shared" si="440"/>
        <v>0</v>
      </c>
      <c r="Y188" s="409"/>
      <c r="Z188" s="455"/>
      <c r="AA188" s="403"/>
      <c r="AB188" s="403"/>
      <c r="AC188" s="403"/>
      <c r="AD188" s="403"/>
      <c r="AE188" s="403"/>
      <c r="AF188" s="403"/>
      <c r="AG188" s="403"/>
      <c r="AH188" s="323"/>
      <c r="AI188" s="403"/>
      <c r="AJ188" s="403"/>
      <c r="AK188" s="403"/>
      <c r="AL188" s="403"/>
      <c r="AM188" s="403"/>
      <c r="AN188" s="403"/>
      <c r="AO188" s="403"/>
      <c r="AP188" s="403"/>
    </row>
    <row r="189" spans="1:42" ht="33.75">
      <c r="A189" s="191"/>
      <c r="B189" s="419" t="s">
        <v>406</v>
      </c>
      <c r="C189" s="407" t="s">
        <v>407</v>
      </c>
      <c r="D189" s="689" t="s">
        <v>235</v>
      </c>
      <c r="E189" s="566"/>
      <c r="F189" s="566"/>
      <c r="G189" s="566"/>
      <c r="H189" s="566"/>
      <c r="I189" s="566"/>
      <c r="J189" s="566"/>
      <c r="K189" s="566"/>
      <c r="L189" s="566"/>
      <c r="M189" s="567">
        <f t="shared" si="407"/>
        <v>68</v>
      </c>
      <c r="N189" s="567">
        <f>'附件4-8甲供材料清单'!K163</f>
        <v>68</v>
      </c>
      <c r="O189" s="567"/>
      <c r="P189" s="567"/>
      <c r="Q189" s="411">
        <f t="shared" si="440"/>
        <v>0</v>
      </c>
      <c r="R189" s="411">
        <f t="shared" si="440"/>
        <v>0</v>
      </c>
      <c r="S189" s="411">
        <f t="shared" si="440"/>
        <v>0</v>
      </c>
      <c r="T189" s="411">
        <f t="shared" si="440"/>
        <v>0</v>
      </c>
      <c r="U189" s="411">
        <f t="shared" si="440"/>
        <v>0</v>
      </c>
      <c r="V189" s="411">
        <f t="shared" si="440"/>
        <v>0</v>
      </c>
      <c r="W189" s="411">
        <f t="shared" si="440"/>
        <v>0</v>
      </c>
      <c r="X189" s="411">
        <f t="shared" si="440"/>
        <v>0</v>
      </c>
      <c r="Y189" s="409" t="s">
        <v>316</v>
      </c>
      <c r="Z189" s="455"/>
      <c r="AA189" s="403"/>
      <c r="AB189" s="403"/>
      <c r="AC189" s="403"/>
      <c r="AD189" s="403"/>
      <c r="AE189" s="403"/>
      <c r="AF189" s="403"/>
      <c r="AG189" s="403"/>
      <c r="AH189" s="323"/>
      <c r="AI189" s="403"/>
      <c r="AJ189" s="403"/>
      <c r="AK189" s="403"/>
      <c r="AL189" s="403"/>
      <c r="AM189" s="403"/>
      <c r="AN189" s="403"/>
      <c r="AO189" s="403"/>
      <c r="AP189" s="403"/>
    </row>
    <row r="190" spans="1:42" ht="22.5">
      <c r="A190" s="191"/>
      <c r="B190" s="689" t="s">
        <v>233</v>
      </c>
      <c r="C190" s="407" t="s">
        <v>408</v>
      </c>
      <c r="D190" s="689" t="s">
        <v>235</v>
      </c>
      <c r="E190" s="566"/>
      <c r="F190" s="566"/>
      <c r="G190" s="566"/>
      <c r="H190" s="566"/>
      <c r="I190" s="566"/>
      <c r="J190" s="566"/>
      <c r="K190" s="566"/>
      <c r="L190" s="566"/>
      <c r="M190" s="567">
        <f t="shared" si="407"/>
        <v>25.310000000000002</v>
      </c>
      <c r="N190" s="567">
        <f>'附件4-8甲供材料清单'!M11</f>
        <v>15</v>
      </c>
      <c r="O190" s="567">
        <v>5</v>
      </c>
      <c r="P190" s="567">
        <v>9.56</v>
      </c>
      <c r="Q190" s="411">
        <f t="shared" si="440"/>
        <v>0</v>
      </c>
      <c r="R190" s="411">
        <f t="shared" si="440"/>
        <v>0</v>
      </c>
      <c r="S190" s="411">
        <f t="shared" si="440"/>
        <v>0</v>
      </c>
      <c r="T190" s="411">
        <f t="shared" si="440"/>
        <v>0</v>
      </c>
      <c r="U190" s="411">
        <f t="shared" si="440"/>
        <v>0</v>
      </c>
      <c r="V190" s="411">
        <f t="shared" si="440"/>
        <v>0</v>
      </c>
      <c r="W190" s="411">
        <f t="shared" si="440"/>
        <v>0</v>
      </c>
      <c r="X190" s="411">
        <f t="shared" si="440"/>
        <v>0</v>
      </c>
      <c r="Y190" s="409" t="s">
        <v>244</v>
      </c>
      <c r="Z190" s="455">
        <f t="shared" ref="Z190" si="441">Q190</f>
        <v>0</v>
      </c>
      <c r="AA190" s="403">
        <f t="shared" ref="AA190:AG191" si="442">R190</f>
        <v>0</v>
      </c>
      <c r="AB190" s="403">
        <f t="shared" si="442"/>
        <v>0</v>
      </c>
      <c r="AC190" s="403">
        <f t="shared" si="442"/>
        <v>0</v>
      </c>
      <c r="AD190" s="403">
        <f t="shared" si="442"/>
        <v>0</v>
      </c>
      <c r="AE190" s="403">
        <f t="shared" si="442"/>
        <v>0</v>
      </c>
      <c r="AF190" s="403">
        <f t="shared" si="442"/>
        <v>0</v>
      </c>
      <c r="AG190" s="403">
        <f t="shared" si="442"/>
        <v>0</v>
      </c>
      <c r="AH190" s="323"/>
      <c r="AI190" s="403">
        <f t="shared" ref="AI190" si="443">E190*$N190*(1+$O190%)</f>
        <v>0</v>
      </c>
      <c r="AJ190" s="403">
        <f t="shared" ref="AJ190:AP191" si="444">F190*$N190*(1+$O190%)</f>
        <v>0</v>
      </c>
      <c r="AK190" s="403">
        <f t="shared" si="444"/>
        <v>0</v>
      </c>
      <c r="AL190" s="403">
        <f t="shared" si="444"/>
        <v>0</v>
      </c>
      <c r="AM190" s="403">
        <f t="shared" si="444"/>
        <v>0</v>
      </c>
      <c r="AN190" s="403">
        <f t="shared" si="444"/>
        <v>0</v>
      </c>
      <c r="AO190" s="403">
        <f t="shared" si="444"/>
        <v>0</v>
      </c>
      <c r="AP190" s="403">
        <f t="shared" si="444"/>
        <v>0</v>
      </c>
    </row>
    <row r="191" spans="1:42" ht="33.75">
      <c r="A191" s="191"/>
      <c r="B191" s="689" t="s">
        <v>233</v>
      </c>
      <c r="C191" s="407" t="s">
        <v>409</v>
      </c>
      <c r="D191" s="689" t="s">
        <v>235</v>
      </c>
      <c r="E191" s="566"/>
      <c r="F191" s="566"/>
      <c r="G191" s="566"/>
      <c r="H191" s="566"/>
      <c r="I191" s="566"/>
      <c r="J191" s="566"/>
      <c r="K191" s="566"/>
      <c r="L191" s="566"/>
      <c r="M191" s="567">
        <f t="shared" si="407"/>
        <v>23.619999999999997</v>
      </c>
      <c r="N191" s="567">
        <f>'附件4-8甲供材料清单'!M10*0.1</f>
        <v>10</v>
      </c>
      <c r="O191" s="567">
        <v>6</v>
      </c>
      <c r="P191" s="567">
        <v>13.02</v>
      </c>
      <c r="Q191" s="411">
        <f t="shared" si="440"/>
        <v>0</v>
      </c>
      <c r="R191" s="411">
        <f t="shared" si="440"/>
        <v>0</v>
      </c>
      <c r="S191" s="411">
        <f t="shared" si="440"/>
        <v>0</v>
      </c>
      <c r="T191" s="411">
        <f t="shared" si="440"/>
        <v>0</v>
      </c>
      <c r="U191" s="411">
        <f t="shared" si="440"/>
        <v>0</v>
      </c>
      <c r="V191" s="411">
        <f t="shared" si="440"/>
        <v>0</v>
      </c>
      <c r="W191" s="411">
        <f t="shared" si="440"/>
        <v>0</v>
      </c>
      <c r="X191" s="411">
        <f t="shared" si="440"/>
        <v>0</v>
      </c>
      <c r="Y191" s="409" t="s">
        <v>244</v>
      </c>
      <c r="Z191" s="455">
        <f>Q191</f>
        <v>0</v>
      </c>
      <c r="AA191" s="403">
        <f t="shared" si="442"/>
        <v>0</v>
      </c>
      <c r="AB191" s="403">
        <f t="shared" si="442"/>
        <v>0</v>
      </c>
      <c r="AC191" s="403">
        <f t="shared" si="442"/>
        <v>0</v>
      </c>
      <c r="AD191" s="403">
        <f t="shared" si="442"/>
        <v>0</v>
      </c>
      <c r="AE191" s="403">
        <f t="shared" si="442"/>
        <v>0</v>
      </c>
      <c r="AF191" s="403">
        <f t="shared" si="442"/>
        <v>0</v>
      </c>
      <c r="AG191" s="403">
        <f t="shared" si="442"/>
        <v>0</v>
      </c>
      <c r="AH191" s="323"/>
      <c r="AI191" s="403">
        <f>E191*$N191*(1+$O191%)</f>
        <v>0</v>
      </c>
      <c r="AJ191" s="403">
        <f t="shared" si="444"/>
        <v>0</v>
      </c>
      <c r="AK191" s="403">
        <f t="shared" si="444"/>
        <v>0</v>
      </c>
      <c r="AL191" s="403">
        <f t="shared" si="444"/>
        <v>0</v>
      </c>
      <c r="AM191" s="403">
        <f t="shared" si="444"/>
        <v>0</v>
      </c>
      <c r="AN191" s="403">
        <f t="shared" si="444"/>
        <v>0</v>
      </c>
      <c r="AO191" s="403">
        <f t="shared" si="444"/>
        <v>0</v>
      </c>
      <c r="AP191" s="403">
        <f t="shared" si="444"/>
        <v>0</v>
      </c>
    </row>
    <row r="192" spans="1:42" s="436" customFormat="1" ht="22.5">
      <c r="A192" s="194" t="s">
        <v>355</v>
      </c>
      <c r="B192" s="635" t="s">
        <v>146</v>
      </c>
      <c r="C192" s="636" t="s">
        <v>410</v>
      </c>
      <c r="D192" s="635"/>
      <c r="E192" s="647"/>
      <c r="F192" s="647"/>
      <c r="G192" s="647"/>
      <c r="H192" s="647"/>
      <c r="I192" s="647"/>
      <c r="J192" s="647"/>
      <c r="K192" s="647"/>
      <c r="L192" s="647"/>
      <c r="M192" s="648"/>
      <c r="N192" s="648"/>
      <c r="O192" s="648"/>
      <c r="P192" s="648"/>
      <c r="Q192" s="645"/>
      <c r="R192" s="645"/>
      <c r="S192" s="645"/>
      <c r="T192" s="645"/>
      <c r="U192" s="645"/>
      <c r="V192" s="645"/>
      <c r="W192" s="645"/>
      <c r="X192" s="645"/>
      <c r="Y192" s="640"/>
      <c r="Z192" s="788"/>
      <c r="AA192" s="787"/>
      <c r="AB192" s="787"/>
      <c r="AC192" s="787"/>
      <c r="AD192" s="787"/>
      <c r="AE192" s="787"/>
      <c r="AF192" s="787"/>
      <c r="AG192" s="787"/>
      <c r="AH192" s="362"/>
      <c r="AI192" s="787"/>
      <c r="AJ192" s="787"/>
      <c r="AK192" s="787"/>
      <c r="AL192" s="787"/>
      <c r="AM192" s="787"/>
      <c r="AN192" s="787"/>
      <c r="AO192" s="787"/>
      <c r="AP192" s="787"/>
    </row>
    <row r="193" spans="1:42" s="384" customFormat="1">
      <c r="A193" s="191" t="s">
        <v>355</v>
      </c>
      <c r="B193" s="689">
        <v>1</v>
      </c>
      <c r="C193" s="407" t="s">
        <v>411</v>
      </c>
      <c r="D193" s="689" t="s">
        <v>320</v>
      </c>
      <c r="E193" s="566"/>
      <c r="F193" s="566"/>
      <c r="G193" s="566"/>
      <c r="H193" s="566"/>
      <c r="I193" s="566"/>
      <c r="J193" s="566"/>
      <c r="K193" s="566"/>
      <c r="L193" s="566"/>
      <c r="M193" s="567">
        <f t="shared" ref="M193" si="445">N193+N193*O193%+P193</f>
        <v>175.2</v>
      </c>
      <c r="N193" s="567">
        <v>120</v>
      </c>
      <c r="O193" s="567">
        <v>1</v>
      </c>
      <c r="P193" s="567">
        <v>54</v>
      </c>
      <c r="Q193" s="402">
        <f t="shared" ref="Q193" si="446">E193*$M193</f>
        <v>0</v>
      </c>
      <c r="R193" s="402">
        <f t="shared" ref="R193" si="447">F193*$M193</f>
        <v>0</v>
      </c>
      <c r="S193" s="402">
        <f t="shared" ref="S193" si="448">G193*$M193</f>
        <v>0</v>
      </c>
      <c r="T193" s="402">
        <f t="shared" ref="T193" si="449">H193*$M193</f>
        <v>0</v>
      </c>
      <c r="U193" s="402">
        <f t="shared" ref="U193" si="450">I193*$M193</f>
        <v>0</v>
      </c>
      <c r="V193" s="402">
        <f t="shared" ref="V193" si="451">J193*$M193</f>
        <v>0</v>
      </c>
      <c r="W193" s="402">
        <f t="shared" ref="W193" si="452">K193*$M193</f>
        <v>0</v>
      </c>
      <c r="X193" s="402">
        <f t="shared" ref="X193" si="453">L193*$M193</f>
        <v>0</v>
      </c>
      <c r="Y193" s="409"/>
      <c r="Z193" s="455"/>
      <c r="AA193" s="403"/>
      <c r="AB193" s="403"/>
      <c r="AC193" s="403"/>
      <c r="AD193" s="403"/>
      <c r="AE193" s="403"/>
      <c r="AF193" s="403"/>
      <c r="AG193" s="403"/>
      <c r="AH193" s="323"/>
      <c r="AI193" s="423"/>
      <c r="AJ193" s="423"/>
      <c r="AK193" s="423"/>
      <c r="AL193" s="423"/>
      <c r="AM193" s="423"/>
      <c r="AN193" s="423"/>
      <c r="AO193" s="423"/>
      <c r="AP193" s="423"/>
    </row>
    <row r="194" spans="1:42" s="384" customFormat="1" ht="22.5">
      <c r="A194" s="191" t="s">
        <v>355</v>
      </c>
      <c r="B194" s="689">
        <v>2</v>
      </c>
      <c r="C194" s="407" t="s">
        <v>412</v>
      </c>
      <c r="D194" s="689" t="s">
        <v>320</v>
      </c>
      <c r="E194" s="566"/>
      <c r="F194" s="566"/>
      <c r="G194" s="566"/>
      <c r="H194" s="566"/>
      <c r="I194" s="566"/>
      <c r="J194" s="566"/>
      <c r="K194" s="566"/>
      <c r="L194" s="566"/>
      <c r="M194" s="567">
        <f t="shared" ref="M194:M199" si="454">N194+N194*O194%+P194</f>
        <v>238.12550000000002</v>
      </c>
      <c r="N194" s="567">
        <v>201.55</v>
      </c>
      <c r="O194" s="567">
        <v>1</v>
      </c>
      <c r="P194" s="567">
        <v>34.56</v>
      </c>
      <c r="Q194" s="402">
        <f t="shared" ref="Q194:Q232" si="455">E194*$M194</f>
        <v>0</v>
      </c>
      <c r="R194" s="402">
        <f t="shared" ref="R194:R232" si="456">F194*$M194</f>
        <v>0</v>
      </c>
      <c r="S194" s="402">
        <f t="shared" ref="S194:S232" si="457">G194*$M194</f>
        <v>0</v>
      </c>
      <c r="T194" s="402">
        <f t="shared" ref="T194:T232" si="458">H194*$M194</f>
        <v>0</v>
      </c>
      <c r="U194" s="402">
        <f t="shared" ref="U194:U232" si="459">I194*$M194</f>
        <v>0</v>
      </c>
      <c r="V194" s="402">
        <f t="shared" ref="V194:V232" si="460">J194*$M194</f>
        <v>0</v>
      </c>
      <c r="W194" s="402">
        <f t="shared" ref="W194:W232" si="461">K194*$M194</f>
        <v>0</v>
      </c>
      <c r="X194" s="402">
        <f t="shared" ref="X194:X232" si="462">L194*$M194</f>
        <v>0</v>
      </c>
      <c r="Y194" s="409"/>
      <c r="Z194" s="455"/>
      <c r="AA194" s="403"/>
      <c r="AB194" s="403"/>
      <c r="AC194" s="403"/>
      <c r="AD194" s="403"/>
      <c r="AE194" s="403"/>
      <c r="AF194" s="403"/>
      <c r="AG194" s="403"/>
      <c r="AH194" s="323"/>
      <c r="AI194" s="423"/>
      <c r="AJ194" s="423"/>
      <c r="AK194" s="423"/>
      <c r="AL194" s="423"/>
      <c r="AM194" s="423"/>
      <c r="AN194" s="423"/>
      <c r="AO194" s="423"/>
      <c r="AP194" s="423"/>
    </row>
    <row r="195" spans="1:42" s="384" customFormat="1">
      <c r="A195" s="191" t="s">
        <v>355</v>
      </c>
      <c r="B195" s="689">
        <v>3</v>
      </c>
      <c r="C195" s="407" t="s">
        <v>413</v>
      </c>
      <c r="D195" s="689" t="s">
        <v>320</v>
      </c>
      <c r="E195" s="566"/>
      <c r="F195" s="566"/>
      <c r="G195" s="566"/>
      <c r="H195" s="566"/>
      <c r="I195" s="566"/>
      <c r="J195" s="566"/>
      <c r="K195" s="566"/>
      <c r="L195" s="566"/>
      <c r="M195" s="567">
        <f t="shared" si="454"/>
        <v>238.12550000000002</v>
      </c>
      <c r="N195" s="567">
        <v>201.55</v>
      </c>
      <c r="O195" s="567">
        <v>1</v>
      </c>
      <c r="P195" s="567">
        <v>34.56</v>
      </c>
      <c r="Q195" s="402">
        <f t="shared" si="455"/>
        <v>0</v>
      </c>
      <c r="R195" s="402">
        <f t="shared" si="456"/>
        <v>0</v>
      </c>
      <c r="S195" s="402">
        <f t="shared" si="457"/>
        <v>0</v>
      </c>
      <c r="T195" s="402">
        <f t="shared" si="458"/>
        <v>0</v>
      </c>
      <c r="U195" s="402">
        <f t="shared" si="459"/>
        <v>0</v>
      </c>
      <c r="V195" s="402">
        <f t="shared" si="460"/>
        <v>0</v>
      </c>
      <c r="W195" s="402">
        <f t="shared" si="461"/>
        <v>0</v>
      </c>
      <c r="X195" s="402">
        <f t="shared" si="462"/>
        <v>0</v>
      </c>
      <c r="Y195" s="409"/>
      <c r="Z195" s="455"/>
      <c r="AA195" s="403"/>
      <c r="AB195" s="403"/>
      <c r="AC195" s="403"/>
      <c r="AD195" s="403"/>
      <c r="AE195" s="403"/>
      <c r="AF195" s="403"/>
      <c r="AG195" s="403"/>
      <c r="AH195" s="323"/>
      <c r="AI195" s="423"/>
      <c r="AJ195" s="423"/>
      <c r="AK195" s="423"/>
      <c r="AL195" s="423"/>
      <c r="AM195" s="423"/>
      <c r="AN195" s="423"/>
      <c r="AO195" s="423"/>
      <c r="AP195" s="423"/>
    </row>
    <row r="196" spans="1:42" ht="22.5">
      <c r="A196" s="191" t="s">
        <v>355</v>
      </c>
      <c r="B196" s="689">
        <v>4</v>
      </c>
      <c r="C196" s="407" t="s">
        <v>414</v>
      </c>
      <c r="D196" s="689" t="s">
        <v>320</v>
      </c>
      <c r="E196" s="566"/>
      <c r="F196" s="566"/>
      <c r="G196" s="566"/>
      <c r="H196" s="566"/>
      <c r="I196" s="566"/>
      <c r="J196" s="566"/>
      <c r="K196" s="566"/>
      <c r="L196" s="566"/>
      <c r="M196" s="567">
        <f t="shared" si="454"/>
        <v>516.04</v>
      </c>
      <c r="N196" s="567">
        <f>'附件4-8甲供材料清单'!$K$28</f>
        <v>404</v>
      </c>
      <c r="O196" s="567">
        <v>1</v>
      </c>
      <c r="P196" s="567">
        <v>108</v>
      </c>
      <c r="Q196" s="411">
        <f t="shared" si="455"/>
        <v>0</v>
      </c>
      <c r="R196" s="411">
        <f t="shared" si="456"/>
        <v>0</v>
      </c>
      <c r="S196" s="411">
        <f t="shared" si="457"/>
        <v>0</v>
      </c>
      <c r="T196" s="411">
        <f t="shared" si="458"/>
        <v>0</v>
      </c>
      <c r="U196" s="411">
        <f t="shared" si="459"/>
        <v>0</v>
      </c>
      <c r="V196" s="411">
        <f t="shared" si="460"/>
        <v>0</v>
      </c>
      <c r="W196" s="411">
        <f t="shared" si="461"/>
        <v>0</v>
      </c>
      <c r="X196" s="411">
        <f t="shared" si="462"/>
        <v>0</v>
      </c>
      <c r="Y196" s="409" t="s">
        <v>244</v>
      </c>
      <c r="Z196" s="455">
        <f t="shared" ref="Z196" si="463">Q196</f>
        <v>0</v>
      </c>
      <c r="AA196" s="403">
        <f t="shared" ref="AA196" si="464">R196</f>
        <v>0</v>
      </c>
      <c r="AB196" s="403">
        <f t="shared" ref="AB196" si="465">S196</f>
        <v>0</v>
      </c>
      <c r="AC196" s="403">
        <f t="shared" ref="AC196" si="466">T196</f>
        <v>0</v>
      </c>
      <c r="AD196" s="403">
        <f t="shared" ref="AD196" si="467">U196</f>
        <v>0</v>
      </c>
      <c r="AE196" s="403">
        <f t="shared" ref="AE196" si="468">V196</f>
        <v>0</v>
      </c>
      <c r="AF196" s="403">
        <f t="shared" ref="AF196" si="469">W196</f>
        <v>0</v>
      </c>
      <c r="AG196" s="403">
        <f t="shared" ref="AG196" si="470">X196</f>
        <v>0</v>
      </c>
      <c r="AH196" s="323"/>
      <c r="AI196" s="403">
        <f t="shared" ref="AI196" si="471">E196*$N196*(1+$O196%)</f>
        <v>0</v>
      </c>
      <c r="AJ196" s="403">
        <f t="shared" ref="AJ196" si="472">F196*$N196*(1+$O196%)</f>
        <v>0</v>
      </c>
      <c r="AK196" s="403">
        <f t="shared" ref="AK196" si="473">G196*$N196*(1+$O196%)</f>
        <v>0</v>
      </c>
      <c r="AL196" s="403">
        <f t="shared" ref="AL196" si="474">H196*$N196*(1+$O196%)</f>
        <v>0</v>
      </c>
      <c r="AM196" s="403">
        <f t="shared" ref="AM196" si="475">I196*$N196*(1+$O196%)</f>
        <v>0</v>
      </c>
      <c r="AN196" s="403">
        <f t="shared" ref="AN196" si="476">J196*$N196*(1+$O196%)</f>
        <v>0</v>
      </c>
      <c r="AO196" s="403">
        <f t="shared" ref="AO196" si="477">K196*$N196*(1+$O196%)</f>
        <v>0</v>
      </c>
      <c r="AP196" s="403">
        <f t="shared" ref="AP196" si="478">L196*$N196*(1+$O196%)</f>
        <v>0</v>
      </c>
    </row>
    <row r="197" spans="1:42" ht="22.5">
      <c r="A197" s="191" t="s">
        <v>355</v>
      </c>
      <c r="B197" s="689">
        <v>5</v>
      </c>
      <c r="C197" s="407" t="s">
        <v>415</v>
      </c>
      <c r="D197" s="689" t="s">
        <v>320</v>
      </c>
      <c r="E197" s="566"/>
      <c r="F197" s="566"/>
      <c r="G197" s="566"/>
      <c r="H197" s="566"/>
      <c r="I197" s="566"/>
      <c r="J197" s="566"/>
      <c r="K197" s="566"/>
      <c r="L197" s="566"/>
      <c r="M197" s="567">
        <f t="shared" si="454"/>
        <v>448.66</v>
      </c>
      <c r="N197" s="567">
        <f>'附件4-8甲供材料清单'!$K$171</f>
        <v>410</v>
      </c>
      <c r="O197" s="567">
        <v>1</v>
      </c>
      <c r="P197" s="567">
        <v>34.56</v>
      </c>
      <c r="Q197" s="411">
        <f t="shared" si="455"/>
        <v>0</v>
      </c>
      <c r="R197" s="411">
        <f t="shared" si="456"/>
        <v>0</v>
      </c>
      <c r="S197" s="411">
        <f t="shared" si="457"/>
        <v>0</v>
      </c>
      <c r="T197" s="411">
        <f t="shared" si="458"/>
        <v>0</v>
      </c>
      <c r="U197" s="411">
        <f t="shared" si="459"/>
        <v>0</v>
      </c>
      <c r="V197" s="411">
        <f t="shared" si="460"/>
        <v>0</v>
      </c>
      <c r="W197" s="411">
        <f t="shared" si="461"/>
        <v>0</v>
      </c>
      <c r="X197" s="411">
        <f t="shared" si="462"/>
        <v>0</v>
      </c>
      <c r="Y197" s="409" t="s">
        <v>244</v>
      </c>
      <c r="Z197" s="455">
        <f t="shared" ref="Z197:AG197" si="479">Q197</f>
        <v>0</v>
      </c>
      <c r="AA197" s="403">
        <f t="shared" si="479"/>
        <v>0</v>
      </c>
      <c r="AB197" s="403">
        <f t="shared" si="479"/>
        <v>0</v>
      </c>
      <c r="AC197" s="403">
        <f t="shared" si="479"/>
        <v>0</v>
      </c>
      <c r="AD197" s="403">
        <f t="shared" si="479"/>
        <v>0</v>
      </c>
      <c r="AE197" s="403">
        <f t="shared" si="479"/>
        <v>0</v>
      </c>
      <c r="AF197" s="403">
        <f t="shared" si="479"/>
        <v>0</v>
      </c>
      <c r="AG197" s="403">
        <f t="shared" si="479"/>
        <v>0</v>
      </c>
      <c r="AH197" s="323"/>
      <c r="AI197" s="403">
        <f t="shared" ref="AI197:AP197" si="480">E197*$N197*(1+$O197%)</f>
        <v>0</v>
      </c>
      <c r="AJ197" s="403">
        <f t="shared" si="480"/>
        <v>0</v>
      </c>
      <c r="AK197" s="403">
        <f t="shared" si="480"/>
        <v>0</v>
      </c>
      <c r="AL197" s="403">
        <f t="shared" si="480"/>
        <v>0</v>
      </c>
      <c r="AM197" s="403">
        <f t="shared" si="480"/>
        <v>0</v>
      </c>
      <c r="AN197" s="403">
        <f t="shared" si="480"/>
        <v>0</v>
      </c>
      <c r="AO197" s="403">
        <f t="shared" si="480"/>
        <v>0</v>
      </c>
      <c r="AP197" s="403">
        <f t="shared" si="480"/>
        <v>0</v>
      </c>
    </row>
    <row r="198" spans="1:42" s="384" customFormat="1" ht="22.5">
      <c r="A198" s="191" t="s">
        <v>355</v>
      </c>
      <c r="B198" s="689">
        <v>6</v>
      </c>
      <c r="C198" s="407" t="s">
        <v>416</v>
      </c>
      <c r="D198" s="689" t="s">
        <v>320</v>
      </c>
      <c r="E198" s="566"/>
      <c r="F198" s="566"/>
      <c r="G198" s="566"/>
      <c r="H198" s="566"/>
      <c r="I198" s="566"/>
      <c r="J198" s="566"/>
      <c r="K198" s="566"/>
      <c r="L198" s="566"/>
      <c r="M198" s="567">
        <f t="shared" si="454"/>
        <v>155.76</v>
      </c>
      <c r="N198" s="567">
        <v>120</v>
      </c>
      <c r="O198" s="567">
        <v>1</v>
      </c>
      <c r="P198" s="567">
        <v>34.56</v>
      </c>
      <c r="Q198" s="402">
        <f t="shared" si="455"/>
        <v>0</v>
      </c>
      <c r="R198" s="402">
        <f t="shared" si="456"/>
        <v>0</v>
      </c>
      <c r="S198" s="402">
        <f t="shared" si="457"/>
        <v>0</v>
      </c>
      <c r="T198" s="402">
        <f t="shared" si="458"/>
        <v>0</v>
      </c>
      <c r="U198" s="402">
        <f t="shared" si="459"/>
        <v>0</v>
      </c>
      <c r="V198" s="402">
        <f t="shared" si="460"/>
        <v>0</v>
      </c>
      <c r="W198" s="402">
        <f t="shared" si="461"/>
        <v>0</v>
      </c>
      <c r="X198" s="402">
        <f t="shared" si="462"/>
        <v>0</v>
      </c>
      <c r="Y198" s="409"/>
      <c r="Z198" s="455"/>
      <c r="AA198" s="403"/>
      <c r="AB198" s="403"/>
      <c r="AC198" s="403"/>
      <c r="AD198" s="403"/>
      <c r="AE198" s="403"/>
      <c r="AF198" s="403"/>
      <c r="AG198" s="403"/>
      <c r="AH198" s="323"/>
      <c r="AI198" s="423"/>
      <c r="AJ198" s="423"/>
      <c r="AK198" s="423"/>
      <c r="AL198" s="423"/>
      <c r="AM198" s="423"/>
      <c r="AN198" s="423"/>
      <c r="AO198" s="423"/>
      <c r="AP198" s="423"/>
    </row>
    <row r="199" spans="1:42" ht="22.5">
      <c r="A199" s="191" t="s">
        <v>355</v>
      </c>
      <c r="B199" s="689">
        <v>7</v>
      </c>
      <c r="C199" s="407" t="s">
        <v>417</v>
      </c>
      <c r="D199" s="689" t="s">
        <v>320</v>
      </c>
      <c r="E199" s="566"/>
      <c r="F199" s="566"/>
      <c r="G199" s="566"/>
      <c r="H199" s="566"/>
      <c r="I199" s="566"/>
      <c r="J199" s="566"/>
      <c r="K199" s="566"/>
      <c r="L199" s="566"/>
      <c r="M199" s="567">
        <f t="shared" si="454"/>
        <v>231.51</v>
      </c>
      <c r="N199" s="567">
        <f>'附件4-8甲供材料清单'!$K$172</f>
        <v>195</v>
      </c>
      <c r="O199" s="567">
        <v>1</v>
      </c>
      <c r="P199" s="567">
        <v>34.56</v>
      </c>
      <c r="Q199" s="411">
        <f t="shared" si="455"/>
        <v>0</v>
      </c>
      <c r="R199" s="411">
        <f t="shared" si="456"/>
        <v>0</v>
      </c>
      <c r="S199" s="411">
        <f t="shared" si="457"/>
        <v>0</v>
      </c>
      <c r="T199" s="411">
        <f t="shared" si="458"/>
        <v>0</v>
      </c>
      <c r="U199" s="411">
        <f t="shared" si="459"/>
        <v>0</v>
      </c>
      <c r="V199" s="411">
        <f t="shared" si="460"/>
        <v>0</v>
      </c>
      <c r="W199" s="411">
        <f t="shared" si="461"/>
        <v>0</v>
      </c>
      <c r="X199" s="411">
        <f t="shared" si="462"/>
        <v>0</v>
      </c>
      <c r="Y199" s="409" t="s">
        <v>244</v>
      </c>
      <c r="Z199" s="455">
        <f t="shared" ref="Z199" si="481">Q199</f>
        <v>0</v>
      </c>
      <c r="AA199" s="403">
        <f t="shared" ref="AA199" si="482">R199</f>
        <v>0</v>
      </c>
      <c r="AB199" s="403">
        <f t="shared" ref="AB199" si="483">S199</f>
        <v>0</v>
      </c>
      <c r="AC199" s="403">
        <f t="shared" ref="AC199" si="484">T199</f>
        <v>0</v>
      </c>
      <c r="AD199" s="403">
        <f t="shared" ref="AD199" si="485">U199</f>
        <v>0</v>
      </c>
      <c r="AE199" s="403">
        <f t="shared" ref="AE199" si="486">V199</f>
        <v>0</v>
      </c>
      <c r="AF199" s="403">
        <f t="shared" ref="AF199" si="487">W199</f>
        <v>0</v>
      </c>
      <c r="AG199" s="403">
        <f t="shared" ref="AG199" si="488">X199</f>
        <v>0</v>
      </c>
      <c r="AH199" s="323"/>
      <c r="AI199" s="403">
        <f t="shared" ref="AI199" si="489">E199*$N199*(1+$O199%)</f>
        <v>0</v>
      </c>
      <c r="AJ199" s="403">
        <f t="shared" ref="AJ199" si="490">F199*$N199*(1+$O199%)</f>
        <v>0</v>
      </c>
      <c r="AK199" s="403">
        <f t="shared" ref="AK199" si="491">G199*$N199*(1+$O199%)</f>
        <v>0</v>
      </c>
      <c r="AL199" s="403">
        <f t="shared" ref="AL199" si="492">H199*$N199*(1+$O199%)</f>
        <v>0</v>
      </c>
      <c r="AM199" s="403">
        <f t="shared" ref="AM199" si="493">I199*$N199*(1+$O199%)</f>
        <v>0</v>
      </c>
      <c r="AN199" s="403">
        <f t="shared" ref="AN199" si="494">J199*$N199*(1+$O199%)</f>
        <v>0</v>
      </c>
      <c r="AO199" s="403">
        <f t="shared" ref="AO199" si="495">K199*$N199*(1+$O199%)</f>
        <v>0</v>
      </c>
      <c r="AP199" s="403">
        <f t="shared" ref="AP199" si="496">L199*$N199*(1+$O199%)</f>
        <v>0</v>
      </c>
    </row>
    <row r="200" spans="1:42" ht="11.25">
      <c r="A200" s="191"/>
      <c r="B200" s="635" t="s">
        <v>113</v>
      </c>
      <c r="C200" s="636" t="s">
        <v>418</v>
      </c>
      <c r="D200" s="635"/>
      <c r="E200" s="647"/>
      <c r="F200" s="647"/>
      <c r="G200" s="647"/>
      <c r="H200" s="647"/>
      <c r="I200" s="647"/>
      <c r="J200" s="647"/>
      <c r="K200" s="647"/>
      <c r="L200" s="647"/>
      <c r="M200" s="648"/>
      <c r="N200" s="648"/>
      <c r="O200" s="648"/>
      <c r="P200" s="648"/>
      <c r="Q200" s="649"/>
      <c r="R200" s="649"/>
      <c r="S200" s="649"/>
      <c r="T200" s="649"/>
      <c r="U200" s="649"/>
      <c r="V200" s="649"/>
      <c r="W200" s="649"/>
      <c r="X200" s="649"/>
      <c r="Y200" s="640" t="s">
        <v>1860</v>
      </c>
      <c r="Z200" s="455"/>
      <c r="AA200" s="403"/>
      <c r="AB200" s="403"/>
      <c r="AC200" s="403"/>
      <c r="AD200" s="403"/>
      <c r="AE200" s="403"/>
      <c r="AF200" s="403"/>
      <c r="AG200" s="403"/>
      <c r="AH200" s="323"/>
      <c r="AI200" s="423"/>
      <c r="AJ200" s="423"/>
      <c r="AK200" s="423"/>
      <c r="AL200" s="423"/>
      <c r="AM200" s="423"/>
      <c r="AN200" s="423"/>
      <c r="AO200" s="423"/>
      <c r="AP200" s="423"/>
    </row>
    <row r="201" spans="1:42" ht="11.25">
      <c r="A201" s="191"/>
      <c r="B201" s="635" t="s">
        <v>133</v>
      </c>
      <c r="C201" s="636" t="s">
        <v>229</v>
      </c>
      <c r="D201" s="635"/>
      <c r="E201" s="647"/>
      <c r="F201" s="647"/>
      <c r="G201" s="647"/>
      <c r="H201" s="647"/>
      <c r="I201" s="647"/>
      <c r="J201" s="647"/>
      <c r="K201" s="647"/>
      <c r="L201" s="647"/>
      <c r="M201" s="648"/>
      <c r="N201" s="648"/>
      <c r="O201" s="648"/>
      <c r="P201" s="648"/>
      <c r="Q201" s="649"/>
      <c r="R201" s="649"/>
      <c r="S201" s="649"/>
      <c r="T201" s="649"/>
      <c r="U201" s="649"/>
      <c r="V201" s="649"/>
      <c r="W201" s="649"/>
      <c r="X201" s="649"/>
      <c r="Y201" s="640" t="s">
        <v>1860</v>
      </c>
      <c r="Z201" s="455"/>
      <c r="AA201" s="403"/>
      <c r="AB201" s="403"/>
      <c r="AC201" s="403"/>
      <c r="AD201" s="403"/>
      <c r="AE201" s="403"/>
      <c r="AF201" s="403"/>
      <c r="AG201" s="403"/>
      <c r="AH201" s="323"/>
      <c r="AI201" s="423"/>
      <c r="AJ201" s="423"/>
      <c r="AK201" s="423"/>
      <c r="AL201" s="423"/>
      <c r="AM201" s="423"/>
      <c r="AN201" s="423"/>
      <c r="AO201" s="423"/>
      <c r="AP201" s="423"/>
    </row>
    <row r="202" spans="1:42" ht="22.5">
      <c r="A202" s="194"/>
      <c r="B202" s="689">
        <v>1</v>
      </c>
      <c r="C202" s="407" t="s">
        <v>419</v>
      </c>
      <c r="D202" s="689" t="s">
        <v>231</v>
      </c>
      <c r="E202" s="566">
        <f>7.6+3.8*(0.2+0.2)</f>
        <v>9.1199999999999992</v>
      </c>
      <c r="F202" s="566">
        <f>5.8+2.9*(0.2+0.2)+7.2+3.6*(0.2+0.2)</f>
        <v>15.6</v>
      </c>
      <c r="G202" s="566">
        <f>6.74+3.55*(0.2+0.2)+5.41+2.21*(0.2+0.2)</f>
        <v>14.454000000000001</v>
      </c>
      <c r="H202" s="566">
        <f>4.42+3.83*(0.2+0.2)</f>
        <v>5.952</v>
      </c>
      <c r="I202" s="566">
        <f>84.96+(2.64+7.64+3.99+7.11+5.29+7.05+3.3+2.64+3.29+7.46+4.94+13.78+9.93)*(0.4-0.135)+23.71*(0.2+0.2)</f>
        <v>115.39489999999999</v>
      </c>
      <c r="J202" s="566">
        <f>4.2+2.25*(0.2+0.2)+6.75+3.55*(0.2+0.2)</f>
        <v>13.270000000000001</v>
      </c>
      <c r="K202" s="566">
        <f>70.86+(3.19+1.83+1.18+3.19+1.76+4.3+2.68+6.79+4.1+4.98+3.49+1.76+1.84+9.9+13.75)*(0.4-0.135)+23.65*(0.2+0.2)</f>
        <v>97.476099999999988</v>
      </c>
      <c r="L202" s="566">
        <f>7.4+3.7*(0.2+0.2)</f>
        <v>8.8800000000000008</v>
      </c>
      <c r="M202" s="567">
        <f t="shared" ref="M202:M243" si="497">N202+N202*O202%+P202</f>
        <v>22.012509999999999</v>
      </c>
      <c r="N202" s="567">
        <f>'附件4-8甲供材料清单'!N127</f>
        <v>2.79251</v>
      </c>
      <c r="O202" s="567"/>
      <c r="P202" s="567">
        <v>19.22</v>
      </c>
      <c r="Q202" s="411">
        <f t="shared" si="455"/>
        <v>200.75409119999998</v>
      </c>
      <c r="R202" s="411">
        <f t="shared" si="456"/>
        <v>343.39515599999999</v>
      </c>
      <c r="S202" s="411">
        <f t="shared" si="457"/>
        <v>318.16881954000002</v>
      </c>
      <c r="T202" s="411">
        <f t="shared" si="458"/>
        <v>131.01845951999999</v>
      </c>
      <c r="U202" s="411">
        <f t="shared" si="459"/>
        <v>2540.1313901989997</v>
      </c>
      <c r="V202" s="411">
        <f t="shared" si="460"/>
        <v>292.10600770000002</v>
      </c>
      <c r="W202" s="411">
        <f t="shared" si="461"/>
        <v>2145.6936260109997</v>
      </c>
      <c r="X202" s="411">
        <f t="shared" si="462"/>
        <v>195.47108880000002</v>
      </c>
      <c r="Y202" s="409" t="s">
        <v>244</v>
      </c>
      <c r="Z202" s="455">
        <f t="shared" ref="Z202" si="498">Q202</f>
        <v>200.75409119999998</v>
      </c>
      <c r="AA202" s="403">
        <f t="shared" ref="AA202:AG205" si="499">R202</f>
        <v>343.39515599999999</v>
      </c>
      <c r="AB202" s="403">
        <f t="shared" si="499"/>
        <v>318.16881954000002</v>
      </c>
      <c r="AC202" s="403">
        <f t="shared" si="499"/>
        <v>131.01845951999999</v>
      </c>
      <c r="AD202" s="403">
        <f t="shared" si="499"/>
        <v>2540.1313901989997</v>
      </c>
      <c r="AE202" s="403">
        <f t="shared" si="499"/>
        <v>292.10600770000002</v>
      </c>
      <c r="AF202" s="403">
        <f t="shared" si="499"/>
        <v>2145.6936260109997</v>
      </c>
      <c r="AG202" s="403">
        <f t="shared" si="499"/>
        <v>195.47108880000002</v>
      </c>
      <c r="AH202" s="323"/>
      <c r="AI202" s="403">
        <f t="shared" ref="AI202" si="500">E202*$N202*(1+$O202%)</f>
        <v>25.467691199999997</v>
      </c>
      <c r="AJ202" s="403">
        <f t="shared" ref="AJ202:AP205" si="501">F202*$N202*(1+$O202%)</f>
        <v>43.563155999999999</v>
      </c>
      <c r="AK202" s="403">
        <f t="shared" si="501"/>
        <v>40.362939539999999</v>
      </c>
      <c r="AL202" s="403">
        <f t="shared" si="501"/>
        <v>16.621019520000001</v>
      </c>
      <c r="AM202" s="403">
        <f t="shared" si="501"/>
        <v>322.24141219899997</v>
      </c>
      <c r="AN202" s="403">
        <f t="shared" si="501"/>
        <v>37.056607700000008</v>
      </c>
      <c r="AO202" s="403">
        <f t="shared" si="501"/>
        <v>272.20298401099996</v>
      </c>
      <c r="AP202" s="403">
        <f t="shared" si="501"/>
        <v>24.797488800000004</v>
      </c>
    </row>
    <row r="203" spans="1:42" ht="33.75">
      <c r="A203" s="194"/>
      <c r="B203" s="689" t="s">
        <v>233</v>
      </c>
      <c r="C203" s="407" t="s">
        <v>420</v>
      </c>
      <c r="D203" s="689" t="s">
        <v>231</v>
      </c>
      <c r="E203" s="566"/>
      <c r="F203" s="566"/>
      <c r="G203" s="566"/>
      <c r="H203" s="566"/>
      <c r="I203" s="566"/>
      <c r="J203" s="566"/>
      <c r="K203" s="566"/>
      <c r="L203" s="566"/>
      <c r="M203" s="567">
        <f t="shared" si="497"/>
        <v>24.572509999999998</v>
      </c>
      <c r="N203" s="567">
        <f>N202</f>
        <v>2.79251</v>
      </c>
      <c r="O203" s="567"/>
      <c r="P203" s="567">
        <f>2.56+19.22</f>
        <v>21.779999999999998</v>
      </c>
      <c r="Q203" s="411">
        <f t="shared" si="455"/>
        <v>0</v>
      </c>
      <c r="R203" s="411">
        <f t="shared" si="456"/>
        <v>0</v>
      </c>
      <c r="S203" s="411">
        <f t="shared" si="457"/>
        <v>0</v>
      </c>
      <c r="T203" s="411">
        <f t="shared" si="458"/>
        <v>0</v>
      </c>
      <c r="U203" s="411">
        <f t="shared" si="459"/>
        <v>0</v>
      </c>
      <c r="V203" s="411">
        <f t="shared" si="460"/>
        <v>0</v>
      </c>
      <c r="W203" s="411">
        <f t="shared" si="461"/>
        <v>0</v>
      </c>
      <c r="X203" s="411">
        <f t="shared" si="462"/>
        <v>0</v>
      </c>
      <c r="Y203" s="409" t="s">
        <v>244</v>
      </c>
      <c r="Z203" s="455">
        <f>Q203</f>
        <v>0</v>
      </c>
      <c r="AA203" s="403">
        <f t="shared" si="499"/>
        <v>0</v>
      </c>
      <c r="AB203" s="403">
        <f t="shared" si="499"/>
        <v>0</v>
      </c>
      <c r="AC203" s="403">
        <f t="shared" si="499"/>
        <v>0</v>
      </c>
      <c r="AD203" s="403">
        <f t="shared" si="499"/>
        <v>0</v>
      </c>
      <c r="AE203" s="403">
        <f t="shared" si="499"/>
        <v>0</v>
      </c>
      <c r="AF203" s="403">
        <f t="shared" si="499"/>
        <v>0</v>
      </c>
      <c r="AG203" s="403">
        <f t="shared" si="499"/>
        <v>0</v>
      </c>
      <c r="AH203" s="323"/>
      <c r="AI203" s="403">
        <f>E203*$N203*(1+$O203%)</f>
        <v>0</v>
      </c>
      <c r="AJ203" s="403">
        <f t="shared" si="501"/>
        <v>0</v>
      </c>
      <c r="AK203" s="403">
        <f t="shared" si="501"/>
        <v>0</v>
      </c>
      <c r="AL203" s="403">
        <f t="shared" si="501"/>
        <v>0</v>
      </c>
      <c r="AM203" s="403">
        <f t="shared" si="501"/>
        <v>0</v>
      </c>
      <c r="AN203" s="403">
        <f t="shared" si="501"/>
        <v>0</v>
      </c>
      <c r="AO203" s="403">
        <f t="shared" si="501"/>
        <v>0</v>
      </c>
      <c r="AP203" s="403">
        <f t="shared" si="501"/>
        <v>0</v>
      </c>
    </row>
    <row r="204" spans="1:42" ht="22.5">
      <c r="A204" s="191"/>
      <c r="B204" s="689">
        <v>2</v>
      </c>
      <c r="C204" s="407" t="s">
        <v>421</v>
      </c>
      <c r="D204" s="689" t="s">
        <v>231</v>
      </c>
      <c r="E204" s="566"/>
      <c r="F204" s="566"/>
      <c r="G204" s="566"/>
      <c r="H204" s="566"/>
      <c r="I204" s="566"/>
      <c r="J204" s="566"/>
      <c r="K204" s="566"/>
      <c r="L204" s="566"/>
      <c r="M204" s="567">
        <f t="shared" si="497"/>
        <v>21.428709999999999</v>
      </c>
      <c r="N204" s="567">
        <f>'附件4-8甲供材料清单'!N125</f>
        <v>2.2087100000000004</v>
      </c>
      <c r="O204" s="567"/>
      <c r="P204" s="567">
        <v>19.22</v>
      </c>
      <c r="Q204" s="411">
        <f t="shared" si="455"/>
        <v>0</v>
      </c>
      <c r="R204" s="411">
        <f t="shared" si="456"/>
        <v>0</v>
      </c>
      <c r="S204" s="411">
        <f t="shared" si="457"/>
        <v>0</v>
      </c>
      <c r="T204" s="411">
        <f t="shared" si="458"/>
        <v>0</v>
      </c>
      <c r="U204" s="411">
        <f t="shared" si="459"/>
        <v>0</v>
      </c>
      <c r="V204" s="411">
        <f t="shared" si="460"/>
        <v>0</v>
      </c>
      <c r="W204" s="411">
        <f t="shared" si="461"/>
        <v>0</v>
      </c>
      <c r="X204" s="411">
        <f t="shared" si="462"/>
        <v>0</v>
      </c>
      <c r="Y204" s="409" t="s">
        <v>244</v>
      </c>
      <c r="Z204" s="455">
        <f>Q204</f>
        <v>0</v>
      </c>
      <c r="AA204" s="403">
        <f t="shared" si="499"/>
        <v>0</v>
      </c>
      <c r="AB204" s="403">
        <f t="shared" si="499"/>
        <v>0</v>
      </c>
      <c r="AC204" s="403">
        <f t="shared" si="499"/>
        <v>0</v>
      </c>
      <c r="AD204" s="403">
        <f t="shared" si="499"/>
        <v>0</v>
      </c>
      <c r="AE204" s="403">
        <f t="shared" si="499"/>
        <v>0</v>
      </c>
      <c r="AF204" s="403">
        <f t="shared" si="499"/>
        <v>0</v>
      </c>
      <c r="AG204" s="403">
        <f t="shared" si="499"/>
        <v>0</v>
      </c>
      <c r="AH204" s="323"/>
      <c r="AI204" s="403">
        <f>E204*$N204*(1+$O204%)</f>
        <v>0</v>
      </c>
      <c r="AJ204" s="403">
        <f t="shared" si="501"/>
        <v>0</v>
      </c>
      <c r="AK204" s="403">
        <f t="shared" si="501"/>
        <v>0</v>
      </c>
      <c r="AL204" s="403">
        <f t="shared" si="501"/>
        <v>0</v>
      </c>
      <c r="AM204" s="403">
        <f t="shared" si="501"/>
        <v>0</v>
      </c>
      <c r="AN204" s="403">
        <f t="shared" si="501"/>
        <v>0</v>
      </c>
      <c r="AO204" s="403">
        <f t="shared" si="501"/>
        <v>0</v>
      </c>
      <c r="AP204" s="403">
        <f t="shared" si="501"/>
        <v>0</v>
      </c>
    </row>
    <row r="205" spans="1:42" ht="33.75">
      <c r="A205" s="191"/>
      <c r="B205" s="689" t="s">
        <v>233</v>
      </c>
      <c r="C205" s="407" t="s">
        <v>422</v>
      </c>
      <c r="D205" s="689" t="s">
        <v>231</v>
      </c>
      <c r="E205" s="566"/>
      <c r="F205" s="566"/>
      <c r="G205" s="566"/>
      <c r="H205" s="566"/>
      <c r="I205" s="566"/>
      <c r="J205" s="566"/>
      <c r="K205" s="566"/>
      <c r="L205" s="566"/>
      <c r="M205" s="567">
        <f t="shared" si="497"/>
        <v>23.988709999999998</v>
      </c>
      <c r="N205" s="567">
        <f>N204</f>
        <v>2.2087100000000004</v>
      </c>
      <c r="O205" s="567"/>
      <c r="P205" s="567">
        <f>2.56+19.22</f>
        <v>21.779999999999998</v>
      </c>
      <c r="Q205" s="411">
        <f t="shared" si="455"/>
        <v>0</v>
      </c>
      <c r="R205" s="411">
        <f t="shared" si="456"/>
        <v>0</v>
      </c>
      <c r="S205" s="411">
        <f t="shared" si="457"/>
        <v>0</v>
      </c>
      <c r="T205" s="411">
        <f t="shared" si="458"/>
        <v>0</v>
      </c>
      <c r="U205" s="411">
        <f t="shared" si="459"/>
        <v>0</v>
      </c>
      <c r="V205" s="411">
        <f t="shared" si="460"/>
        <v>0</v>
      </c>
      <c r="W205" s="411">
        <f t="shared" si="461"/>
        <v>0</v>
      </c>
      <c r="X205" s="411">
        <f t="shared" si="462"/>
        <v>0</v>
      </c>
      <c r="Y205" s="409" t="s">
        <v>244</v>
      </c>
      <c r="Z205" s="455">
        <f>Q205</f>
        <v>0</v>
      </c>
      <c r="AA205" s="403">
        <f t="shared" si="499"/>
        <v>0</v>
      </c>
      <c r="AB205" s="403">
        <f t="shared" si="499"/>
        <v>0</v>
      </c>
      <c r="AC205" s="403">
        <f t="shared" si="499"/>
        <v>0</v>
      </c>
      <c r="AD205" s="403">
        <f t="shared" si="499"/>
        <v>0</v>
      </c>
      <c r="AE205" s="403">
        <f t="shared" si="499"/>
        <v>0</v>
      </c>
      <c r="AF205" s="403">
        <f t="shared" si="499"/>
        <v>0</v>
      </c>
      <c r="AG205" s="403">
        <f t="shared" si="499"/>
        <v>0</v>
      </c>
      <c r="AH205" s="323"/>
      <c r="AI205" s="403">
        <f>E205*$N205*(1+$O205%)</f>
        <v>0</v>
      </c>
      <c r="AJ205" s="403">
        <f t="shared" si="501"/>
        <v>0</v>
      </c>
      <c r="AK205" s="403">
        <f t="shared" si="501"/>
        <v>0</v>
      </c>
      <c r="AL205" s="403">
        <f t="shared" si="501"/>
        <v>0</v>
      </c>
      <c r="AM205" s="403">
        <f t="shared" si="501"/>
        <v>0</v>
      </c>
      <c r="AN205" s="403">
        <f t="shared" si="501"/>
        <v>0</v>
      </c>
      <c r="AO205" s="403">
        <f t="shared" si="501"/>
        <v>0</v>
      </c>
      <c r="AP205" s="403">
        <f t="shared" si="501"/>
        <v>0</v>
      </c>
    </row>
    <row r="206" spans="1:42" ht="11.25">
      <c r="A206" s="191"/>
      <c r="B206" s="635" t="s">
        <v>246</v>
      </c>
      <c r="C206" s="636" t="s">
        <v>247</v>
      </c>
      <c r="D206" s="635"/>
      <c r="E206" s="647"/>
      <c r="F206" s="647"/>
      <c r="G206" s="647"/>
      <c r="H206" s="647"/>
      <c r="I206" s="647"/>
      <c r="J206" s="647"/>
      <c r="K206" s="647"/>
      <c r="L206" s="647"/>
      <c r="M206" s="648"/>
      <c r="N206" s="648"/>
      <c r="O206" s="648"/>
      <c r="P206" s="648"/>
      <c r="Q206" s="649"/>
      <c r="R206" s="649"/>
      <c r="S206" s="649"/>
      <c r="T206" s="649"/>
      <c r="U206" s="649"/>
      <c r="V206" s="649"/>
      <c r="W206" s="649"/>
      <c r="X206" s="649"/>
      <c r="Y206" s="640" t="s">
        <v>1860</v>
      </c>
      <c r="Z206" s="455"/>
      <c r="AA206" s="403"/>
      <c r="AB206" s="403"/>
      <c r="AC206" s="403"/>
      <c r="AD206" s="403"/>
      <c r="AE206" s="403"/>
      <c r="AF206" s="403"/>
      <c r="AG206" s="403"/>
      <c r="AH206" s="323"/>
      <c r="AI206" s="423"/>
      <c r="AJ206" s="423"/>
      <c r="AK206" s="423"/>
      <c r="AL206" s="423"/>
      <c r="AM206" s="423"/>
      <c r="AN206" s="423"/>
      <c r="AO206" s="423"/>
      <c r="AP206" s="423"/>
    </row>
    <row r="207" spans="1:42" ht="22.5">
      <c r="A207" s="191"/>
      <c r="B207" s="689">
        <v>1</v>
      </c>
      <c r="C207" s="407" t="s">
        <v>423</v>
      </c>
      <c r="D207" s="689" t="s">
        <v>231</v>
      </c>
      <c r="E207" s="566">
        <f>7.6+3.8*(0.1+0.1)</f>
        <v>8.36</v>
      </c>
      <c r="F207" s="566">
        <f>5.8+7.2+2.9*(0.1+0.1)+3.6*(0.1+0.1)</f>
        <v>14.3</v>
      </c>
      <c r="G207" s="566">
        <f>6.74+3.55*(0.1+0.1)+5.41+2.21*(0.1+0.1)</f>
        <v>13.302</v>
      </c>
      <c r="H207" s="566">
        <f>4.42+3.83*(0.1+0.1)</f>
        <v>5.1859999999999999</v>
      </c>
      <c r="I207" s="566">
        <f>127.02+28.17*(0.1+0.1)</f>
        <v>132.654</v>
      </c>
      <c r="J207" s="566">
        <f>4.2+2.25*(0.1+0.1)+6.75+3.55*(0.1+0.1)</f>
        <v>12.11</v>
      </c>
      <c r="K207" s="566">
        <f>183.4+34.38*(0.1+0.1)</f>
        <v>190.27600000000001</v>
      </c>
      <c r="L207" s="566">
        <f>7.4+3.7*(0.1+0.1)</f>
        <v>8.14</v>
      </c>
      <c r="M207" s="567">
        <f t="shared" si="497"/>
        <v>113.58888888888889</v>
      </c>
      <c r="N207" s="567">
        <f>'附件4-8甲供材料清单'!M12</f>
        <v>61.111111111111114</v>
      </c>
      <c r="O207" s="567">
        <v>7</v>
      </c>
      <c r="P207" s="567">
        <v>48.2</v>
      </c>
      <c r="Q207" s="411">
        <f t="shared" si="455"/>
        <v>949.60311111111105</v>
      </c>
      <c r="R207" s="411">
        <f t="shared" si="456"/>
        <v>1624.3211111111111</v>
      </c>
      <c r="S207" s="411">
        <f t="shared" si="457"/>
        <v>1510.9594</v>
      </c>
      <c r="T207" s="411">
        <f t="shared" si="458"/>
        <v>589.07197777777776</v>
      </c>
      <c r="U207" s="411">
        <f t="shared" si="459"/>
        <v>15068.020466666667</v>
      </c>
      <c r="V207" s="411">
        <f t="shared" si="460"/>
        <v>1375.5614444444443</v>
      </c>
      <c r="W207" s="411">
        <f t="shared" si="461"/>
        <v>21613.239422222225</v>
      </c>
      <c r="X207" s="411">
        <f t="shared" si="462"/>
        <v>924.61355555555565</v>
      </c>
      <c r="Y207" s="409" t="s">
        <v>244</v>
      </c>
      <c r="Z207" s="455">
        <f t="shared" ref="Z207" si="502">Q207</f>
        <v>949.60311111111105</v>
      </c>
      <c r="AA207" s="403">
        <f t="shared" ref="AA207:AG207" si="503">R207</f>
        <v>1624.3211111111111</v>
      </c>
      <c r="AB207" s="403">
        <f t="shared" si="503"/>
        <v>1510.9594</v>
      </c>
      <c r="AC207" s="403">
        <f t="shared" si="503"/>
        <v>589.07197777777776</v>
      </c>
      <c r="AD207" s="403">
        <f t="shared" si="503"/>
        <v>15068.020466666667</v>
      </c>
      <c r="AE207" s="403">
        <f t="shared" si="503"/>
        <v>1375.5614444444443</v>
      </c>
      <c r="AF207" s="403">
        <f t="shared" si="503"/>
        <v>21613.239422222225</v>
      </c>
      <c r="AG207" s="403">
        <f t="shared" si="503"/>
        <v>924.61355555555565</v>
      </c>
      <c r="AH207" s="323"/>
      <c r="AI207" s="403">
        <f t="shared" ref="AI207" si="504">E207*$N207*(1+$O207%)</f>
        <v>546.65111111111116</v>
      </c>
      <c r="AJ207" s="403">
        <f t="shared" ref="AJ207:AP207" si="505">F207*$N207*(1+$O207%)</f>
        <v>935.06111111111136</v>
      </c>
      <c r="AK207" s="403">
        <f t="shared" si="505"/>
        <v>869.803</v>
      </c>
      <c r="AL207" s="403">
        <f t="shared" si="505"/>
        <v>339.10677777777778</v>
      </c>
      <c r="AM207" s="403">
        <f t="shared" si="505"/>
        <v>8674.0976666666666</v>
      </c>
      <c r="AN207" s="403">
        <f t="shared" si="505"/>
        <v>791.85944444444442</v>
      </c>
      <c r="AO207" s="403">
        <f t="shared" si="505"/>
        <v>12441.936222222224</v>
      </c>
      <c r="AP207" s="403">
        <f t="shared" si="505"/>
        <v>532.26555555555569</v>
      </c>
    </row>
    <row r="208" spans="1:42" ht="11.25">
      <c r="A208" s="191"/>
      <c r="B208" s="635" t="s">
        <v>136</v>
      </c>
      <c r="C208" s="636" t="s">
        <v>424</v>
      </c>
      <c r="D208" s="635"/>
      <c r="E208" s="647"/>
      <c r="F208" s="647"/>
      <c r="G208" s="647"/>
      <c r="H208" s="647"/>
      <c r="I208" s="647"/>
      <c r="J208" s="647"/>
      <c r="K208" s="647"/>
      <c r="L208" s="647"/>
      <c r="M208" s="648"/>
      <c r="N208" s="648"/>
      <c r="O208" s="648"/>
      <c r="P208" s="648"/>
      <c r="Q208" s="649"/>
      <c r="R208" s="649"/>
      <c r="S208" s="649"/>
      <c r="T208" s="649"/>
      <c r="U208" s="649"/>
      <c r="V208" s="649"/>
      <c r="W208" s="649"/>
      <c r="X208" s="649"/>
      <c r="Y208" s="640" t="s">
        <v>1860</v>
      </c>
      <c r="Z208" s="455"/>
      <c r="AA208" s="403"/>
      <c r="AB208" s="403"/>
      <c r="AC208" s="403"/>
      <c r="AD208" s="403"/>
      <c r="AE208" s="403"/>
      <c r="AF208" s="403"/>
      <c r="AG208" s="403"/>
      <c r="AH208" s="323"/>
      <c r="AI208" s="423"/>
      <c r="AJ208" s="423"/>
      <c r="AK208" s="423"/>
      <c r="AL208" s="423"/>
      <c r="AM208" s="423"/>
      <c r="AN208" s="423"/>
      <c r="AO208" s="423"/>
      <c r="AP208" s="423"/>
    </row>
    <row r="209" spans="1:42" ht="22.5">
      <c r="A209" s="191"/>
      <c r="B209" s="689">
        <v>1</v>
      </c>
      <c r="C209" s="407" t="s">
        <v>425</v>
      </c>
      <c r="D209" s="689" t="s">
        <v>231</v>
      </c>
      <c r="E209" s="566">
        <v>15.493580000000001</v>
      </c>
      <c r="F209" s="566">
        <v>30.017859999999999</v>
      </c>
      <c r="G209" s="566">
        <v>30.368860000000005</v>
      </c>
      <c r="H209" s="566">
        <f>(9.82-2.4)*2.7+0.047*(F单元!$L$22+F单元!$L$7*2)-F单元!$L$7*F单元!$L$22</f>
        <v>14.912180000000003</v>
      </c>
      <c r="I209" s="566">
        <v>76.207739999999987</v>
      </c>
      <c r="J209" s="566">
        <v>37.171960000000006</v>
      </c>
      <c r="K209" s="566">
        <f>(64.87-13.84-13.78)*2.7+0.047*(I单元!$L$17+I单元!$L$7*2+I单元!L22+I单元!$L$7*2+I单元!$L$28+I单元!$L$7*2)-I单元!$M$33*I单元!$N$33-I单元!$L$28*I单元!$L$7-I单元!$L$22*I单元!$L$7-I单元!$L$17*I单元!$L$7</f>
        <v>80.606540000000024</v>
      </c>
      <c r="L209" s="566">
        <f>(11.4-2.6)*2.7+0.047*(E单元!$L$22+E单元!$L$7*2)-E单元!$L$7*E单元!$L$22</f>
        <v>18.193580000000004</v>
      </c>
      <c r="M209" s="567">
        <f t="shared" si="497"/>
        <v>21.428709999999999</v>
      </c>
      <c r="N209" s="567">
        <f>'附件4-8甲供材料清单'!N123</f>
        <v>2.2087100000000004</v>
      </c>
      <c r="O209" s="567"/>
      <c r="P209" s="567">
        <v>19.22</v>
      </c>
      <c r="Q209" s="411">
        <f t="shared" si="455"/>
        <v>332.00743268180003</v>
      </c>
      <c r="R209" s="411">
        <f t="shared" si="456"/>
        <v>643.24401676059995</v>
      </c>
      <c r="S209" s="411">
        <f t="shared" si="457"/>
        <v>650.76549397060012</v>
      </c>
      <c r="T209" s="411">
        <f t="shared" si="458"/>
        <v>319.54878068780005</v>
      </c>
      <c r="U209" s="411">
        <f t="shared" si="459"/>
        <v>1633.0335602153996</v>
      </c>
      <c r="V209" s="411">
        <f t="shared" si="460"/>
        <v>796.5471509716001</v>
      </c>
      <c r="W209" s="411">
        <f t="shared" si="461"/>
        <v>1727.2941697634003</v>
      </c>
      <c r="X209" s="411">
        <f t="shared" si="462"/>
        <v>389.86494968180006</v>
      </c>
      <c r="Y209" s="409" t="s">
        <v>244</v>
      </c>
      <c r="Z209" s="455">
        <f t="shared" ref="Z209" si="506">Q209</f>
        <v>332.00743268180003</v>
      </c>
      <c r="AA209" s="403">
        <f t="shared" ref="AA209:AG210" si="507">R209</f>
        <v>643.24401676059995</v>
      </c>
      <c r="AB209" s="403">
        <f t="shared" si="507"/>
        <v>650.76549397060012</v>
      </c>
      <c r="AC209" s="403">
        <f t="shared" si="507"/>
        <v>319.54878068780005</v>
      </c>
      <c r="AD209" s="403">
        <f t="shared" si="507"/>
        <v>1633.0335602153996</v>
      </c>
      <c r="AE209" s="403">
        <f t="shared" si="507"/>
        <v>796.5471509716001</v>
      </c>
      <c r="AF209" s="403">
        <f t="shared" si="507"/>
        <v>1727.2941697634003</v>
      </c>
      <c r="AG209" s="403">
        <f t="shared" si="507"/>
        <v>389.86494968180006</v>
      </c>
      <c r="AH209" s="323"/>
      <c r="AI209" s="403">
        <f t="shared" ref="AI209" si="508">E209*$N209*(1+$O209%)</f>
        <v>34.220825081800008</v>
      </c>
      <c r="AJ209" s="403">
        <f t="shared" ref="AJ209:AP210" si="509">F209*$N209*(1+$O209%)</f>
        <v>66.300747560600016</v>
      </c>
      <c r="AK209" s="403">
        <f t="shared" si="509"/>
        <v>67.076004770600022</v>
      </c>
      <c r="AL209" s="403">
        <f t="shared" si="509"/>
        <v>32.936681087800011</v>
      </c>
      <c r="AM209" s="403">
        <f t="shared" si="509"/>
        <v>168.32079741539999</v>
      </c>
      <c r="AN209" s="403">
        <f t="shared" si="509"/>
        <v>82.102079771600032</v>
      </c>
      <c r="AO209" s="403">
        <f t="shared" si="509"/>
        <v>178.03647096340009</v>
      </c>
      <c r="AP209" s="403">
        <f t="shared" si="509"/>
        <v>40.184342081800018</v>
      </c>
    </row>
    <row r="210" spans="1:42" ht="33.75">
      <c r="A210" s="191"/>
      <c r="B210" s="689" t="s">
        <v>233</v>
      </c>
      <c r="C210" s="407" t="s">
        <v>426</v>
      </c>
      <c r="D210" s="689" t="s">
        <v>231</v>
      </c>
      <c r="E210" s="566"/>
      <c r="F210" s="566"/>
      <c r="G210" s="566"/>
      <c r="H210" s="566"/>
      <c r="I210" s="566"/>
      <c r="J210" s="566"/>
      <c r="K210" s="566"/>
      <c r="L210" s="566"/>
      <c r="M210" s="567">
        <f t="shared" si="497"/>
        <v>23.988709999999998</v>
      </c>
      <c r="N210" s="567">
        <f>N209</f>
        <v>2.2087100000000004</v>
      </c>
      <c r="O210" s="567"/>
      <c r="P210" s="567">
        <f>2.56+19.22</f>
        <v>21.779999999999998</v>
      </c>
      <c r="Q210" s="411">
        <f t="shared" si="455"/>
        <v>0</v>
      </c>
      <c r="R210" s="411">
        <f t="shared" si="456"/>
        <v>0</v>
      </c>
      <c r="S210" s="411">
        <f t="shared" si="457"/>
        <v>0</v>
      </c>
      <c r="T210" s="411">
        <f t="shared" si="458"/>
        <v>0</v>
      </c>
      <c r="U210" s="411">
        <f t="shared" si="459"/>
        <v>0</v>
      </c>
      <c r="V210" s="411">
        <f t="shared" si="460"/>
        <v>0</v>
      </c>
      <c r="W210" s="411">
        <f t="shared" si="461"/>
        <v>0</v>
      </c>
      <c r="X210" s="411">
        <f t="shared" si="462"/>
        <v>0</v>
      </c>
      <c r="Y210" s="409" t="s">
        <v>244</v>
      </c>
      <c r="Z210" s="455">
        <f>Q210</f>
        <v>0</v>
      </c>
      <c r="AA210" s="403">
        <f t="shared" si="507"/>
        <v>0</v>
      </c>
      <c r="AB210" s="403">
        <f t="shared" si="507"/>
        <v>0</v>
      </c>
      <c r="AC210" s="403">
        <f t="shared" si="507"/>
        <v>0</v>
      </c>
      <c r="AD210" s="403">
        <f t="shared" si="507"/>
        <v>0</v>
      </c>
      <c r="AE210" s="403">
        <f t="shared" si="507"/>
        <v>0</v>
      </c>
      <c r="AF210" s="403">
        <f t="shared" si="507"/>
        <v>0</v>
      </c>
      <c r="AG210" s="403">
        <f t="shared" si="507"/>
        <v>0</v>
      </c>
      <c r="AH210" s="323"/>
      <c r="AI210" s="403">
        <f>E210*$N210*(1+$O210%)</f>
        <v>0</v>
      </c>
      <c r="AJ210" s="403">
        <f t="shared" si="509"/>
        <v>0</v>
      </c>
      <c r="AK210" s="403">
        <f t="shared" si="509"/>
        <v>0</v>
      </c>
      <c r="AL210" s="403">
        <f t="shared" si="509"/>
        <v>0</v>
      </c>
      <c r="AM210" s="403">
        <f t="shared" si="509"/>
        <v>0</v>
      </c>
      <c r="AN210" s="403">
        <f t="shared" si="509"/>
        <v>0</v>
      </c>
      <c r="AO210" s="403">
        <f t="shared" si="509"/>
        <v>0</v>
      </c>
      <c r="AP210" s="403">
        <f t="shared" si="509"/>
        <v>0</v>
      </c>
    </row>
    <row r="211" spans="1:42" s="384" customFormat="1" ht="22.5">
      <c r="A211" s="191"/>
      <c r="B211" s="689">
        <v>2</v>
      </c>
      <c r="C211" s="407" t="s">
        <v>427</v>
      </c>
      <c r="D211" s="689" t="s">
        <v>231</v>
      </c>
      <c r="E211" s="566"/>
      <c r="F211" s="566"/>
      <c r="G211" s="566"/>
      <c r="H211" s="566"/>
      <c r="I211" s="566"/>
      <c r="J211" s="566"/>
      <c r="K211" s="566"/>
      <c r="L211" s="566"/>
      <c r="M211" s="567">
        <f t="shared" si="497"/>
        <v>124</v>
      </c>
      <c r="N211" s="567"/>
      <c r="O211" s="567"/>
      <c r="P211" s="567">
        <v>124</v>
      </c>
      <c r="Q211" s="402">
        <f t="shared" si="455"/>
        <v>0</v>
      </c>
      <c r="R211" s="402">
        <f t="shared" si="456"/>
        <v>0</v>
      </c>
      <c r="S211" s="402">
        <f t="shared" si="457"/>
        <v>0</v>
      </c>
      <c r="T211" s="402">
        <f t="shared" si="458"/>
        <v>0</v>
      </c>
      <c r="U211" s="402">
        <f t="shared" si="459"/>
        <v>0</v>
      </c>
      <c r="V211" s="402">
        <f t="shared" si="460"/>
        <v>0</v>
      </c>
      <c r="W211" s="402">
        <f t="shared" si="461"/>
        <v>0</v>
      </c>
      <c r="X211" s="402">
        <f t="shared" si="462"/>
        <v>0</v>
      </c>
      <c r="Y211" s="409" t="s">
        <v>378</v>
      </c>
      <c r="Z211" s="455"/>
      <c r="AA211" s="403"/>
      <c r="AB211" s="403"/>
      <c r="AC211" s="403"/>
      <c r="AD211" s="403"/>
      <c r="AE211" s="403"/>
      <c r="AF211" s="403"/>
      <c r="AG211" s="403"/>
      <c r="AH211" s="323"/>
      <c r="AI211" s="423"/>
      <c r="AJ211" s="423"/>
      <c r="AK211" s="423"/>
      <c r="AL211" s="423"/>
      <c r="AM211" s="423"/>
      <c r="AN211" s="423"/>
      <c r="AO211" s="423"/>
      <c r="AP211" s="423"/>
    </row>
    <row r="212" spans="1:42" ht="22.5">
      <c r="A212" s="191"/>
      <c r="B212" s="689">
        <v>3</v>
      </c>
      <c r="C212" s="407" t="s">
        <v>428</v>
      </c>
      <c r="D212" s="689" t="s">
        <v>235</v>
      </c>
      <c r="E212" s="566"/>
      <c r="F212" s="566"/>
      <c r="G212" s="566"/>
      <c r="H212" s="566"/>
      <c r="I212" s="566"/>
      <c r="J212" s="566"/>
      <c r="K212" s="566"/>
      <c r="L212" s="566"/>
      <c r="M212" s="567">
        <f t="shared" si="497"/>
        <v>15.976666666666667</v>
      </c>
      <c r="N212" s="567">
        <f>'附件4-8甲供材料清单'!M12*0.1</f>
        <v>6.1111111111111116</v>
      </c>
      <c r="O212" s="567">
        <v>5</v>
      </c>
      <c r="P212" s="567">
        <v>9.56</v>
      </c>
      <c r="Q212" s="411">
        <f t="shared" si="455"/>
        <v>0</v>
      </c>
      <c r="R212" s="411">
        <f t="shared" si="456"/>
        <v>0</v>
      </c>
      <c r="S212" s="411">
        <f t="shared" si="457"/>
        <v>0</v>
      </c>
      <c r="T212" s="411">
        <f t="shared" si="458"/>
        <v>0</v>
      </c>
      <c r="U212" s="411">
        <f t="shared" si="459"/>
        <v>0</v>
      </c>
      <c r="V212" s="411">
        <f t="shared" si="460"/>
        <v>0</v>
      </c>
      <c r="W212" s="411">
        <f t="shared" si="461"/>
        <v>0</v>
      </c>
      <c r="X212" s="411">
        <f t="shared" si="462"/>
        <v>0</v>
      </c>
      <c r="Y212" s="409" t="s">
        <v>244</v>
      </c>
      <c r="Z212" s="455">
        <f t="shared" ref="Z212" si="510">Q212</f>
        <v>0</v>
      </c>
      <c r="AA212" s="403">
        <f t="shared" ref="AA212:AG213" si="511">R212</f>
        <v>0</v>
      </c>
      <c r="AB212" s="403">
        <f t="shared" si="511"/>
        <v>0</v>
      </c>
      <c r="AC212" s="403">
        <f t="shared" si="511"/>
        <v>0</v>
      </c>
      <c r="AD212" s="403">
        <f t="shared" si="511"/>
        <v>0</v>
      </c>
      <c r="AE212" s="403">
        <f t="shared" si="511"/>
        <v>0</v>
      </c>
      <c r="AF212" s="403">
        <f t="shared" si="511"/>
        <v>0</v>
      </c>
      <c r="AG212" s="403">
        <f t="shared" si="511"/>
        <v>0</v>
      </c>
      <c r="AH212" s="323"/>
      <c r="AI212" s="403">
        <f t="shared" ref="AI212" si="512">E212*$N212*(1+$O212%)</f>
        <v>0</v>
      </c>
      <c r="AJ212" s="403">
        <f t="shared" ref="AJ212:AP213" si="513">F212*$N212*(1+$O212%)</f>
        <v>0</v>
      </c>
      <c r="AK212" s="403">
        <f t="shared" si="513"/>
        <v>0</v>
      </c>
      <c r="AL212" s="403">
        <f t="shared" si="513"/>
        <v>0</v>
      </c>
      <c r="AM212" s="403">
        <f t="shared" si="513"/>
        <v>0</v>
      </c>
      <c r="AN212" s="403">
        <f t="shared" si="513"/>
        <v>0</v>
      </c>
      <c r="AO212" s="403">
        <f t="shared" si="513"/>
        <v>0</v>
      </c>
      <c r="AP212" s="403">
        <f t="shared" si="513"/>
        <v>0</v>
      </c>
    </row>
    <row r="213" spans="1:42" ht="45">
      <c r="A213" s="191"/>
      <c r="B213" s="689" t="s">
        <v>233</v>
      </c>
      <c r="C213" s="407" t="s">
        <v>429</v>
      </c>
      <c r="D213" s="689" t="s">
        <v>235</v>
      </c>
      <c r="E213" s="566"/>
      <c r="F213" s="566"/>
      <c r="G213" s="566"/>
      <c r="H213" s="566"/>
      <c r="I213" s="566"/>
      <c r="J213" s="566"/>
      <c r="K213" s="566"/>
      <c r="L213" s="566"/>
      <c r="M213" s="567">
        <f t="shared" si="497"/>
        <v>19.497777777777777</v>
      </c>
      <c r="N213" s="567">
        <f>N212</f>
        <v>6.1111111111111116</v>
      </c>
      <c r="O213" s="567">
        <v>6</v>
      </c>
      <c r="P213" s="567">
        <v>13.02</v>
      </c>
      <c r="Q213" s="411">
        <f t="shared" si="455"/>
        <v>0</v>
      </c>
      <c r="R213" s="411">
        <f t="shared" si="456"/>
        <v>0</v>
      </c>
      <c r="S213" s="411">
        <f t="shared" si="457"/>
        <v>0</v>
      </c>
      <c r="T213" s="411">
        <f t="shared" si="458"/>
        <v>0</v>
      </c>
      <c r="U213" s="411">
        <f t="shared" si="459"/>
        <v>0</v>
      </c>
      <c r="V213" s="411">
        <f t="shared" si="460"/>
        <v>0</v>
      </c>
      <c r="W213" s="411">
        <f t="shared" si="461"/>
        <v>0</v>
      </c>
      <c r="X213" s="411">
        <f t="shared" si="462"/>
        <v>0</v>
      </c>
      <c r="Y213" s="409" t="s">
        <v>244</v>
      </c>
      <c r="Z213" s="455">
        <f>Q213</f>
        <v>0</v>
      </c>
      <c r="AA213" s="403">
        <f t="shared" si="511"/>
        <v>0</v>
      </c>
      <c r="AB213" s="403">
        <f t="shared" si="511"/>
        <v>0</v>
      </c>
      <c r="AC213" s="403">
        <f t="shared" si="511"/>
        <v>0</v>
      </c>
      <c r="AD213" s="403">
        <f t="shared" si="511"/>
        <v>0</v>
      </c>
      <c r="AE213" s="403">
        <f t="shared" si="511"/>
        <v>0</v>
      </c>
      <c r="AF213" s="403">
        <f t="shared" si="511"/>
        <v>0</v>
      </c>
      <c r="AG213" s="403">
        <f t="shared" si="511"/>
        <v>0</v>
      </c>
      <c r="AH213" s="323"/>
      <c r="AI213" s="403">
        <f>E213*$N213*(1+$O213%)</f>
        <v>0</v>
      </c>
      <c r="AJ213" s="403">
        <f t="shared" si="513"/>
        <v>0</v>
      </c>
      <c r="AK213" s="403">
        <f t="shared" si="513"/>
        <v>0</v>
      </c>
      <c r="AL213" s="403">
        <f t="shared" si="513"/>
        <v>0</v>
      </c>
      <c r="AM213" s="403">
        <f t="shared" si="513"/>
        <v>0</v>
      </c>
      <c r="AN213" s="403">
        <f t="shared" si="513"/>
        <v>0</v>
      </c>
      <c r="AO213" s="403">
        <f t="shared" si="513"/>
        <v>0</v>
      </c>
      <c r="AP213" s="403">
        <f t="shared" si="513"/>
        <v>0</v>
      </c>
    </row>
    <row r="214" spans="1:42" s="384" customFormat="1">
      <c r="A214" s="191"/>
      <c r="B214" s="689">
        <v>4</v>
      </c>
      <c r="C214" s="407" t="s">
        <v>430</v>
      </c>
      <c r="D214" s="689" t="s">
        <v>270</v>
      </c>
      <c r="E214" s="566">
        <v>3</v>
      </c>
      <c r="F214" s="566">
        <v>4</v>
      </c>
      <c r="G214" s="566">
        <v>4</v>
      </c>
      <c r="H214" s="566">
        <v>3</v>
      </c>
      <c r="I214" s="566">
        <v>4</v>
      </c>
      <c r="J214" s="566">
        <v>4</v>
      </c>
      <c r="K214" s="566">
        <v>5</v>
      </c>
      <c r="L214" s="566">
        <v>3</v>
      </c>
      <c r="M214" s="567">
        <f t="shared" si="497"/>
        <v>31</v>
      </c>
      <c r="N214" s="567">
        <v>20</v>
      </c>
      <c r="O214" s="567">
        <v>1</v>
      </c>
      <c r="P214" s="567">
        <v>10.8</v>
      </c>
      <c r="Q214" s="402">
        <f t="shared" si="455"/>
        <v>93</v>
      </c>
      <c r="R214" s="402">
        <f t="shared" si="456"/>
        <v>124</v>
      </c>
      <c r="S214" s="402">
        <f t="shared" si="457"/>
        <v>124</v>
      </c>
      <c r="T214" s="402">
        <f t="shared" si="458"/>
        <v>93</v>
      </c>
      <c r="U214" s="402">
        <f t="shared" si="459"/>
        <v>124</v>
      </c>
      <c r="V214" s="402">
        <f t="shared" si="460"/>
        <v>124</v>
      </c>
      <c r="W214" s="402">
        <f t="shared" si="461"/>
        <v>155</v>
      </c>
      <c r="X214" s="402">
        <f t="shared" si="462"/>
        <v>93</v>
      </c>
      <c r="Y214" s="409"/>
      <c r="Z214" s="455"/>
      <c r="AA214" s="403"/>
      <c r="AB214" s="403"/>
      <c r="AC214" s="403"/>
      <c r="AD214" s="403"/>
      <c r="AE214" s="403"/>
      <c r="AF214" s="403"/>
      <c r="AG214" s="403"/>
      <c r="AH214" s="323"/>
      <c r="AI214" s="423"/>
      <c r="AJ214" s="423"/>
      <c r="AK214" s="423"/>
      <c r="AL214" s="423"/>
      <c r="AM214" s="423"/>
      <c r="AN214" s="423"/>
      <c r="AO214" s="423"/>
      <c r="AP214" s="423"/>
    </row>
    <row r="215" spans="1:42" s="384" customFormat="1">
      <c r="A215" s="191"/>
      <c r="B215" s="689">
        <v>5</v>
      </c>
      <c r="C215" s="407" t="s">
        <v>431</v>
      </c>
      <c r="D215" s="689" t="s">
        <v>270</v>
      </c>
      <c r="E215" s="566">
        <v>1</v>
      </c>
      <c r="F215" s="566">
        <v>2</v>
      </c>
      <c r="G215" s="566">
        <v>2</v>
      </c>
      <c r="H215" s="566">
        <v>1</v>
      </c>
      <c r="I215" s="566">
        <v>1</v>
      </c>
      <c r="J215" s="566">
        <v>2</v>
      </c>
      <c r="K215" s="566">
        <v>1</v>
      </c>
      <c r="L215" s="566">
        <v>1</v>
      </c>
      <c r="M215" s="567">
        <f t="shared" si="497"/>
        <v>46.150000000000006</v>
      </c>
      <c r="N215" s="567">
        <v>35</v>
      </c>
      <c r="O215" s="567">
        <v>1</v>
      </c>
      <c r="P215" s="567">
        <v>10.8</v>
      </c>
      <c r="Q215" s="402">
        <f t="shared" si="455"/>
        <v>46.150000000000006</v>
      </c>
      <c r="R215" s="402">
        <f t="shared" si="456"/>
        <v>92.300000000000011</v>
      </c>
      <c r="S215" s="402">
        <f t="shared" si="457"/>
        <v>92.300000000000011</v>
      </c>
      <c r="T215" s="402">
        <f t="shared" si="458"/>
        <v>46.150000000000006</v>
      </c>
      <c r="U215" s="402">
        <f t="shared" si="459"/>
        <v>46.150000000000006</v>
      </c>
      <c r="V215" s="402">
        <f t="shared" si="460"/>
        <v>92.300000000000011</v>
      </c>
      <c r="W215" s="402">
        <f t="shared" si="461"/>
        <v>46.150000000000006</v>
      </c>
      <c r="X215" s="402">
        <f t="shared" si="462"/>
        <v>46.150000000000006</v>
      </c>
      <c r="Y215" s="409"/>
      <c r="Z215" s="455"/>
      <c r="AA215" s="403"/>
      <c r="AB215" s="403"/>
      <c r="AC215" s="403"/>
      <c r="AD215" s="403"/>
      <c r="AE215" s="403"/>
      <c r="AF215" s="403"/>
      <c r="AG215" s="403"/>
      <c r="AH215" s="323"/>
      <c r="AI215" s="423"/>
      <c r="AJ215" s="423"/>
      <c r="AK215" s="423"/>
      <c r="AL215" s="423"/>
      <c r="AM215" s="423"/>
      <c r="AN215" s="423"/>
      <c r="AO215" s="423"/>
      <c r="AP215" s="423"/>
    </row>
    <row r="216" spans="1:42" ht="33.75">
      <c r="A216" s="191"/>
      <c r="B216" s="689">
        <v>6</v>
      </c>
      <c r="C216" s="407" t="s">
        <v>432</v>
      </c>
      <c r="D216" s="689" t="s">
        <v>231</v>
      </c>
      <c r="E216" s="566"/>
      <c r="F216" s="566"/>
      <c r="G216" s="566"/>
      <c r="H216" s="566"/>
      <c r="I216" s="566"/>
      <c r="J216" s="566"/>
      <c r="K216" s="566"/>
      <c r="L216" s="566"/>
      <c r="M216" s="567">
        <f t="shared" si="497"/>
        <v>486.39</v>
      </c>
      <c r="N216" s="567">
        <f>'附件4-8甲供材料清单'!K156</f>
        <v>373</v>
      </c>
      <c r="O216" s="567">
        <v>3</v>
      </c>
      <c r="P216" s="567">
        <v>102.2</v>
      </c>
      <c r="Q216" s="411">
        <f t="shared" si="455"/>
        <v>0</v>
      </c>
      <c r="R216" s="411">
        <f t="shared" si="456"/>
        <v>0</v>
      </c>
      <c r="S216" s="411">
        <f t="shared" si="457"/>
        <v>0</v>
      </c>
      <c r="T216" s="411">
        <f t="shared" si="458"/>
        <v>0</v>
      </c>
      <c r="U216" s="411">
        <f t="shared" si="459"/>
        <v>0</v>
      </c>
      <c r="V216" s="411">
        <f t="shared" si="460"/>
        <v>0</v>
      </c>
      <c r="W216" s="411">
        <f t="shared" si="461"/>
        <v>0</v>
      </c>
      <c r="X216" s="411">
        <f t="shared" si="462"/>
        <v>0</v>
      </c>
      <c r="Y216" s="409" t="s">
        <v>244</v>
      </c>
      <c r="Z216" s="455">
        <f t="shared" ref="Z216" si="514">Q216</f>
        <v>0</v>
      </c>
      <c r="AA216" s="403">
        <f t="shared" ref="AA216:AG217" si="515">R216</f>
        <v>0</v>
      </c>
      <c r="AB216" s="403">
        <f t="shared" si="515"/>
        <v>0</v>
      </c>
      <c r="AC216" s="403">
        <f t="shared" si="515"/>
        <v>0</v>
      </c>
      <c r="AD216" s="403">
        <f t="shared" si="515"/>
        <v>0</v>
      </c>
      <c r="AE216" s="403">
        <f t="shared" si="515"/>
        <v>0</v>
      </c>
      <c r="AF216" s="403">
        <f t="shared" si="515"/>
        <v>0</v>
      </c>
      <c r="AG216" s="403">
        <f t="shared" si="515"/>
        <v>0</v>
      </c>
      <c r="AH216" s="323"/>
      <c r="AI216" s="403">
        <f t="shared" ref="AI216" si="516">E216*$N216*(1+$O216%)</f>
        <v>0</v>
      </c>
      <c r="AJ216" s="403">
        <f t="shared" ref="AJ216:AP217" si="517">F216*$N216*(1+$O216%)</f>
        <v>0</v>
      </c>
      <c r="AK216" s="403">
        <f t="shared" si="517"/>
        <v>0</v>
      </c>
      <c r="AL216" s="403">
        <f t="shared" si="517"/>
        <v>0</v>
      </c>
      <c r="AM216" s="403">
        <f t="shared" si="517"/>
        <v>0</v>
      </c>
      <c r="AN216" s="403">
        <f t="shared" si="517"/>
        <v>0</v>
      </c>
      <c r="AO216" s="403">
        <f t="shared" si="517"/>
        <v>0</v>
      </c>
      <c r="AP216" s="403">
        <f t="shared" si="517"/>
        <v>0</v>
      </c>
    </row>
    <row r="217" spans="1:42" ht="22.5">
      <c r="A217" s="191"/>
      <c r="B217" s="689">
        <v>7</v>
      </c>
      <c r="C217" s="407" t="s">
        <v>274</v>
      </c>
      <c r="D217" s="689" t="s">
        <v>235</v>
      </c>
      <c r="E217" s="566"/>
      <c r="F217" s="566"/>
      <c r="G217" s="566"/>
      <c r="H217" s="566"/>
      <c r="I217" s="566"/>
      <c r="J217" s="566"/>
      <c r="K217" s="566"/>
      <c r="L217" s="566"/>
      <c r="M217" s="567">
        <f t="shared" si="497"/>
        <v>30</v>
      </c>
      <c r="N217" s="567">
        <f>'附件4-8甲供材料清单'!K157</f>
        <v>30</v>
      </c>
      <c r="O217" s="567"/>
      <c r="P217" s="567"/>
      <c r="Q217" s="411">
        <f t="shared" si="455"/>
        <v>0</v>
      </c>
      <c r="R217" s="411">
        <f t="shared" si="456"/>
        <v>0</v>
      </c>
      <c r="S217" s="411">
        <f t="shared" si="457"/>
        <v>0</v>
      </c>
      <c r="T217" s="411">
        <f t="shared" si="458"/>
        <v>0</v>
      </c>
      <c r="U217" s="411">
        <f t="shared" si="459"/>
        <v>0</v>
      </c>
      <c r="V217" s="411">
        <f t="shared" si="460"/>
        <v>0</v>
      </c>
      <c r="W217" s="411">
        <f t="shared" si="461"/>
        <v>0</v>
      </c>
      <c r="X217" s="411">
        <f t="shared" si="462"/>
        <v>0</v>
      </c>
      <c r="Y217" s="409" t="s">
        <v>244</v>
      </c>
      <c r="Z217" s="455">
        <f>Q217</f>
        <v>0</v>
      </c>
      <c r="AA217" s="403">
        <f t="shared" si="515"/>
        <v>0</v>
      </c>
      <c r="AB217" s="403">
        <f t="shared" si="515"/>
        <v>0</v>
      </c>
      <c r="AC217" s="403">
        <f t="shared" si="515"/>
        <v>0</v>
      </c>
      <c r="AD217" s="403">
        <f t="shared" si="515"/>
        <v>0</v>
      </c>
      <c r="AE217" s="403">
        <f t="shared" si="515"/>
        <v>0</v>
      </c>
      <c r="AF217" s="403">
        <f t="shared" si="515"/>
        <v>0</v>
      </c>
      <c r="AG217" s="403">
        <f t="shared" si="515"/>
        <v>0</v>
      </c>
      <c r="AH217" s="323"/>
      <c r="AI217" s="403">
        <f>E217*$N217*(1+$O217%)</f>
        <v>0</v>
      </c>
      <c r="AJ217" s="403">
        <f t="shared" si="517"/>
        <v>0</v>
      </c>
      <c r="AK217" s="403">
        <f t="shared" si="517"/>
        <v>0</v>
      </c>
      <c r="AL217" s="403">
        <f t="shared" si="517"/>
        <v>0</v>
      </c>
      <c r="AM217" s="403">
        <f t="shared" si="517"/>
        <v>0</v>
      </c>
      <c r="AN217" s="403">
        <f t="shared" si="517"/>
        <v>0</v>
      </c>
      <c r="AO217" s="403">
        <f t="shared" si="517"/>
        <v>0</v>
      </c>
      <c r="AP217" s="403">
        <f t="shared" si="517"/>
        <v>0</v>
      </c>
    </row>
    <row r="218" spans="1:42" ht="11.25">
      <c r="A218" s="191"/>
      <c r="B218" s="635" t="s">
        <v>433</v>
      </c>
      <c r="C218" s="636" t="s">
        <v>434</v>
      </c>
      <c r="D218" s="635"/>
      <c r="E218" s="647"/>
      <c r="F218" s="647"/>
      <c r="G218" s="647"/>
      <c r="H218" s="647"/>
      <c r="I218" s="647"/>
      <c r="J218" s="647"/>
      <c r="K218" s="647"/>
      <c r="L218" s="647"/>
      <c r="M218" s="648"/>
      <c r="N218" s="648"/>
      <c r="O218" s="648"/>
      <c r="P218" s="648"/>
      <c r="Q218" s="649"/>
      <c r="R218" s="649"/>
      <c r="S218" s="649"/>
      <c r="T218" s="649"/>
      <c r="U218" s="649"/>
      <c r="V218" s="649"/>
      <c r="W218" s="649"/>
      <c r="X218" s="649"/>
      <c r="Y218" s="640" t="s">
        <v>1860</v>
      </c>
      <c r="Z218" s="455"/>
      <c r="AA218" s="403"/>
      <c r="AB218" s="403"/>
      <c r="AC218" s="403"/>
      <c r="AD218" s="403"/>
      <c r="AE218" s="403"/>
      <c r="AF218" s="403"/>
      <c r="AG218" s="403"/>
      <c r="AH218" s="323"/>
      <c r="AI218" s="423"/>
      <c r="AJ218" s="423"/>
      <c r="AK218" s="423"/>
      <c r="AL218" s="423"/>
      <c r="AM218" s="423"/>
      <c r="AN218" s="423"/>
      <c r="AO218" s="423"/>
      <c r="AP218" s="423"/>
    </row>
    <row r="219" spans="1:42" ht="67.5">
      <c r="A219" s="191"/>
      <c r="B219" s="689">
        <v>1</v>
      </c>
      <c r="C219" s="407" t="s">
        <v>435</v>
      </c>
      <c r="D219" s="689" t="s">
        <v>436</v>
      </c>
      <c r="E219" s="566">
        <f t="shared" ref="E219:L219" si="518">E6</f>
        <v>0</v>
      </c>
      <c r="F219" s="566">
        <f t="shared" si="518"/>
        <v>1</v>
      </c>
      <c r="G219" s="566">
        <f t="shared" si="518"/>
        <v>0</v>
      </c>
      <c r="H219" s="566">
        <f t="shared" si="518"/>
        <v>0</v>
      </c>
      <c r="I219" s="566">
        <f t="shared" si="518"/>
        <v>0</v>
      </c>
      <c r="J219" s="566">
        <f t="shared" si="518"/>
        <v>0</v>
      </c>
      <c r="K219" s="566">
        <f t="shared" si="518"/>
        <v>0</v>
      </c>
      <c r="L219" s="566">
        <f t="shared" si="518"/>
        <v>0</v>
      </c>
      <c r="M219" s="567">
        <f t="shared" si="497"/>
        <v>3006.56</v>
      </c>
      <c r="N219" s="567">
        <f>'附件4-8甲供材料清单'!K82</f>
        <v>2646</v>
      </c>
      <c r="O219" s="567">
        <v>0.5</v>
      </c>
      <c r="P219" s="567">
        <v>347.33</v>
      </c>
      <c r="Q219" s="411">
        <f t="shared" si="455"/>
        <v>0</v>
      </c>
      <c r="R219" s="411">
        <f t="shared" si="456"/>
        <v>3006.56</v>
      </c>
      <c r="S219" s="411">
        <f t="shared" si="457"/>
        <v>0</v>
      </c>
      <c r="T219" s="411">
        <f t="shared" si="458"/>
        <v>0</v>
      </c>
      <c r="U219" s="411">
        <f t="shared" si="459"/>
        <v>0</v>
      </c>
      <c r="V219" s="411">
        <f t="shared" si="460"/>
        <v>0</v>
      </c>
      <c r="W219" s="411">
        <f t="shared" si="461"/>
        <v>0</v>
      </c>
      <c r="X219" s="411">
        <f t="shared" si="462"/>
        <v>0</v>
      </c>
      <c r="Y219" s="409" t="s">
        <v>437</v>
      </c>
      <c r="Z219" s="455">
        <f t="shared" ref="Z219" si="519">Q219</f>
        <v>0</v>
      </c>
      <c r="AA219" s="403">
        <f t="shared" ref="AA219" si="520">R219</f>
        <v>3006.56</v>
      </c>
      <c r="AB219" s="403">
        <f t="shared" ref="AB219" si="521">S219</f>
        <v>0</v>
      </c>
      <c r="AC219" s="403">
        <f t="shared" ref="AC219" si="522">T219</f>
        <v>0</v>
      </c>
      <c r="AD219" s="403">
        <f t="shared" ref="AD219" si="523">U219</f>
        <v>0</v>
      </c>
      <c r="AE219" s="403">
        <f t="shared" ref="AE219" si="524">V219</f>
        <v>0</v>
      </c>
      <c r="AF219" s="403">
        <f t="shared" ref="AF219" si="525">W219</f>
        <v>0</v>
      </c>
      <c r="AG219" s="403">
        <f t="shared" ref="AG219" si="526">X219</f>
        <v>0</v>
      </c>
      <c r="AH219" s="323"/>
      <c r="AI219" s="403">
        <f t="shared" ref="AI219" si="527">E219*$N219*(1+$O219%)</f>
        <v>0</v>
      </c>
      <c r="AJ219" s="403">
        <f t="shared" ref="AJ219" si="528">F219*$N219*(1+$O219%)</f>
        <v>2659.2299999999996</v>
      </c>
      <c r="AK219" s="403">
        <f t="shared" ref="AK219" si="529">G219*$N219*(1+$O219%)</f>
        <v>0</v>
      </c>
      <c r="AL219" s="403">
        <f t="shared" ref="AL219" si="530">H219*$N219*(1+$O219%)</f>
        <v>0</v>
      </c>
      <c r="AM219" s="403">
        <f t="shared" ref="AM219" si="531">I219*$N219*(1+$O219%)</f>
        <v>0</v>
      </c>
      <c r="AN219" s="403">
        <f t="shared" ref="AN219" si="532">J219*$N219*(1+$O219%)</f>
        <v>0</v>
      </c>
      <c r="AO219" s="403">
        <f t="shared" ref="AO219" si="533">K219*$N219*(1+$O219%)</f>
        <v>0</v>
      </c>
      <c r="AP219" s="403">
        <f t="shared" ref="AP219" si="534">L219*$N219*(1+$O219%)</f>
        <v>0</v>
      </c>
    </row>
    <row r="220" spans="1:42" ht="22.5">
      <c r="A220" s="191"/>
      <c r="B220" s="689">
        <v>2</v>
      </c>
      <c r="C220" s="407" t="s">
        <v>438</v>
      </c>
      <c r="D220" s="689" t="s">
        <v>320</v>
      </c>
      <c r="E220" s="566">
        <f>E219*2</f>
        <v>0</v>
      </c>
      <c r="F220" s="566">
        <f t="shared" ref="F220" si="535">F219*2</f>
        <v>2</v>
      </c>
      <c r="G220" s="566">
        <f t="shared" ref="G220:L220" si="536">G219*2</f>
        <v>0</v>
      </c>
      <c r="H220" s="566">
        <f t="shared" si="536"/>
        <v>0</v>
      </c>
      <c r="I220" s="566">
        <f t="shared" si="536"/>
        <v>0</v>
      </c>
      <c r="J220" s="566">
        <f t="shared" si="536"/>
        <v>0</v>
      </c>
      <c r="K220" s="566">
        <f t="shared" si="536"/>
        <v>0</v>
      </c>
      <c r="L220" s="566">
        <f t="shared" si="536"/>
        <v>0</v>
      </c>
      <c r="M220" s="567">
        <f t="shared" si="497"/>
        <v>87.6</v>
      </c>
      <c r="N220" s="567">
        <f>'附件4-8甲供材料清单'!K64</f>
        <v>60</v>
      </c>
      <c r="O220" s="567">
        <v>1</v>
      </c>
      <c r="P220" s="567">
        <v>27</v>
      </c>
      <c r="Q220" s="411">
        <f t="shared" si="455"/>
        <v>0</v>
      </c>
      <c r="R220" s="411">
        <f t="shared" si="456"/>
        <v>175.2</v>
      </c>
      <c r="S220" s="411">
        <f t="shared" si="457"/>
        <v>0</v>
      </c>
      <c r="T220" s="411">
        <f t="shared" si="458"/>
        <v>0</v>
      </c>
      <c r="U220" s="411">
        <f t="shared" si="459"/>
        <v>0</v>
      </c>
      <c r="V220" s="411">
        <f t="shared" si="460"/>
        <v>0</v>
      </c>
      <c r="W220" s="411">
        <f t="shared" si="461"/>
        <v>0</v>
      </c>
      <c r="X220" s="411">
        <f t="shared" si="462"/>
        <v>0</v>
      </c>
      <c r="Y220" s="409" t="s">
        <v>244</v>
      </c>
      <c r="Z220" s="455">
        <f t="shared" ref="Z220:Z233" si="537">Q220</f>
        <v>0</v>
      </c>
      <c r="AA220" s="403">
        <f t="shared" ref="AA220:AA233" si="538">R220</f>
        <v>175.2</v>
      </c>
      <c r="AB220" s="403">
        <f t="shared" ref="AB220:AB233" si="539">S220</f>
        <v>0</v>
      </c>
      <c r="AC220" s="403">
        <f t="shared" ref="AC220:AC233" si="540">T220</f>
        <v>0</v>
      </c>
      <c r="AD220" s="403">
        <f t="shared" ref="AD220:AD233" si="541">U220</f>
        <v>0</v>
      </c>
      <c r="AE220" s="403">
        <f t="shared" ref="AE220:AE233" si="542">V220</f>
        <v>0</v>
      </c>
      <c r="AF220" s="403">
        <f t="shared" ref="AF220:AF233" si="543">W220</f>
        <v>0</v>
      </c>
      <c r="AG220" s="403">
        <f t="shared" ref="AG220:AG233" si="544">X220</f>
        <v>0</v>
      </c>
      <c r="AH220" s="323"/>
      <c r="AI220" s="403">
        <f t="shared" ref="AI220:AI233" si="545">E220*$N220*(1+$O220%)</f>
        <v>0</v>
      </c>
      <c r="AJ220" s="403">
        <f t="shared" ref="AJ220:AJ233" si="546">F220*$N220*(1+$O220%)</f>
        <v>121.2</v>
      </c>
      <c r="AK220" s="403">
        <f t="shared" ref="AK220:AK233" si="547">G220*$N220*(1+$O220%)</f>
        <v>0</v>
      </c>
      <c r="AL220" s="403">
        <f t="shared" ref="AL220:AL233" si="548">H220*$N220*(1+$O220%)</f>
        <v>0</v>
      </c>
      <c r="AM220" s="403">
        <f t="shared" ref="AM220:AM233" si="549">I220*$N220*(1+$O220%)</f>
        <v>0</v>
      </c>
      <c r="AN220" s="403">
        <f t="shared" ref="AN220:AN233" si="550">J220*$N220*(1+$O220%)</f>
        <v>0</v>
      </c>
      <c r="AO220" s="403">
        <f t="shared" ref="AO220:AO233" si="551">K220*$N220*(1+$O220%)</f>
        <v>0</v>
      </c>
      <c r="AP220" s="403">
        <f t="shared" ref="AP220:AP233" si="552">L220*$N220*(1+$O220%)</f>
        <v>0</v>
      </c>
    </row>
    <row r="221" spans="1:42" ht="56.25">
      <c r="A221" s="191"/>
      <c r="B221" s="689">
        <v>3</v>
      </c>
      <c r="C221" s="407" t="s">
        <v>439</v>
      </c>
      <c r="D221" s="689" t="s">
        <v>436</v>
      </c>
      <c r="E221" s="566">
        <f t="shared" ref="E221:L221" si="553">E7</f>
        <v>0</v>
      </c>
      <c r="F221" s="566">
        <f t="shared" si="553"/>
        <v>0</v>
      </c>
      <c r="G221" s="566">
        <f t="shared" si="553"/>
        <v>1</v>
      </c>
      <c r="H221" s="566">
        <f t="shared" si="553"/>
        <v>0</v>
      </c>
      <c r="I221" s="566">
        <f t="shared" si="553"/>
        <v>0</v>
      </c>
      <c r="J221" s="566">
        <f t="shared" si="553"/>
        <v>1</v>
      </c>
      <c r="K221" s="566">
        <f t="shared" si="553"/>
        <v>0</v>
      </c>
      <c r="L221" s="566">
        <f t="shared" si="553"/>
        <v>0</v>
      </c>
      <c r="M221" s="567">
        <f t="shared" si="497"/>
        <v>1594.4849999999999</v>
      </c>
      <c r="N221" s="567">
        <f>'附件4-8甲供材料清单'!K83</f>
        <v>1377</v>
      </c>
      <c r="O221" s="567">
        <v>0.5</v>
      </c>
      <c r="P221" s="567">
        <v>210.6</v>
      </c>
      <c r="Q221" s="411">
        <f t="shared" si="455"/>
        <v>0</v>
      </c>
      <c r="R221" s="411">
        <f t="shared" si="456"/>
        <v>0</v>
      </c>
      <c r="S221" s="411">
        <f t="shared" si="457"/>
        <v>1594.4849999999999</v>
      </c>
      <c r="T221" s="411">
        <f t="shared" si="458"/>
        <v>0</v>
      </c>
      <c r="U221" s="411">
        <f t="shared" si="459"/>
        <v>0</v>
      </c>
      <c r="V221" s="411">
        <f t="shared" si="460"/>
        <v>1594.4849999999999</v>
      </c>
      <c r="W221" s="411">
        <f t="shared" si="461"/>
        <v>0</v>
      </c>
      <c r="X221" s="411">
        <f t="shared" si="462"/>
        <v>0</v>
      </c>
      <c r="Y221" s="409" t="s">
        <v>440</v>
      </c>
      <c r="Z221" s="455">
        <f t="shared" si="537"/>
        <v>0</v>
      </c>
      <c r="AA221" s="403">
        <f t="shared" si="538"/>
        <v>0</v>
      </c>
      <c r="AB221" s="403">
        <f t="shared" si="539"/>
        <v>1594.4849999999999</v>
      </c>
      <c r="AC221" s="403">
        <f t="shared" si="540"/>
        <v>0</v>
      </c>
      <c r="AD221" s="403">
        <f t="shared" si="541"/>
        <v>0</v>
      </c>
      <c r="AE221" s="403">
        <f t="shared" si="542"/>
        <v>1594.4849999999999</v>
      </c>
      <c r="AF221" s="403">
        <f t="shared" si="543"/>
        <v>0</v>
      </c>
      <c r="AG221" s="403">
        <f t="shared" si="544"/>
        <v>0</v>
      </c>
      <c r="AH221" s="323"/>
      <c r="AI221" s="403">
        <f t="shared" si="545"/>
        <v>0</v>
      </c>
      <c r="AJ221" s="403">
        <f t="shared" si="546"/>
        <v>0</v>
      </c>
      <c r="AK221" s="403">
        <f t="shared" si="547"/>
        <v>1383.8849999999998</v>
      </c>
      <c r="AL221" s="403">
        <f t="shared" si="548"/>
        <v>0</v>
      </c>
      <c r="AM221" s="403">
        <f t="shared" si="549"/>
        <v>0</v>
      </c>
      <c r="AN221" s="403">
        <f t="shared" si="550"/>
        <v>1383.8849999999998</v>
      </c>
      <c r="AO221" s="403">
        <f t="shared" si="551"/>
        <v>0</v>
      </c>
      <c r="AP221" s="403">
        <f t="shared" si="552"/>
        <v>0</v>
      </c>
    </row>
    <row r="222" spans="1:42" ht="22.5">
      <c r="A222" s="194"/>
      <c r="B222" s="689">
        <v>4</v>
      </c>
      <c r="C222" s="407" t="s">
        <v>441</v>
      </c>
      <c r="D222" s="689" t="s">
        <v>320</v>
      </c>
      <c r="E222" s="566">
        <f>E221</f>
        <v>0</v>
      </c>
      <c r="F222" s="566">
        <f t="shared" ref="F222" si="554">F221</f>
        <v>0</v>
      </c>
      <c r="G222" s="566">
        <f t="shared" ref="G222:L222" si="555">G221</f>
        <v>1</v>
      </c>
      <c r="H222" s="566">
        <f t="shared" si="555"/>
        <v>0</v>
      </c>
      <c r="I222" s="566">
        <f t="shared" si="555"/>
        <v>0</v>
      </c>
      <c r="J222" s="566">
        <f t="shared" si="555"/>
        <v>1</v>
      </c>
      <c r="K222" s="566">
        <f t="shared" si="555"/>
        <v>0</v>
      </c>
      <c r="L222" s="566">
        <f t="shared" si="555"/>
        <v>0</v>
      </c>
      <c r="M222" s="567">
        <f t="shared" si="497"/>
        <v>221.97000000000003</v>
      </c>
      <c r="N222" s="567">
        <f>'附件4-8甲供材料清单'!K62+'附件4-8甲供材料清单'!K66+'附件4-8甲供材料清单'!K67*3</f>
        <v>177</v>
      </c>
      <c r="O222" s="567">
        <v>1</v>
      </c>
      <c r="P222" s="567">
        <v>43.2</v>
      </c>
      <c r="Q222" s="411">
        <f t="shared" si="455"/>
        <v>0</v>
      </c>
      <c r="R222" s="411">
        <f t="shared" si="456"/>
        <v>0</v>
      </c>
      <c r="S222" s="411">
        <f t="shared" si="457"/>
        <v>221.97000000000003</v>
      </c>
      <c r="T222" s="411">
        <f t="shared" si="458"/>
        <v>0</v>
      </c>
      <c r="U222" s="411">
        <f t="shared" si="459"/>
        <v>0</v>
      </c>
      <c r="V222" s="411">
        <f t="shared" si="460"/>
        <v>221.97000000000003</v>
      </c>
      <c r="W222" s="411">
        <f t="shared" si="461"/>
        <v>0</v>
      </c>
      <c r="X222" s="411">
        <f t="shared" si="462"/>
        <v>0</v>
      </c>
      <c r="Y222" s="409" t="s">
        <v>244</v>
      </c>
      <c r="Z222" s="455">
        <f t="shared" si="537"/>
        <v>0</v>
      </c>
      <c r="AA222" s="403">
        <f t="shared" si="538"/>
        <v>0</v>
      </c>
      <c r="AB222" s="403">
        <f t="shared" si="539"/>
        <v>221.97000000000003</v>
      </c>
      <c r="AC222" s="403">
        <f t="shared" si="540"/>
        <v>0</v>
      </c>
      <c r="AD222" s="403">
        <f t="shared" si="541"/>
        <v>0</v>
      </c>
      <c r="AE222" s="403">
        <f t="shared" si="542"/>
        <v>221.97000000000003</v>
      </c>
      <c r="AF222" s="403">
        <f t="shared" si="543"/>
        <v>0</v>
      </c>
      <c r="AG222" s="403">
        <f t="shared" si="544"/>
        <v>0</v>
      </c>
      <c r="AH222" s="323"/>
      <c r="AI222" s="403">
        <f t="shared" si="545"/>
        <v>0</v>
      </c>
      <c r="AJ222" s="403">
        <f t="shared" si="546"/>
        <v>0</v>
      </c>
      <c r="AK222" s="403">
        <f t="shared" si="547"/>
        <v>178.77</v>
      </c>
      <c r="AL222" s="403">
        <f t="shared" si="548"/>
        <v>0</v>
      </c>
      <c r="AM222" s="403">
        <f t="shared" si="549"/>
        <v>0</v>
      </c>
      <c r="AN222" s="403">
        <f t="shared" si="550"/>
        <v>178.77</v>
      </c>
      <c r="AO222" s="403">
        <f t="shared" si="551"/>
        <v>0</v>
      </c>
      <c r="AP222" s="403">
        <f t="shared" si="552"/>
        <v>0</v>
      </c>
    </row>
    <row r="223" spans="1:42" ht="56.25">
      <c r="A223" s="191"/>
      <c r="B223" s="689">
        <v>5</v>
      </c>
      <c r="C223" s="407" t="s">
        <v>442</v>
      </c>
      <c r="D223" s="689" t="s">
        <v>436</v>
      </c>
      <c r="E223" s="566">
        <f t="shared" ref="E223:L223" si="556">E4+E5</f>
        <v>1</v>
      </c>
      <c r="F223" s="566">
        <f t="shared" si="556"/>
        <v>1</v>
      </c>
      <c r="G223" s="566">
        <f t="shared" si="556"/>
        <v>1</v>
      </c>
      <c r="H223" s="566">
        <f t="shared" si="556"/>
        <v>1</v>
      </c>
      <c r="I223" s="566">
        <f t="shared" si="556"/>
        <v>1</v>
      </c>
      <c r="J223" s="566">
        <f t="shared" si="556"/>
        <v>1</v>
      </c>
      <c r="K223" s="566">
        <f t="shared" si="556"/>
        <v>1</v>
      </c>
      <c r="L223" s="566">
        <f t="shared" si="556"/>
        <v>1</v>
      </c>
      <c r="M223" s="567">
        <f t="shared" si="497"/>
        <v>1538.2049999999999</v>
      </c>
      <c r="N223" s="567">
        <f>'附件4-8甲供材料清单'!K84</f>
        <v>1321</v>
      </c>
      <c r="O223" s="567">
        <v>0.5</v>
      </c>
      <c r="P223" s="567">
        <v>210.6</v>
      </c>
      <c r="Q223" s="411">
        <f t="shared" si="455"/>
        <v>1538.2049999999999</v>
      </c>
      <c r="R223" s="411">
        <f t="shared" si="456"/>
        <v>1538.2049999999999</v>
      </c>
      <c r="S223" s="411">
        <f t="shared" si="457"/>
        <v>1538.2049999999999</v>
      </c>
      <c r="T223" s="411">
        <f t="shared" si="458"/>
        <v>1538.2049999999999</v>
      </c>
      <c r="U223" s="411">
        <f t="shared" si="459"/>
        <v>1538.2049999999999</v>
      </c>
      <c r="V223" s="411">
        <f t="shared" si="460"/>
        <v>1538.2049999999999</v>
      </c>
      <c r="W223" s="411">
        <f t="shared" si="461"/>
        <v>1538.2049999999999</v>
      </c>
      <c r="X223" s="411">
        <f t="shared" si="462"/>
        <v>1538.2049999999999</v>
      </c>
      <c r="Y223" s="409" t="s">
        <v>440</v>
      </c>
      <c r="Z223" s="455">
        <f t="shared" si="537"/>
        <v>1538.2049999999999</v>
      </c>
      <c r="AA223" s="403">
        <f t="shared" si="538"/>
        <v>1538.2049999999999</v>
      </c>
      <c r="AB223" s="403">
        <f t="shared" si="539"/>
        <v>1538.2049999999999</v>
      </c>
      <c r="AC223" s="403">
        <f t="shared" si="540"/>
        <v>1538.2049999999999</v>
      </c>
      <c r="AD223" s="403">
        <f t="shared" si="541"/>
        <v>1538.2049999999999</v>
      </c>
      <c r="AE223" s="403">
        <f t="shared" si="542"/>
        <v>1538.2049999999999</v>
      </c>
      <c r="AF223" s="403">
        <f t="shared" si="543"/>
        <v>1538.2049999999999</v>
      </c>
      <c r="AG223" s="403">
        <f t="shared" si="544"/>
        <v>1538.2049999999999</v>
      </c>
      <c r="AH223" s="323"/>
      <c r="AI223" s="403">
        <f t="shared" si="545"/>
        <v>1327.6049999999998</v>
      </c>
      <c r="AJ223" s="403">
        <f t="shared" si="546"/>
        <v>1327.6049999999998</v>
      </c>
      <c r="AK223" s="403">
        <f t="shared" si="547"/>
        <v>1327.6049999999998</v>
      </c>
      <c r="AL223" s="403">
        <f t="shared" si="548"/>
        <v>1327.6049999999998</v>
      </c>
      <c r="AM223" s="403">
        <f t="shared" si="549"/>
        <v>1327.6049999999998</v>
      </c>
      <c r="AN223" s="403">
        <f t="shared" si="550"/>
        <v>1327.6049999999998</v>
      </c>
      <c r="AO223" s="403">
        <f t="shared" si="551"/>
        <v>1327.6049999999998</v>
      </c>
      <c r="AP223" s="403">
        <f t="shared" si="552"/>
        <v>1327.6049999999998</v>
      </c>
    </row>
    <row r="224" spans="1:42" ht="22.5">
      <c r="A224" s="191"/>
      <c r="B224" s="689">
        <v>6</v>
      </c>
      <c r="C224" s="407" t="s">
        <v>443</v>
      </c>
      <c r="D224" s="689" t="s">
        <v>320</v>
      </c>
      <c r="E224" s="566">
        <f>E223</f>
        <v>1</v>
      </c>
      <c r="F224" s="566">
        <f t="shared" ref="F224" si="557">F223</f>
        <v>1</v>
      </c>
      <c r="G224" s="566">
        <f t="shared" ref="G224:L224" si="558">G223</f>
        <v>1</v>
      </c>
      <c r="H224" s="566">
        <f t="shared" si="558"/>
        <v>1</v>
      </c>
      <c r="I224" s="566">
        <f t="shared" si="558"/>
        <v>1</v>
      </c>
      <c r="J224" s="566">
        <f t="shared" si="558"/>
        <v>1</v>
      </c>
      <c r="K224" s="566">
        <f t="shared" si="558"/>
        <v>1</v>
      </c>
      <c r="L224" s="566">
        <f t="shared" si="558"/>
        <v>1</v>
      </c>
      <c r="M224" s="567">
        <f t="shared" si="497"/>
        <v>221.97000000000003</v>
      </c>
      <c r="N224" s="567">
        <f>'附件4-8甲供材料清单'!K62+'附件4-8甲供材料清单'!K66+'附件4-8甲供材料清单'!K67*3</f>
        <v>177</v>
      </c>
      <c r="O224" s="567">
        <v>1</v>
      </c>
      <c r="P224" s="567">
        <v>43.2</v>
      </c>
      <c r="Q224" s="411">
        <f t="shared" si="455"/>
        <v>221.97000000000003</v>
      </c>
      <c r="R224" s="411">
        <f t="shared" si="456"/>
        <v>221.97000000000003</v>
      </c>
      <c r="S224" s="411">
        <f t="shared" si="457"/>
        <v>221.97000000000003</v>
      </c>
      <c r="T224" s="411">
        <f t="shared" si="458"/>
        <v>221.97000000000003</v>
      </c>
      <c r="U224" s="411">
        <f t="shared" si="459"/>
        <v>221.97000000000003</v>
      </c>
      <c r="V224" s="411">
        <f t="shared" si="460"/>
        <v>221.97000000000003</v>
      </c>
      <c r="W224" s="411">
        <f t="shared" si="461"/>
        <v>221.97000000000003</v>
      </c>
      <c r="X224" s="411">
        <f t="shared" si="462"/>
        <v>221.97000000000003</v>
      </c>
      <c r="Y224" s="409" t="s">
        <v>244</v>
      </c>
      <c r="Z224" s="455">
        <f t="shared" si="537"/>
        <v>221.97000000000003</v>
      </c>
      <c r="AA224" s="403">
        <f t="shared" si="538"/>
        <v>221.97000000000003</v>
      </c>
      <c r="AB224" s="403">
        <f t="shared" si="539"/>
        <v>221.97000000000003</v>
      </c>
      <c r="AC224" s="403">
        <f t="shared" si="540"/>
        <v>221.97000000000003</v>
      </c>
      <c r="AD224" s="403">
        <f t="shared" si="541"/>
        <v>221.97000000000003</v>
      </c>
      <c r="AE224" s="403">
        <f t="shared" si="542"/>
        <v>221.97000000000003</v>
      </c>
      <c r="AF224" s="403">
        <f t="shared" si="543"/>
        <v>221.97000000000003</v>
      </c>
      <c r="AG224" s="403">
        <f t="shared" si="544"/>
        <v>221.97000000000003</v>
      </c>
      <c r="AH224" s="323"/>
      <c r="AI224" s="403">
        <f t="shared" si="545"/>
        <v>178.77</v>
      </c>
      <c r="AJ224" s="403">
        <f t="shared" si="546"/>
        <v>178.77</v>
      </c>
      <c r="AK224" s="403">
        <f t="shared" si="547"/>
        <v>178.77</v>
      </c>
      <c r="AL224" s="403">
        <f t="shared" si="548"/>
        <v>178.77</v>
      </c>
      <c r="AM224" s="403">
        <f t="shared" si="549"/>
        <v>178.77</v>
      </c>
      <c r="AN224" s="403">
        <f t="shared" si="550"/>
        <v>178.77</v>
      </c>
      <c r="AO224" s="403">
        <f t="shared" si="551"/>
        <v>178.77</v>
      </c>
      <c r="AP224" s="403">
        <f t="shared" si="552"/>
        <v>178.77</v>
      </c>
    </row>
    <row r="225" spans="1:42" ht="67.5">
      <c r="A225" s="191"/>
      <c r="B225" s="689">
        <v>7</v>
      </c>
      <c r="C225" s="407" t="s">
        <v>444</v>
      </c>
      <c r="D225" s="689" t="s">
        <v>436</v>
      </c>
      <c r="E225" s="566">
        <f t="shared" ref="E225:L225" si="559">E2</f>
        <v>0</v>
      </c>
      <c r="F225" s="566">
        <f t="shared" si="559"/>
        <v>1</v>
      </c>
      <c r="G225" s="566">
        <f t="shared" si="559"/>
        <v>2</v>
      </c>
      <c r="H225" s="566">
        <f t="shared" si="559"/>
        <v>0</v>
      </c>
      <c r="I225" s="566">
        <f t="shared" si="559"/>
        <v>3</v>
      </c>
      <c r="J225" s="566">
        <f t="shared" si="559"/>
        <v>2</v>
      </c>
      <c r="K225" s="566">
        <f t="shared" si="559"/>
        <v>3</v>
      </c>
      <c r="L225" s="566">
        <f t="shared" si="559"/>
        <v>0</v>
      </c>
      <c r="M225" s="567">
        <f t="shared" si="497"/>
        <v>1631.6699999999998</v>
      </c>
      <c r="N225" s="567">
        <f>'附件4-8甲供材料清单'!K85</f>
        <v>1414</v>
      </c>
      <c r="O225" s="567">
        <v>0.5</v>
      </c>
      <c r="P225" s="567">
        <v>210.6</v>
      </c>
      <c r="Q225" s="411">
        <f t="shared" si="455"/>
        <v>0</v>
      </c>
      <c r="R225" s="411">
        <f t="shared" si="456"/>
        <v>1631.6699999999998</v>
      </c>
      <c r="S225" s="411">
        <f t="shared" si="457"/>
        <v>3263.3399999999997</v>
      </c>
      <c r="T225" s="411">
        <f t="shared" si="458"/>
        <v>0</v>
      </c>
      <c r="U225" s="411">
        <f t="shared" si="459"/>
        <v>4895.0099999999993</v>
      </c>
      <c r="V225" s="411">
        <f t="shared" si="460"/>
        <v>3263.3399999999997</v>
      </c>
      <c r="W225" s="411">
        <f t="shared" si="461"/>
        <v>4895.0099999999993</v>
      </c>
      <c r="X225" s="411">
        <f t="shared" si="462"/>
        <v>0</v>
      </c>
      <c r="Y225" s="409" t="s">
        <v>437</v>
      </c>
      <c r="Z225" s="455">
        <f t="shared" si="537"/>
        <v>0</v>
      </c>
      <c r="AA225" s="403">
        <f t="shared" si="538"/>
        <v>1631.6699999999998</v>
      </c>
      <c r="AB225" s="403">
        <f t="shared" si="539"/>
        <v>3263.3399999999997</v>
      </c>
      <c r="AC225" s="403">
        <f t="shared" si="540"/>
        <v>0</v>
      </c>
      <c r="AD225" s="403">
        <f t="shared" si="541"/>
        <v>4895.0099999999993</v>
      </c>
      <c r="AE225" s="403">
        <f t="shared" si="542"/>
        <v>3263.3399999999997</v>
      </c>
      <c r="AF225" s="403">
        <f t="shared" si="543"/>
        <v>4895.0099999999993</v>
      </c>
      <c r="AG225" s="403">
        <f t="shared" si="544"/>
        <v>0</v>
      </c>
      <c r="AH225" s="323"/>
      <c r="AI225" s="403">
        <f t="shared" si="545"/>
        <v>0</v>
      </c>
      <c r="AJ225" s="403">
        <f t="shared" si="546"/>
        <v>1421.07</v>
      </c>
      <c r="AK225" s="403">
        <f t="shared" si="547"/>
        <v>2842.14</v>
      </c>
      <c r="AL225" s="403">
        <f t="shared" si="548"/>
        <v>0</v>
      </c>
      <c r="AM225" s="403">
        <f t="shared" si="549"/>
        <v>4263.2099999999991</v>
      </c>
      <c r="AN225" s="403">
        <f t="shared" si="550"/>
        <v>2842.14</v>
      </c>
      <c r="AO225" s="403">
        <f t="shared" si="551"/>
        <v>4263.2099999999991</v>
      </c>
      <c r="AP225" s="403">
        <f t="shared" si="552"/>
        <v>0</v>
      </c>
    </row>
    <row r="226" spans="1:42" ht="22.5">
      <c r="A226" s="191"/>
      <c r="B226" s="689">
        <v>9</v>
      </c>
      <c r="C226" s="407" t="s">
        <v>445</v>
      </c>
      <c r="D226" s="689" t="s">
        <v>320</v>
      </c>
      <c r="E226" s="566">
        <f t="shared" ref="E226:L226" si="560">E2</f>
        <v>0</v>
      </c>
      <c r="F226" s="566">
        <f t="shared" si="560"/>
        <v>1</v>
      </c>
      <c r="G226" s="566">
        <f t="shared" si="560"/>
        <v>2</v>
      </c>
      <c r="H226" s="566">
        <f t="shared" si="560"/>
        <v>0</v>
      </c>
      <c r="I226" s="566">
        <f t="shared" si="560"/>
        <v>3</v>
      </c>
      <c r="J226" s="566">
        <f t="shared" si="560"/>
        <v>2</v>
      </c>
      <c r="K226" s="566">
        <f t="shared" si="560"/>
        <v>3</v>
      </c>
      <c r="L226" s="566">
        <f t="shared" si="560"/>
        <v>0</v>
      </c>
      <c r="M226" s="567">
        <f t="shared" si="497"/>
        <v>223.99</v>
      </c>
      <c r="N226" s="567">
        <f>'附件4-8甲供材料清单'!K58+'附件4-8甲供材料清单'!K66+'附件4-8甲供材料清单'!K67*3</f>
        <v>179</v>
      </c>
      <c r="O226" s="567">
        <v>1</v>
      </c>
      <c r="P226" s="567">
        <v>43.2</v>
      </c>
      <c r="Q226" s="411">
        <f t="shared" si="455"/>
        <v>0</v>
      </c>
      <c r="R226" s="411">
        <f t="shared" si="456"/>
        <v>223.99</v>
      </c>
      <c r="S226" s="411">
        <f t="shared" si="457"/>
        <v>447.98</v>
      </c>
      <c r="T226" s="411">
        <f t="shared" si="458"/>
        <v>0</v>
      </c>
      <c r="U226" s="411">
        <f t="shared" si="459"/>
        <v>671.97</v>
      </c>
      <c r="V226" s="411">
        <f t="shared" si="460"/>
        <v>447.98</v>
      </c>
      <c r="W226" s="411">
        <f t="shared" si="461"/>
        <v>671.97</v>
      </c>
      <c r="X226" s="411">
        <f t="shared" si="462"/>
        <v>0</v>
      </c>
      <c r="Y226" s="409" t="s">
        <v>244</v>
      </c>
      <c r="Z226" s="455">
        <f t="shared" si="537"/>
        <v>0</v>
      </c>
      <c r="AA226" s="403">
        <f t="shared" si="538"/>
        <v>223.99</v>
      </c>
      <c r="AB226" s="403">
        <f t="shared" si="539"/>
        <v>447.98</v>
      </c>
      <c r="AC226" s="403">
        <f t="shared" si="540"/>
        <v>0</v>
      </c>
      <c r="AD226" s="403">
        <f t="shared" si="541"/>
        <v>671.97</v>
      </c>
      <c r="AE226" s="403">
        <f t="shared" si="542"/>
        <v>447.98</v>
      </c>
      <c r="AF226" s="403">
        <f t="shared" si="543"/>
        <v>671.97</v>
      </c>
      <c r="AG226" s="403">
        <f t="shared" si="544"/>
        <v>0</v>
      </c>
      <c r="AH226" s="323"/>
      <c r="AI226" s="403">
        <f t="shared" si="545"/>
        <v>0</v>
      </c>
      <c r="AJ226" s="403">
        <f t="shared" si="546"/>
        <v>180.79</v>
      </c>
      <c r="AK226" s="403">
        <f t="shared" si="547"/>
        <v>361.58</v>
      </c>
      <c r="AL226" s="403">
        <f t="shared" si="548"/>
        <v>0</v>
      </c>
      <c r="AM226" s="403">
        <f t="shared" si="549"/>
        <v>542.37</v>
      </c>
      <c r="AN226" s="403">
        <f t="shared" si="550"/>
        <v>361.58</v>
      </c>
      <c r="AO226" s="403">
        <f t="shared" si="551"/>
        <v>542.37</v>
      </c>
      <c r="AP226" s="403">
        <f t="shared" si="552"/>
        <v>0</v>
      </c>
    </row>
    <row r="227" spans="1:42" ht="67.5">
      <c r="A227" s="191"/>
      <c r="B227" s="689">
        <v>8</v>
      </c>
      <c r="C227" s="407" t="s">
        <v>446</v>
      </c>
      <c r="D227" s="689" t="s">
        <v>436</v>
      </c>
      <c r="E227" s="566"/>
      <c r="F227" s="566"/>
      <c r="G227" s="566"/>
      <c r="H227" s="566"/>
      <c r="I227" s="566"/>
      <c r="J227" s="566"/>
      <c r="K227" s="566"/>
      <c r="L227" s="566"/>
      <c r="M227" s="567">
        <f t="shared" si="497"/>
        <v>2329.19</v>
      </c>
      <c r="N227" s="567">
        <f>'附件4-8甲供材料清单'!K86</f>
        <v>1972</v>
      </c>
      <c r="O227" s="567">
        <v>0.5</v>
      </c>
      <c r="P227" s="567">
        <v>347.33</v>
      </c>
      <c r="Q227" s="411">
        <f t="shared" si="455"/>
        <v>0</v>
      </c>
      <c r="R227" s="411">
        <f t="shared" si="456"/>
        <v>0</v>
      </c>
      <c r="S227" s="411">
        <f t="shared" si="457"/>
        <v>0</v>
      </c>
      <c r="T227" s="411">
        <f t="shared" si="458"/>
        <v>0</v>
      </c>
      <c r="U227" s="411">
        <f t="shared" si="459"/>
        <v>0</v>
      </c>
      <c r="V227" s="411">
        <f t="shared" si="460"/>
        <v>0</v>
      </c>
      <c r="W227" s="411">
        <f t="shared" si="461"/>
        <v>0</v>
      </c>
      <c r="X227" s="411">
        <f t="shared" si="462"/>
        <v>0</v>
      </c>
      <c r="Y227" s="409" t="s">
        <v>437</v>
      </c>
      <c r="Z227" s="455">
        <f t="shared" si="537"/>
        <v>0</v>
      </c>
      <c r="AA227" s="403">
        <f t="shared" si="538"/>
        <v>0</v>
      </c>
      <c r="AB227" s="403">
        <f t="shared" si="539"/>
        <v>0</v>
      </c>
      <c r="AC227" s="403">
        <f t="shared" si="540"/>
        <v>0</v>
      </c>
      <c r="AD227" s="403">
        <f t="shared" si="541"/>
        <v>0</v>
      </c>
      <c r="AE227" s="403">
        <f t="shared" si="542"/>
        <v>0</v>
      </c>
      <c r="AF227" s="403">
        <f t="shared" si="543"/>
        <v>0</v>
      </c>
      <c r="AG227" s="403">
        <f t="shared" si="544"/>
        <v>0</v>
      </c>
      <c r="AH227" s="323"/>
      <c r="AI227" s="403">
        <f t="shared" si="545"/>
        <v>0</v>
      </c>
      <c r="AJ227" s="403">
        <f t="shared" si="546"/>
        <v>0</v>
      </c>
      <c r="AK227" s="403">
        <f t="shared" si="547"/>
        <v>0</v>
      </c>
      <c r="AL227" s="403">
        <f t="shared" si="548"/>
        <v>0</v>
      </c>
      <c r="AM227" s="403">
        <f t="shared" si="549"/>
        <v>0</v>
      </c>
      <c r="AN227" s="403">
        <f t="shared" si="550"/>
        <v>0</v>
      </c>
      <c r="AO227" s="403">
        <f t="shared" si="551"/>
        <v>0</v>
      </c>
      <c r="AP227" s="403">
        <f t="shared" si="552"/>
        <v>0</v>
      </c>
    </row>
    <row r="228" spans="1:42" ht="22.5">
      <c r="A228" s="191"/>
      <c r="B228" s="689">
        <v>10</v>
      </c>
      <c r="C228" s="407" t="s">
        <v>447</v>
      </c>
      <c r="D228" s="689" t="s">
        <v>320</v>
      </c>
      <c r="E228" s="566"/>
      <c r="F228" s="566"/>
      <c r="G228" s="566"/>
      <c r="H228" s="566"/>
      <c r="I228" s="566"/>
      <c r="J228" s="566"/>
      <c r="K228" s="566"/>
      <c r="L228" s="566"/>
      <c r="M228" s="567">
        <f t="shared" si="497"/>
        <v>445.96000000000004</v>
      </c>
      <c r="N228" s="567">
        <f>'附件4-8甲供材料清单'!K58+'附件4-8甲供材料清单'!K61+'附件4-8甲供材料清单'!K66+'附件4-8甲供材料清单'!K67*6+'附件4-8甲供材料清单'!K65*2</f>
        <v>356</v>
      </c>
      <c r="O228" s="567">
        <v>1</v>
      </c>
      <c r="P228" s="567">
        <v>86.4</v>
      </c>
      <c r="Q228" s="411">
        <f t="shared" si="455"/>
        <v>0</v>
      </c>
      <c r="R228" s="411">
        <f t="shared" si="456"/>
        <v>0</v>
      </c>
      <c r="S228" s="411">
        <f t="shared" si="457"/>
        <v>0</v>
      </c>
      <c r="T228" s="411">
        <f t="shared" si="458"/>
        <v>0</v>
      </c>
      <c r="U228" s="411">
        <f t="shared" si="459"/>
        <v>0</v>
      </c>
      <c r="V228" s="411">
        <f t="shared" si="460"/>
        <v>0</v>
      </c>
      <c r="W228" s="411">
        <f t="shared" si="461"/>
        <v>0</v>
      </c>
      <c r="X228" s="411">
        <f t="shared" si="462"/>
        <v>0</v>
      </c>
      <c r="Y228" s="409" t="s">
        <v>244</v>
      </c>
      <c r="Z228" s="455">
        <f t="shared" si="537"/>
        <v>0</v>
      </c>
      <c r="AA228" s="403">
        <f t="shared" si="538"/>
        <v>0</v>
      </c>
      <c r="AB228" s="403">
        <f t="shared" si="539"/>
        <v>0</v>
      </c>
      <c r="AC228" s="403">
        <f t="shared" si="540"/>
        <v>0</v>
      </c>
      <c r="AD228" s="403">
        <f t="shared" si="541"/>
        <v>0</v>
      </c>
      <c r="AE228" s="403">
        <f t="shared" si="542"/>
        <v>0</v>
      </c>
      <c r="AF228" s="403">
        <f t="shared" si="543"/>
        <v>0</v>
      </c>
      <c r="AG228" s="403">
        <f t="shared" si="544"/>
        <v>0</v>
      </c>
      <c r="AH228" s="323"/>
      <c r="AI228" s="403">
        <f t="shared" si="545"/>
        <v>0</v>
      </c>
      <c r="AJ228" s="403">
        <f t="shared" si="546"/>
        <v>0</v>
      </c>
      <c r="AK228" s="403">
        <f t="shared" si="547"/>
        <v>0</v>
      </c>
      <c r="AL228" s="403">
        <f t="shared" si="548"/>
        <v>0</v>
      </c>
      <c r="AM228" s="403">
        <f t="shared" si="549"/>
        <v>0</v>
      </c>
      <c r="AN228" s="403">
        <f t="shared" si="550"/>
        <v>0</v>
      </c>
      <c r="AO228" s="403">
        <f t="shared" si="551"/>
        <v>0</v>
      </c>
      <c r="AP228" s="403">
        <f t="shared" si="552"/>
        <v>0</v>
      </c>
    </row>
    <row r="229" spans="1:42" ht="56.25">
      <c r="A229" s="191"/>
      <c r="B229" s="689">
        <v>11</v>
      </c>
      <c r="C229" s="407" t="s">
        <v>448</v>
      </c>
      <c r="D229" s="689" t="s">
        <v>436</v>
      </c>
      <c r="E229" s="566"/>
      <c r="F229" s="566"/>
      <c r="G229" s="566"/>
      <c r="H229" s="566"/>
      <c r="I229" s="566"/>
      <c r="J229" s="566"/>
      <c r="K229" s="566"/>
      <c r="L229" s="566"/>
      <c r="M229" s="567">
        <f t="shared" si="497"/>
        <v>1551.27</v>
      </c>
      <c r="N229" s="567">
        <f>'附件4-8甲供材料清单'!K87</f>
        <v>1334</v>
      </c>
      <c r="O229" s="567">
        <v>0.5</v>
      </c>
      <c r="P229" s="567">
        <v>210.6</v>
      </c>
      <c r="Q229" s="411">
        <f t="shared" si="455"/>
        <v>0</v>
      </c>
      <c r="R229" s="411">
        <f t="shared" si="456"/>
        <v>0</v>
      </c>
      <c r="S229" s="411">
        <f t="shared" si="457"/>
        <v>0</v>
      </c>
      <c r="T229" s="411">
        <f t="shared" si="458"/>
        <v>0</v>
      </c>
      <c r="U229" s="411">
        <f t="shared" si="459"/>
        <v>0</v>
      </c>
      <c r="V229" s="411">
        <f t="shared" si="460"/>
        <v>0</v>
      </c>
      <c r="W229" s="411">
        <f t="shared" si="461"/>
        <v>0</v>
      </c>
      <c r="X229" s="411">
        <f t="shared" si="462"/>
        <v>0</v>
      </c>
      <c r="Y229" s="409" t="s">
        <v>440</v>
      </c>
      <c r="Z229" s="455">
        <f t="shared" si="537"/>
        <v>0</v>
      </c>
      <c r="AA229" s="403">
        <f t="shared" si="538"/>
        <v>0</v>
      </c>
      <c r="AB229" s="403">
        <f t="shared" si="539"/>
        <v>0</v>
      </c>
      <c r="AC229" s="403">
        <f t="shared" si="540"/>
        <v>0</v>
      </c>
      <c r="AD229" s="403">
        <f t="shared" si="541"/>
        <v>0</v>
      </c>
      <c r="AE229" s="403">
        <f t="shared" si="542"/>
        <v>0</v>
      </c>
      <c r="AF229" s="403">
        <f t="shared" si="543"/>
        <v>0</v>
      </c>
      <c r="AG229" s="403">
        <f t="shared" si="544"/>
        <v>0</v>
      </c>
      <c r="AH229" s="323"/>
      <c r="AI229" s="403">
        <f t="shared" si="545"/>
        <v>0</v>
      </c>
      <c r="AJ229" s="403">
        <f t="shared" si="546"/>
        <v>0</v>
      </c>
      <c r="AK229" s="403">
        <f t="shared" si="547"/>
        <v>0</v>
      </c>
      <c r="AL229" s="403">
        <f t="shared" si="548"/>
        <v>0</v>
      </c>
      <c r="AM229" s="403">
        <f t="shared" si="549"/>
        <v>0</v>
      </c>
      <c r="AN229" s="403">
        <f t="shared" si="550"/>
        <v>0</v>
      </c>
      <c r="AO229" s="403">
        <f t="shared" si="551"/>
        <v>0</v>
      </c>
      <c r="AP229" s="403">
        <f t="shared" si="552"/>
        <v>0</v>
      </c>
    </row>
    <row r="230" spans="1:42" ht="22.5">
      <c r="A230" s="191"/>
      <c r="B230" s="689">
        <v>12</v>
      </c>
      <c r="C230" s="407" t="s">
        <v>449</v>
      </c>
      <c r="D230" s="689" t="s">
        <v>320</v>
      </c>
      <c r="E230" s="566"/>
      <c r="F230" s="566"/>
      <c r="G230" s="566"/>
      <c r="H230" s="566"/>
      <c r="I230" s="566"/>
      <c r="J230" s="566"/>
      <c r="K230" s="566"/>
      <c r="L230" s="566"/>
      <c r="M230" s="567">
        <f t="shared" si="497"/>
        <v>221.97000000000003</v>
      </c>
      <c r="N230" s="567">
        <f>'附件4-8甲供材料清单'!K62+'附件4-8甲供材料清单'!K66+'附件4-8甲供材料清单'!K67*3</f>
        <v>177</v>
      </c>
      <c r="O230" s="567">
        <v>1</v>
      </c>
      <c r="P230" s="567">
        <v>43.2</v>
      </c>
      <c r="Q230" s="411">
        <f t="shared" si="455"/>
        <v>0</v>
      </c>
      <c r="R230" s="411">
        <f t="shared" si="456"/>
        <v>0</v>
      </c>
      <c r="S230" s="411">
        <f t="shared" si="457"/>
        <v>0</v>
      </c>
      <c r="T230" s="411">
        <f t="shared" si="458"/>
        <v>0</v>
      </c>
      <c r="U230" s="411">
        <f t="shared" si="459"/>
        <v>0</v>
      </c>
      <c r="V230" s="411">
        <f t="shared" si="460"/>
        <v>0</v>
      </c>
      <c r="W230" s="411">
        <f t="shared" si="461"/>
        <v>0</v>
      </c>
      <c r="X230" s="411">
        <f t="shared" si="462"/>
        <v>0</v>
      </c>
      <c r="Y230" s="409" t="s">
        <v>244</v>
      </c>
      <c r="Z230" s="455">
        <f t="shared" si="537"/>
        <v>0</v>
      </c>
      <c r="AA230" s="403">
        <f t="shared" si="538"/>
        <v>0</v>
      </c>
      <c r="AB230" s="403">
        <f t="shared" si="539"/>
        <v>0</v>
      </c>
      <c r="AC230" s="403">
        <f t="shared" si="540"/>
        <v>0</v>
      </c>
      <c r="AD230" s="403">
        <f t="shared" si="541"/>
        <v>0</v>
      </c>
      <c r="AE230" s="403">
        <f t="shared" si="542"/>
        <v>0</v>
      </c>
      <c r="AF230" s="403">
        <f t="shared" si="543"/>
        <v>0</v>
      </c>
      <c r="AG230" s="403">
        <f t="shared" si="544"/>
        <v>0</v>
      </c>
      <c r="AH230" s="323"/>
      <c r="AI230" s="403">
        <f t="shared" si="545"/>
        <v>0</v>
      </c>
      <c r="AJ230" s="403">
        <f t="shared" si="546"/>
        <v>0</v>
      </c>
      <c r="AK230" s="403">
        <f t="shared" si="547"/>
        <v>0</v>
      </c>
      <c r="AL230" s="403">
        <f t="shared" si="548"/>
        <v>0</v>
      </c>
      <c r="AM230" s="403">
        <f t="shared" si="549"/>
        <v>0</v>
      </c>
      <c r="AN230" s="403">
        <f t="shared" si="550"/>
        <v>0</v>
      </c>
      <c r="AO230" s="403">
        <f t="shared" si="551"/>
        <v>0</v>
      </c>
      <c r="AP230" s="403">
        <f t="shared" si="552"/>
        <v>0</v>
      </c>
    </row>
    <row r="231" spans="1:42" ht="45">
      <c r="A231" s="191"/>
      <c r="B231" s="689">
        <v>13</v>
      </c>
      <c r="C231" s="407" t="s">
        <v>450</v>
      </c>
      <c r="D231" s="689" t="s">
        <v>320</v>
      </c>
      <c r="E231" s="566"/>
      <c r="F231" s="566"/>
      <c r="G231" s="566"/>
      <c r="H231" s="566"/>
      <c r="I231" s="566"/>
      <c r="J231" s="566"/>
      <c r="K231" s="566"/>
      <c r="L231" s="566"/>
      <c r="M231" s="567">
        <f t="shared" si="497"/>
        <v>667.78499999999997</v>
      </c>
      <c r="N231" s="567">
        <f>'附件4-8甲供材料清单'!K89</f>
        <v>557</v>
      </c>
      <c r="O231" s="567">
        <v>0.5</v>
      </c>
      <c r="P231" s="567">
        <v>108</v>
      </c>
      <c r="Q231" s="411">
        <f t="shared" si="455"/>
        <v>0</v>
      </c>
      <c r="R231" s="411">
        <f t="shared" si="456"/>
        <v>0</v>
      </c>
      <c r="S231" s="411">
        <f t="shared" si="457"/>
        <v>0</v>
      </c>
      <c r="T231" s="411">
        <f t="shared" si="458"/>
        <v>0</v>
      </c>
      <c r="U231" s="411">
        <f t="shared" si="459"/>
        <v>0</v>
      </c>
      <c r="V231" s="411">
        <f t="shared" si="460"/>
        <v>0</v>
      </c>
      <c r="W231" s="411">
        <f t="shared" si="461"/>
        <v>0</v>
      </c>
      <c r="X231" s="411">
        <f t="shared" si="462"/>
        <v>0</v>
      </c>
      <c r="Y231" s="409" t="s">
        <v>451</v>
      </c>
      <c r="Z231" s="455">
        <f t="shared" si="537"/>
        <v>0</v>
      </c>
      <c r="AA231" s="403">
        <f t="shared" si="538"/>
        <v>0</v>
      </c>
      <c r="AB231" s="403">
        <f t="shared" si="539"/>
        <v>0</v>
      </c>
      <c r="AC231" s="403">
        <f t="shared" si="540"/>
        <v>0</v>
      </c>
      <c r="AD231" s="403">
        <f t="shared" si="541"/>
        <v>0</v>
      </c>
      <c r="AE231" s="403">
        <f t="shared" si="542"/>
        <v>0</v>
      </c>
      <c r="AF231" s="403">
        <f t="shared" si="543"/>
        <v>0</v>
      </c>
      <c r="AG231" s="403">
        <f t="shared" si="544"/>
        <v>0</v>
      </c>
      <c r="AH231" s="323"/>
      <c r="AI231" s="403">
        <f t="shared" si="545"/>
        <v>0</v>
      </c>
      <c r="AJ231" s="403">
        <f t="shared" si="546"/>
        <v>0</v>
      </c>
      <c r="AK231" s="403">
        <f t="shared" si="547"/>
        <v>0</v>
      </c>
      <c r="AL231" s="403">
        <f t="shared" si="548"/>
        <v>0</v>
      </c>
      <c r="AM231" s="403">
        <f t="shared" si="549"/>
        <v>0</v>
      </c>
      <c r="AN231" s="403">
        <f t="shared" si="550"/>
        <v>0</v>
      </c>
      <c r="AO231" s="403">
        <f t="shared" si="551"/>
        <v>0</v>
      </c>
      <c r="AP231" s="403">
        <f t="shared" si="552"/>
        <v>0</v>
      </c>
    </row>
    <row r="232" spans="1:42" ht="56.25">
      <c r="A232" s="191"/>
      <c r="B232" s="689">
        <v>14</v>
      </c>
      <c r="C232" s="407" t="s">
        <v>452</v>
      </c>
      <c r="D232" s="689" t="s">
        <v>436</v>
      </c>
      <c r="E232" s="566"/>
      <c r="F232" s="566"/>
      <c r="G232" s="566"/>
      <c r="H232" s="566"/>
      <c r="I232" s="566"/>
      <c r="J232" s="566"/>
      <c r="K232" s="566"/>
      <c r="L232" s="566"/>
      <c r="M232" s="567">
        <f t="shared" si="497"/>
        <v>1798.5</v>
      </c>
      <c r="N232" s="567">
        <f>'附件4-8甲供材料清单'!K88</f>
        <v>1580</v>
      </c>
      <c r="O232" s="567">
        <v>0.5</v>
      </c>
      <c r="P232" s="567">
        <v>210.6</v>
      </c>
      <c r="Q232" s="411">
        <f t="shared" si="455"/>
        <v>0</v>
      </c>
      <c r="R232" s="411">
        <f t="shared" si="456"/>
        <v>0</v>
      </c>
      <c r="S232" s="411">
        <f t="shared" si="457"/>
        <v>0</v>
      </c>
      <c r="T232" s="411">
        <f t="shared" si="458"/>
        <v>0</v>
      </c>
      <c r="U232" s="411">
        <f t="shared" si="459"/>
        <v>0</v>
      </c>
      <c r="V232" s="411">
        <f t="shared" si="460"/>
        <v>0</v>
      </c>
      <c r="W232" s="411">
        <f t="shared" si="461"/>
        <v>0</v>
      </c>
      <c r="X232" s="411">
        <f t="shared" si="462"/>
        <v>0</v>
      </c>
      <c r="Y232" s="409" t="s">
        <v>440</v>
      </c>
      <c r="Z232" s="455">
        <f t="shared" si="537"/>
        <v>0</v>
      </c>
      <c r="AA232" s="403">
        <f t="shared" si="538"/>
        <v>0</v>
      </c>
      <c r="AB232" s="403">
        <f t="shared" si="539"/>
        <v>0</v>
      </c>
      <c r="AC232" s="403">
        <f t="shared" si="540"/>
        <v>0</v>
      </c>
      <c r="AD232" s="403">
        <f t="shared" si="541"/>
        <v>0</v>
      </c>
      <c r="AE232" s="403">
        <f t="shared" si="542"/>
        <v>0</v>
      </c>
      <c r="AF232" s="403">
        <f t="shared" si="543"/>
        <v>0</v>
      </c>
      <c r="AG232" s="403">
        <f t="shared" si="544"/>
        <v>0</v>
      </c>
      <c r="AH232" s="323"/>
      <c r="AI232" s="403">
        <f t="shared" si="545"/>
        <v>0</v>
      </c>
      <c r="AJ232" s="403">
        <f t="shared" si="546"/>
        <v>0</v>
      </c>
      <c r="AK232" s="403">
        <f t="shared" si="547"/>
        <v>0</v>
      </c>
      <c r="AL232" s="403">
        <f t="shared" si="548"/>
        <v>0</v>
      </c>
      <c r="AM232" s="403">
        <f t="shared" si="549"/>
        <v>0</v>
      </c>
      <c r="AN232" s="403">
        <f t="shared" si="550"/>
        <v>0</v>
      </c>
      <c r="AO232" s="403">
        <f t="shared" si="551"/>
        <v>0</v>
      </c>
      <c r="AP232" s="403">
        <f t="shared" si="552"/>
        <v>0</v>
      </c>
    </row>
    <row r="233" spans="1:42" ht="22.5">
      <c r="A233" s="191"/>
      <c r="B233" s="689">
        <v>15</v>
      </c>
      <c r="C233" s="407" t="s">
        <v>453</v>
      </c>
      <c r="D233" s="689" t="s">
        <v>320</v>
      </c>
      <c r="E233" s="566"/>
      <c r="F233" s="566"/>
      <c r="G233" s="566"/>
      <c r="H233" s="566"/>
      <c r="I233" s="566"/>
      <c r="J233" s="566"/>
      <c r="K233" s="566"/>
      <c r="L233" s="566"/>
      <c r="M233" s="567">
        <f t="shared" si="497"/>
        <v>223.99</v>
      </c>
      <c r="N233" s="567">
        <f>N226</f>
        <v>179</v>
      </c>
      <c r="O233" s="567">
        <v>1</v>
      </c>
      <c r="P233" s="567">
        <v>43.2</v>
      </c>
      <c r="Q233" s="411">
        <f t="shared" ref="Q233" si="561">E233*$M233</f>
        <v>0</v>
      </c>
      <c r="R233" s="411">
        <f t="shared" ref="R233" si="562">F233*$M233</f>
        <v>0</v>
      </c>
      <c r="S233" s="411">
        <f t="shared" ref="S233" si="563">G233*$M233</f>
        <v>0</v>
      </c>
      <c r="T233" s="411">
        <f t="shared" ref="T233" si="564">H233*$M233</f>
        <v>0</v>
      </c>
      <c r="U233" s="411">
        <f t="shared" ref="U233" si="565">I233*$M233</f>
        <v>0</v>
      </c>
      <c r="V233" s="411">
        <f t="shared" ref="V233" si="566">J233*$M233</f>
        <v>0</v>
      </c>
      <c r="W233" s="411">
        <f t="shared" ref="W233" si="567">K233*$M233</f>
        <v>0</v>
      </c>
      <c r="X233" s="411">
        <f t="shared" ref="X233" si="568">L233*$M233</f>
        <v>0</v>
      </c>
      <c r="Y233" s="409" t="s">
        <v>244</v>
      </c>
      <c r="Z233" s="455">
        <f t="shared" si="537"/>
        <v>0</v>
      </c>
      <c r="AA233" s="403">
        <f t="shared" si="538"/>
        <v>0</v>
      </c>
      <c r="AB233" s="403">
        <f t="shared" si="539"/>
        <v>0</v>
      </c>
      <c r="AC233" s="403">
        <f t="shared" si="540"/>
        <v>0</v>
      </c>
      <c r="AD233" s="403">
        <f t="shared" si="541"/>
        <v>0</v>
      </c>
      <c r="AE233" s="403">
        <f t="shared" si="542"/>
        <v>0</v>
      </c>
      <c r="AF233" s="403">
        <f t="shared" si="543"/>
        <v>0</v>
      </c>
      <c r="AG233" s="403">
        <f t="shared" si="544"/>
        <v>0</v>
      </c>
      <c r="AH233" s="323"/>
      <c r="AI233" s="403">
        <f t="shared" si="545"/>
        <v>0</v>
      </c>
      <c r="AJ233" s="403">
        <f t="shared" si="546"/>
        <v>0</v>
      </c>
      <c r="AK233" s="403">
        <f t="shared" si="547"/>
        <v>0</v>
      </c>
      <c r="AL233" s="403">
        <f t="shared" si="548"/>
        <v>0</v>
      </c>
      <c r="AM233" s="403">
        <f t="shared" si="549"/>
        <v>0</v>
      </c>
      <c r="AN233" s="403">
        <f t="shared" si="550"/>
        <v>0</v>
      </c>
      <c r="AO233" s="403">
        <f t="shared" si="551"/>
        <v>0</v>
      </c>
      <c r="AP233" s="403">
        <f t="shared" si="552"/>
        <v>0</v>
      </c>
    </row>
    <row r="234" spans="1:42" ht="11.25">
      <c r="A234" s="191"/>
      <c r="B234" s="635" t="s">
        <v>454</v>
      </c>
      <c r="C234" s="636" t="s">
        <v>455</v>
      </c>
      <c r="D234" s="635"/>
      <c r="E234" s="647"/>
      <c r="F234" s="647"/>
      <c r="G234" s="647"/>
      <c r="H234" s="647"/>
      <c r="I234" s="647"/>
      <c r="J234" s="647"/>
      <c r="K234" s="647"/>
      <c r="L234" s="647"/>
      <c r="M234" s="648"/>
      <c r="N234" s="648"/>
      <c r="O234" s="648"/>
      <c r="P234" s="648"/>
      <c r="Q234" s="649"/>
      <c r="R234" s="649"/>
      <c r="S234" s="649"/>
      <c r="T234" s="649"/>
      <c r="U234" s="649"/>
      <c r="V234" s="649"/>
      <c r="W234" s="649"/>
      <c r="X234" s="649"/>
      <c r="Y234" s="640" t="s">
        <v>1860</v>
      </c>
      <c r="Z234" s="455"/>
      <c r="AA234" s="403"/>
      <c r="AB234" s="403"/>
      <c r="AC234" s="403"/>
      <c r="AD234" s="403"/>
      <c r="AE234" s="403"/>
      <c r="AF234" s="403"/>
      <c r="AG234" s="403"/>
      <c r="AH234" s="323"/>
      <c r="AI234" s="423"/>
      <c r="AJ234" s="423"/>
      <c r="AK234" s="423"/>
      <c r="AL234" s="423"/>
      <c r="AM234" s="423"/>
      <c r="AN234" s="423"/>
      <c r="AO234" s="423"/>
      <c r="AP234" s="423"/>
    </row>
    <row r="235" spans="1:42" ht="22.5">
      <c r="A235" s="191"/>
      <c r="B235" s="689">
        <v>1</v>
      </c>
      <c r="C235" s="407" t="s">
        <v>456</v>
      </c>
      <c r="D235" s="689" t="s">
        <v>320</v>
      </c>
      <c r="E235" s="566">
        <v>2</v>
      </c>
      <c r="F235" s="566">
        <v>8</v>
      </c>
      <c r="G235" s="566">
        <v>4</v>
      </c>
      <c r="H235" s="566">
        <v>2</v>
      </c>
      <c r="I235" s="566">
        <v>6</v>
      </c>
      <c r="J235" s="566">
        <v>4</v>
      </c>
      <c r="K235" s="566">
        <v>6</v>
      </c>
      <c r="L235" s="566">
        <v>2</v>
      </c>
      <c r="M235" s="567">
        <f t="shared" si="497"/>
        <v>12.4772</v>
      </c>
      <c r="N235" s="567">
        <f>'附件4-8甲供材料清单'!K93</f>
        <v>5.72</v>
      </c>
      <c r="O235" s="567">
        <v>1</v>
      </c>
      <c r="P235" s="567">
        <v>6.7</v>
      </c>
      <c r="Q235" s="411">
        <f t="shared" ref="Q235:Q265" si="569">E235*$M235</f>
        <v>24.9544</v>
      </c>
      <c r="R235" s="411">
        <f t="shared" ref="R235:R265" si="570">F235*$M235</f>
        <v>99.817599999999999</v>
      </c>
      <c r="S235" s="411">
        <f t="shared" ref="S235:S265" si="571">G235*$M235</f>
        <v>49.908799999999999</v>
      </c>
      <c r="T235" s="411">
        <f t="shared" ref="T235:T265" si="572">H235*$M235</f>
        <v>24.9544</v>
      </c>
      <c r="U235" s="411">
        <f t="shared" ref="U235:U265" si="573">I235*$M235</f>
        <v>74.863200000000006</v>
      </c>
      <c r="V235" s="411">
        <f t="shared" ref="V235:V265" si="574">J235*$M235</f>
        <v>49.908799999999999</v>
      </c>
      <c r="W235" s="411">
        <f t="shared" ref="W235:W265" si="575">K235*$M235</f>
        <v>74.863200000000006</v>
      </c>
      <c r="X235" s="411">
        <f t="shared" ref="X235:X265" si="576">L235*$M235</f>
        <v>24.9544</v>
      </c>
      <c r="Y235" s="409" t="s">
        <v>244</v>
      </c>
      <c r="Z235" s="455">
        <f t="shared" ref="Z235" si="577">Q235</f>
        <v>24.9544</v>
      </c>
      <c r="AA235" s="403">
        <f t="shared" ref="AA235" si="578">R235</f>
        <v>99.817599999999999</v>
      </c>
      <c r="AB235" s="403">
        <f t="shared" ref="AB235" si="579">S235</f>
        <v>49.908799999999999</v>
      </c>
      <c r="AC235" s="403">
        <f t="shared" ref="AC235" si="580">T235</f>
        <v>24.9544</v>
      </c>
      <c r="AD235" s="403">
        <f t="shared" ref="AD235" si="581">U235</f>
        <v>74.863200000000006</v>
      </c>
      <c r="AE235" s="403">
        <f t="shared" ref="AE235" si="582">V235</f>
        <v>49.908799999999999</v>
      </c>
      <c r="AF235" s="403">
        <f t="shared" ref="AF235" si="583">W235</f>
        <v>74.863200000000006</v>
      </c>
      <c r="AG235" s="403">
        <f t="shared" ref="AG235" si="584">X235</f>
        <v>24.9544</v>
      </c>
      <c r="AH235" s="323"/>
      <c r="AI235" s="403">
        <f t="shared" ref="AI235" si="585">E235*$N235*(1+$O235%)</f>
        <v>11.554399999999999</v>
      </c>
      <c r="AJ235" s="403">
        <f t="shared" ref="AJ235" si="586">F235*$N235*(1+$O235%)</f>
        <v>46.217599999999997</v>
      </c>
      <c r="AK235" s="403">
        <f t="shared" ref="AK235" si="587">G235*$N235*(1+$O235%)</f>
        <v>23.108799999999999</v>
      </c>
      <c r="AL235" s="403">
        <f t="shared" ref="AL235" si="588">H235*$N235*(1+$O235%)</f>
        <v>11.554399999999999</v>
      </c>
      <c r="AM235" s="403">
        <f t="shared" ref="AM235" si="589">I235*$N235*(1+$O235%)</f>
        <v>34.663200000000003</v>
      </c>
      <c r="AN235" s="403">
        <f t="shared" ref="AN235" si="590">J235*$N235*(1+$O235%)</f>
        <v>23.108799999999999</v>
      </c>
      <c r="AO235" s="403">
        <f t="shared" ref="AO235" si="591">K235*$N235*(1+$O235%)</f>
        <v>34.663200000000003</v>
      </c>
      <c r="AP235" s="403">
        <f t="shared" ref="AP235" si="592">L235*$N235*(1+$O235%)</f>
        <v>11.554399999999999</v>
      </c>
    </row>
    <row r="236" spans="1:42" ht="22.5">
      <c r="A236" s="191"/>
      <c r="B236" s="689">
        <v>2</v>
      </c>
      <c r="C236" s="407" t="s">
        <v>458</v>
      </c>
      <c r="D236" s="689" t="s">
        <v>320</v>
      </c>
      <c r="E236" s="566">
        <v>0</v>
      </c>
      <c r="F236" s="566">
        <v>2</v>
      </c>
      <c r="G236" s="566">
        <v>0</v>
      </c>
      <c r="H236" s="566">
        <v>0</v>
      </c>
      <c r="I236" s="566">
        <v>0</v>
      </c>
      <c r="J236" s="566">
        <v>0</v>
      </c>
      <c r="K236" s="566">
        <v>0</v>
      </c>
      <c r="L236" s="566">
        <v>0</v>
      </c>
      <c r="M236" s="567">
        <f t="shared" si="497"/>
        <v>14.1134</v>
      </c>
      <c r="N236" s="567">
        <f>'附件4-8甲供材料清单'!K97</f>
        <v>7.34</v>
      </c>
      <c r="O236" s="567">
        <v>1</v>
      </c>
      <c r="P236" s="567">
        <v>6.7</v>
      </c>
      <c r="Q236" s="411">
        <f t="shared" si="569"/>
        <v>0</v>
      </c>
      <c r="R236" s="411">
        <f t="shared" si="570"/>
        <v>28.226800000000001</v>
      </c>
      <c r="S236" s="411">
        <f t="shared" si="571"/>
        <v>0</v>
      </c>
      <c r="T236" s="411">
        <f t="shared" si="572"/>
        <v>0</v>
      </c>
      <c r="U236" s="411">
        <f t="shared" si="573"/>
        <v>0</v>
      </c>
      <c r="V236" s="411">
        <f t="shared" si="574"/>
        <v>0</v>
      </c>
      <c r="W236" s="411">
        <f t="shared" si="575"/>
        <v>0</v>
      </c>
      <c r="X236" s="411">
        <f t="shared" si="576"/>
        <v>0</v>
      </c>
      <c r="Y236" s="409" t="s">
        <v>244</v>
      </c>
      <c r="Z236" s="455">
        <f t="shared" ref="Z236:Z250" si="593">Q236</f>
        <v>0</v>
      </c>
      <c r="AA236" s="403">
        <f t="shared" ref="AA236:AA250" si="594">R236</f>
        <v>28.226800000000001</v>
      </c>
      <c r="AB236" s="403">
        <f t="shared" ref="AB236:AB250" si="595">S236</f>
        <v>0</v>
      </c>
      <c r="AC236" s="403">
        <f t="shared" ref="AC236:AC250" si="596">T236</f>
        <v>0</v>
      </c>
      <c r="AD236" s="403">
        <f t="shared" ref="AD236:AD250" si="597">U236</f>
        <v>0</v>
      </c>
      <c r="AE236" s="403">
        <f t="shared" ref="AE236:AE250" si="598">V236</f>
        <v>0</v>
      </c>
      <c r="AF236" s="403">
        <f t="shared" ref="AF236:AF250" si="599">W236</f>
        <v>0</v>
      </c>
      <c r="AG236" s="403">
        <f t="shared" ref="AG236:AG250" si="600">X236</f>
        <v>0</v>
      </c>
      <c r="AH236" s="323"/>
      <c r="AI236" s="403">
        <f t="shared" ref="AI236:AI250" si="601">E236*$N236*(1+$O236%)</f>
        <v>0</v>
      </c>
      <c r="AJ236" s="403">
        <f t="shared" ref="AJ236:AJ250" si="602">F236*$N236*(1+$O236%)</f>
        <v>14.8268</v>
      </c>
      <c r="AK236" s="403">
        <f t="shared" ref="AK236:AK250" si="603">G236*$N236*(1+$O236%)</f>
        <v>0</v>
      </c>
      <c r="AL236" s="403">
        <f t="shared" ref="AL236:AL250" si="604">H236*$N236*(1+$O236%)</f>
        <v>0</v>
      </c>
      <c r="AM236" s="403">
        <f t="shared" ref="AM236:AM250" si="605">I236*$N236*(1+$O236%)</f>
        <v>0</v>
      </c>
      <c r="AN236" s="403">
        <f t="shared" ref="AN236:AN250" si="606">J236*$N236*(1+$O236%)</f>
        <v>0</v>
      </c>
      <c r="AO236" s="403">
        <f t="shared" ref="AO236:AO250" si="607">K236*$N236*(1+$O236%)</f>
        <v>0</v>
      </c>
      <c r="AP236" s="403">
        <f t="shared" ref="AP236:AP250" si="608">L236*$N236*(1+$O236%)</f>
        <v>0</v>
      </c>
    </row>
    <row r="237" spans="1:42" ht="22.5">
      <c r="A237" s="191"/>
      <c r="B237" s="689">
        <v>3</v>
      </c>
      <c r="C237" s="407" t="s">
        <v>460</v>
      </c>
      <c r="D237" s="689" t="s">
        <v>320</v>
      </c>
      <c r="E237" s="566">
        <v>0</v>
      </c>
      <c r="F237" s="566">
        <v>1</v>
      </c>
      <c r="G237" s="566">
        <v>1</v>
      </c>
      <c r="H237" s="566">
        <v>0</v>
      </c>
      <c r="I237" s="566">
        <v>1</v>
      </c>
      <c r="J237" s="566">
        <v>1</v>
      </c>
      <c r="K237" s="566">
        <v>1</v>
      </c>
      <c r="L237" s="566">
        <v>0</v>
      </c>
      <c r="M237" s="567">
        <f t="shared" si="497"/>
        <v>15.113299999999999</v>
      </c>
      <c r="N237" s="567">
        <f>'附件4-8甲供材料清单'!K94</f>
        <v>8.33</v>
      </c>
      <c r="O237" s="567">
        <v>1</v>
      </c>
      <c r="P237" s="567">
        <v>6.7</v>
      </c>
      <c r="Q237" s="411">
        <f t="shared" si="569"/>
        <v>0</v>
      </c>
      <c r="R237" s="411">
        <f t="shared" si="570"/>
        <v>15.113299999999999</v>
      </c>
      <c r="S237" s="411">
        <f t="shared" si="571"/>
        <v>15.113299999999999</v>
      </c>
      <c r="T237" s="411">
        <f t="shared" si="572"/>
        <v>0</v>
      </c>
      <c r="U237" s="411">
        <f t="shared" si="573"/>
        <v>15.113299999999999</v>
      </c>
      <c r="V237" s="411">
        <f t="shared" si="574"/>
        <v>15.113299999999999</v>
      </c>
      <c r="W237" s="411">
        <f t="shared" si="575"/>
        <v>15.113299999999999</v>
      </c>
      <c r="X237" s="411">
        <f t="shared" si="576"/>
        <v>0</v>
      </c>
      <c r="Y237" s="409" t="s">
        <v>244</v>
      </c>
      <c r="Z237" s="455">
        <f t="shared" si="593"/>
        <v>0</v>
      </c>
      <c r="AA237" s="403">
        <f t="shared" si="594"/>
        <v>15.113299999999999</v>
      </c>
      <c r="AB237" s="403">
        <f t="shared" si="595"/>
        <v>15.113299999999999</v>
      </c>
      <c r="AC237" s="403">
        <f t="shared" si="596"/>
        <v>0</v>
      </c>
      <c r="AD237" s="403">
        <f t="shared" si="597"/>
        <v>15.113299999999999</v>
      </c>
      <c r="AE237" s="403">
        <f t="shared" si="598"/>
        <v>15.113299999999999</v>
      </c>
      <c r="AF237" s="403">
        <f t="shared" si="599"/>
        <v>15.113299999999999</v>
      </c>
      <c r="AG237" s="403">
        <f t="shared" si="600"/>
        <v>0</v>
      </c>
      <c r="AH237" s="323"/>
      <c r="AI237" s="403">
        <f t="shared" si="601"/>
        <v>0</v>
      </c>
      <c r="AJ237" s="403">
        <f t="shared" si="602"/>
        <v>8.4132999999999996</v>
      </c>
      <c r="AK237" s="403">
        <f t="shared" si="603"/>
        <v>8.4132999999999996</v>
      </c>
      <c r="AL237" s="403">
        <f t="shared" si="604"/>
        <v>0</v>
      </c>
      <c r="AM237" s="403">
        <f t="shared" si="605"/>
        <v>8.4132999999999996</v>
      </c>
      <c r="AN237" s="403">
        <f t="shared" si="606"/>
        <v>8.4132999999999996</v>
      </c>
      <c r="AO237" s="403">
        <f t="shared" si="607"/>
        <v>8.4132999999999996</v>
      </c>
      <c r="AP237" s="403">
        <f t="shared" si="608"/>
        <v>0</v>
      </c>
    </row>
    <row r="238" spans="1:42" ht="22.5">
      <c r="A238" s="191"/>
      <c r="B238" s="689">
        <v>4</v>
      </c>
      <c r="C238" s="407" t="s">
        <v>462</v>
      </c>
      <c r="D238" s="689" t="s">
        <v>320</v>
      </c>
      <c r="E238" s="566">
        <v>2</v>
      </c>
      <c r="F238" s="566">
        <v>2</v>
      </c>
      <c r="G238" s="566">
        <v>2</v>
      </c>
      <c r="H238" s="566">
        <v>2</v>
      </c>
      <c r="I238" s="566">
        <v>2</v>
      </c>
      <c r="J238" s="566">
        <v>2</v>
      </c>
      <c r="K238" s="566">
        <v>2</v>
      </c>
      <c r="L238" s="566">
        <v>2</v>
      </c>
      <c r="M238" s="567">
        <f t="shared" si="497"/>
        <v>17.809999999999999</v>
      </c>
      <c r="N238" s="567">
        <f>'附件4-8甲供材料清单'!K98</f>
        <v>11</v>
      </c>
      <c r="O238" s="567">
        <v>1</v>
      </c>
      <c r="P238" s="567">
        <v>6.7</v>
      </c>
      <c r="Q238" s="411">
        <f t="shared" si="569"/>
        <v>35.619999999999997</v>
      </c>
      <c r="R238" s="411">
        <f t="shared" si="570"/>
        <v>35.619999999999997</v>
      </c>
      <c r="S238" s="411">
        <f t="shared" si="571"/>
        <v>35.619999999999997</v>
      </c>
      <c r="T238" s="411">
        <f t="shared" si="572"/>
        <v>35.619999999999997</v>
      </c>
      <c r="U238" s="411">
        <f t="shared" si="573"/>
        <v>35.619999999999997</v>
      </c>
      <c r="V238" s="411">
        <f t="shared" si="574"/>
        <v>35.619999999999997</v>
      </c>
      <c r="W238" s="411">
        <f t="shared" si="575"/>
        <v>35.619999999999997</v>
      </c>
      <c r="X238" s="411">
        <f t="shared" si="576"/>
        <v>35.619999999999997</v>
      </c>
      <c r="Y238" s="409" t="s">
        <v>244</v>
      </c>
      <c r="Z238" s="455">
        <f t="shared" si="593"/>
        <v>35.619999999999997</v>
      </c>
      <c r="AA238" s="403">
        <f t="shared" si="594"/>
        <v>35.619999999999997</v>
      </c>
      <c r="AB238" s="403">
        <f t="shared" si="595"/>
        <v>35.619999999999997</v>
      </c>
      <c r="AC238" s="403">
        <f t="shared" si="596"/>
        <v>35.619999999999997</v>
      </c>
      <c r="AD238" s="403">
        <f t="shared" si="597"/>
        <v>35.619999999999997</v>
      </c>
      <c r="AE238" s="403">
        <f t="shared" si="598"/>
        <v>35.619999999999997</v>
      </c>
      <c r="AF238" s="403">
        <f t="shared" si="599"/>
        <v>35.619999999999997</v>
      </c>
      <c r="AG238" s="403">
        <f t="shared" si="600"/>
        <v>35.619999999999997</v>
      </c>
      <c r="AH238" s="323"/>
      <c r="AI238" s="403">
        <f t="shared" si="601"/>
        <v>22.22</v>
      </c>
      <c r="AJ238" s="403">
        <f t="shared" si="602"/>
        <v>22.22</v>
      </c>
      <c r="AK238" s="403">
        <f t="shared" si="603"/>
        <v>22.22</v>
      </c>
      <c r="AL238" s="403">
        <f t="shared" si="604"/>
        <v>22.22</v>
      </c>
      <c r="AM238" s="403">
        <f t="shared" si="605"/>
        <v>22.22</v>
      </c>
      <c r="AN238" s="403">
        <f t="shared" si="606"/>
        <v>22.22</v>
      </c>
      <c r="AO238" s="403">
        <f t="shared" si="607"/>
        <v>22.22</v>
      </c>
      <c r="AP238" s="403">
        <f t="shared" si="608"/>
        <v>22.22</v>
      </c>
    </row>
    <row r="239" spans="1:42" ht="22.5">
      <c r="A239" s="191"/>
      <c r="B239" s="689">
        <v>5</v>
      </c>
      <c r="C239" s="407" t="s">
        <v>463</v>
      </c>
      <c r="D239" s="689" t="s">
        <v>320</v>
      </c>
      <c r="E239" s="566">
        <v>0</v>
      </c>
      <c r="F239" s="566">
        <v>2</v>
      </c>
      <c r="G239" s="566">
        <v>3</v>
      </c>
      <c r="H239" s="566">
        <v>0</v>
      </c>
      <c r="I239" s="566">
        <v>3</v>
      </c>
      <c r="J239" s="566">
        <v>3</v>
      </c>
      <c r="K239" s="566">
        <v>3</v>
      </c>
      <c r="L239" s="566">
        <v>0</v>
      </c>
      <c r="M239" s="567">
        <f t="shared" si="497"/>
        <v>18.82</v>
      </c>
      <c r="N239" s="567">
        <f>'附件4-8甲供材料清单'!K95</f>
        <v>12</v>
      </c>
      <c r="O239" s="567">
        <v>1</v>
      </c>
      <c r="P239" s="567">
        <v>6.7</v>
      </c>
      <c r="Q239" s="411">
        <f t="shared" si="569"/>
        <v>0</v>
      </c>
      <c r="R239" s="411">
        <f t="shared" si="570"/>
        <v>37.64</v>
      </c>
      <c r="S239" s="411">
        <f t="shared" si="571"/>
        <v>56.46</v>
      </c>
      <c r="T239" s="411">
        <f t="shared" si="572"/>
        <v>0</v>
      </c>
      <c r="U239" s="411">
        <f t="shared" si="573"/>
        <v>56.46</v>
      </c>
      <c r="V239" s="411">
        <f t="shared" si="574"/>
        <v>56.46</v>
      </c>
      <c r="W239" s="411">
        <f t="shared" si="575"/>
        <v>56.46</v>
      </c>
      <c r="X239" s="411">
        <f t="shared" si="576"/>
        <v>0</v>
      </c>
      <c r="Y239" s="409" t="s">
        <v>244</v>
      </c>
      <c r="Z239" s="455">
        <f t="shared" si="593"/>
        <v>0</v>
      </c>
      <c r="AA239" s="403">
        <f t="shared" si="594"/>
        <v>37.64</v>
      </c>
      <c r="AB239" s="403">
        <f t="shared" si="595"/>
        <v>56.46</v>
      </c>
      <c r="AC239" s="403">
        <f t="shared" si="596"/>
        <v>0</v>
      </c>
      <c r="AD239" s="403">
        <f t="shared" si="597"/>
        <v>56.46</v>
      </c>
      <c r="AE239" s="403">
        <f t="shared" si="598"/>
        <v>56.46</v>
      </c>
      <c r="AF239" s="403">
        <f t="shared" si="599"/>
        <v>56.46</v>
      </c>
      <c r="AG239" s="403">
        <f t="shared" si="600"/>
        <v>0</v>
      </c>
      <c r="AH239" s="323"/>
      <c r="AI239" s="403">
        <f t="shared" si="601"/>
        <v>0</v>
      </c>
      <c r="AJ239" s="403">
        <f t="shared" si="602"/>
        <v>24.240000000000002</v>
      </c>
      <c r="AK239" s="403">
        <f t="shared" si="603"/>
        <v>36.36</v>
      </c>
      <c r="AL239" s="403">
        <f t="shared" si="604"/>
        <v>0</v>
      </c>
      <c r="AM239" s="403">
        <f t="shared" si="605"/>
        <v>36.36</v>
      </c>
      <c r="AN239" s="403">
        <f t="shared" si="606"/>
        <v>36.36</v>
      </c>
      <c r="AO239" s="403">
        <f t="shared" si="607"/>
        <v>36.36</v>
      </c>
      <c r="AP239" s="403">
        <f t="shared" si="608"/>
        <v>0</v>
      </c>
    </row>
    <row r="240" spans="1:42" ht="22.5">
      <c r="A240" s="191"/>
      <c r="B240" s="689">
        <v>6</v>
      </c>
      <c r="C240" s="407" t="s">
        <v>465</v>
      </c>
      <c r="D240" s="689" t="s">
        <v>320</v>
      </c>
      <c r="E240" s="566">
        <v>0</v>
      </c>
      <c r="F240" s="566">
        <v>0</v>
      </c>
      <c r="G240" s="566">
        <v>1</v>
      </c>
      <c r="H240" s="566">
        <v>0</v>
      </c>
      <c r="I240" s="566">
        <v>1</v>
      </c>
      <c r="J240" s="566">
        <v>1</v>
      </c>
      <c r="K240" s="566">
        <v>1</v>
      </c>
      <c r="L240" s="566">
        <v>0</v>
      </c>
      <c r="M240" s="567">
        <f t="shared" si="497"/>
        <v>25.89</v>
      </c>
      <c r="N240" s="567">
        <f>'附件4-8甲供材料清单'!K96</f>
        <v>19</v>
      </c>
      <c r="O240" s="567">
        <v>1</v>
      </c>
      <c r="P240" s="567">
        <v>6.7</v>
      </c>
      <c r="Q240" s="411">
        <f t="shared" si="569"/>
        <v>0</v>
      </c>
      <c r="R240" s="411">
        <f t="shared" si="570"/>
        <v>0</v>
      </c>
      <c r="S240" s="411">
        <f t="shared" si="571"/>
        <v>25.89</v>
      </c>
      <c r="T240" s="411">
        <f t="shared" si="572"/>
        <v>0</v>
      </c>
      <c r="U240" s="411">
        <f t="shared" si="573"/>
        <v>25.89</v>
      </c>
      <c r="V240" s="411">
        <f t="shared" si="574"/>
        <v>25.89</v>
      </c>
      <c r="W240" s="411">
        <f t="shared" si="575"/>
        <v>25.89</v>
      </c>
      <c r="X240" s="411">
        <f t="shared" si="576"/>
        <v>0</v>
      </c>
      <c r="Y240" s="409" t="s">
        <v>244</v>
      </c>
      <c r="Z240" s="455">
        <f t="shared" si="593"/>
        <v>0</v>
      </c>
      <c r="AA240" s="403">
        <f t="shared" si="594"/>
        <v>0</v>
      </c>
      <c r="AB240" s="403">
        <f t="shared" si="595"/>
        <v>25.89</v>
      </c>
      <c r="AC240" s="403">
        <f t="shared" si="596"/>
        <v>0</v>
      </c>
      <c r="AD240" s="403">
        <f t="shared" si="597"/>
        <v>25.89</v>
      </c>
      <c r="AE240" s="403">
        <f t="shared" si="598"/>
        <v>25.89</v>
      </c>
      <c r="AF240" s="403">
        <f t="shared" si="599"/>
        <v>25.89</v>
      </c>
      <c r="AG240" s="403">
        <f t="shared" si="600"/>
        <v>0</v>
      </c>
      <c r="AH240" s="323"/>
      <c r="AI240" s="403">
        <f t="shared" si="601"/>
        <v>0</v>
      </c>
      <c r="AJ240" s="403">
        <f t="shared" si="602"/>
        <v>0</v>
      </c>
      <c r="AK240" s="403">
        <f t="shared" si="603"/>
        <v>19.190000000000001</v>
      </c>
      <c r="AL240" s="403">
        <f t="shared" si="604"/>
        <v>0</v>
      </c>
      <c r="AM240" s="403">
        <f t="shared" si="605"/>
        <v>19.190000000000001</v>
      </c>
      <c r="AN240" s="403">
        <f t="shared" si="606"/>
        <v>19.190000000000001</v>
      </c>
      <c r="AO240" s="403">
        <f t="shared" si="607"/>
        <v>19.190000000000001</v>
      </c>
      <c r="AP240" s="403">
        <f t="shared" si="608"/>
        <v>0</v>
      </c>
    </row>
    <row r="241" spans="1:42" ht="22.5">
      <c r="A241" s="191"/>
      <c r="B241" s="689">
        <v>7</v>
      </c>
      <c r="C241" s="417" t="s">
        <v>467</v>
      </c>
      <c r="D241" s="422" t="s">
        <v>320</v>
      </c>
      <c r="E241" s="566"/>
      <c r="F241" s="566"/>
      <c r="G241" s="566"/>
      <c r="H241" s="566"/>
      <c r="I241" s="566"/>
      <c r="J241" s="566"/>
      <c r="K241" s="566"/>
      <c r="L241" s="566"/>
      <c r="M241" s="567">
        <f t="shared" si="497"/>
        <v>13.766</v>
      </c>
      <c r="N241" s="567">
        <f>'附件4-8甲供材料清单'!K102</f>
        <v>7</v>
      </c>
      <c r="O241" s="567">
        <v>1</v>
      </c>
      <c r="P241" s="567">
        <v>6.6959999999999997</v>
      </c>
      <c r="Q241" s="411">
        <f t="shared" si="569"/>
        <v>0</v>
      </c>
      <c r="R241" s="411">
        <f t="shared" si="570"/>
        <v>0</v>
      </c>
      <c r="S241" s="411">
        <f t="shared" si="571"/>
        <v>0</v>
      </c>
      <c r="T241" s="411">
        <f t="shared" si="572"/>
        <v>0</v>
      </c>
      <c r="U241" s="411">
        <f t="shared" si="573"/>
        <v>0</v>
      </c>
      <c r="V241" s="411">
        <f t="shared" si="574"/>
        <v>0</v>
      </c>
      <c r="W241" s="411">
        <f t="shared" si="575"/>
        <v>0</v>
      </c>
      <c r="X241" s="411">
        <f t="shared" si="576"/>
        <v>0</v>
      </c>
      <c r="Y241" s="409" t="s">
        <v>244</v>
      </c>
      <c r="Z241" s="455">
        <f t="shared" si="593"/>
        <v>0</v>
      </c>
      <c r="AA241" s="403">
        <f t="shared" si="594"/>
        <v>0</v>
      </c>
      <c r="AB241" s="403">
        <f t="shared" si="595"/>
        <v>0</v>
      </c>
      <c r="AC241" s="403">
        <f t="shared" si="596"/>
        <v>0</v>
      </c>
      <c r="AD241" s="403">
        <f t="shared" si="597"/>
        <v>0</v>
      </c>
      <c r="AE241" s="403">
        <f t="shared" si="598"/>
        <v>0</v>
      </c>
      <c r="AF241" s="403">
        <f t="shared" si="599"/>
        <v>0</v>
      </c>
      <c r="AG241" s="403">
        <f t="shared" si="600"/>
        <v>0</v>
      </c>
      <c r="AH241" s="323"/>
      <c r="AI241" s="403">
        <f t="shared" si="601"/>
        <v>0</v>
      </c>
      <c r="AJ241" s="403">
        <f t="shared" si="602"/>
        <v>0</v>
      </c>
      <c r="AK241" s="403">
        <f t="shared" si="603"/>
        <v>0</v>
      </c>
      <c r="AL241" s="403">
        <f t="shared" si="604"/>
        <v>0</v>
      </c>
      <c r="AM241" s="403">
        <f t="shared" si="605"/>
        <v>0</v>
      </c>
      <c r="AN241" s="403">
        <f t="shared" si="606"/>
        <v>0</v>
      </c>
      <c r="AO241" s="403">
        <f t="shared" si="607"/>
        <v>0</v>
      </c>
      <c r="AP241" s="403">
        <f t="shared" si="608"/>
        <v>0</v>
      </c>
    </row>
    <row r="242" spans="1:42" ht="22.5">
      <c r="A242" s="191"/>
      <c r="B242" s="689">
        <v>8</v>
      </c>
      <c r="C242" s="417" t="s">
        <v>468</v>
      </c>
      <c r="D242" s="422" t="s">
        <v>320</v>
      </c>
      <c r="E242" s="566">
        <v>4</v>
      </c>
      <c r="F242" s="566">
        <v>4</v>
      </c>
      <c r="G242" s="566">
        <v>4</v>
      </c>
      <c r="H242" s="566">
        <v>4</v>
      </c>
      <c r="I242" s="566">
        <v>4</v>
      </c>
      <c r="J242" s="566">
        <v>4</v>
      </c>
      <c r="K242" s="566">
        <v>4</v>
      </c>
      <c r="L242" s="566">
        <v>4</v>
      </c>
      <c r="M242" s="567">
        <f t="shared" si="497"/>
        <v>13.0792</v>
      </c>
      <c r="N242" s="567">
        <f>'附件4-8甲供材料清单'!K99</f>
        <v>6.32</v>
      </c>
      <c r="O242" s="567">
        <v>1</v>
      </c>
      <c r="P242" s="567">
        <v>6.6959999999999997</v>
      </c>
      <c r="Q242" s="411">
        <f t="shared" si="569"/>
        <v>52.316800000000001</v>
      </c>
      <c r="R242" s="411">
        <f t="shared" si="570"/>
        <v>52.316800000000001</v>
      </c>
      <c r="S242" s="411">
        <f t="shared" si="571"/>
        <v>52.316800000000001</v>
      </c>
      <c r="T242" s="411">
        <f t="shared" si="572"/>
        <v>52.316800000000001</v>
      </c>
      <c r="U242" s="411">
        <f t="shared" si="573"/>
        <v>52.316800000000001</v>
      </c>
      <c r="V242" s="411">
        <f t="shared" si="574"/>
        <v>52.316800000000001</v>
      </c>
      <c r="W242" s="411">
        <f t="shared" si="575"/>
        <v>52.316800000000001</v>
      </c>
      <c r="X242" s="411">
        <f t="shared" si="576"/>
        <v>52.316800000000001</v>
      </c>
      <c r="Y242" s="409" t="s">
        <v>244</v>
      </c>
      <c r="Z242" s="455">
        <f t="shared" si="593"/>
        <v>52.316800000000001</v>
      </c>
      <c r="AA242" s="403">
        <f t="shared" si="594"/>
        <v>52.316800000000001</v>
      </c>
      <c r="AB242" s="403">
        <f t="shared" si="595"/>
        <v>52.316800000000001</v>
      </c>
      <c r="AC242" s="403">
        <f t="shared" si="596"/>
        <v>52.316800000000001</v>
      </c>
      <c r="AD242" s="403">
        <f t="shared" si="597"/>
        <v>52.316800000000001</v>
      </c>
      <c r="AE242" s="403">
        <f t="shared" si="598"/>
        <v>52.316800000000001</v>
      </c>
      <c r="AF242" s="403">
        <f t="shared" si="599"/>
        <v>52.316800000000001</v>
      </c>
      <c r="AG242" s="403">
        <f t="shared" si="600"/>
        <v>52.316800000000001</v>
      </c>
      <c r="AH242" s="323"/>
      <c r="AI242" s="403">
        <f t="shared" si="601"/>
        <v>25.532800000000002</v>
      </c>
      <c r="AJ242" s="403">
        <f t="shared" si="602"/>
        <v>25.532800000000002</v>
      </c>
      <c r="AK242" s="403">
        <f t="shared" si="603"/>
        <v>25.532800000000002</v>
      </c>
      <c r="AL242" s="403">
        <f t="shared" si="604"/>
        <v>25.532800000000002</v>
      </c>
      <c r="AM242" s="403">
        <f t="shared" si="605"/>
        <v>25.532800000000002</v>
      </c>
      <c r="AN242" s="403">
        <f t="shared" si="606"/>
        <v>25.532800000000002</v>
      </c>
      <c r="AO242" s="403">
        <f t="shared" si="607"/>
        <v>25.532800000000002</v>
      </c>
      <c r="AP242" s="403">
        <f t="shared" si="608"/>
        <v>25.532800000000002</v>
      </c>
    </row>
    <row r="243" spans="1:42" ht="22.5">
      <c r="A243" s="191"/>
      <c r="B243" s="689">
        <v>9</v>
      </c>
      <c r="C243" s="417" t="s">
        <v>470</v>
      </c>
      <c r="D243" s="422" t="s">
        <v>320</v>
      </c>
      <c r="E243" s="566">
        <v>3</v>
      </c>
      <c r="F243" s="566">
        <v>3</v>
      </c>
      <c r="G243" s="566">
        <v>7</v>
      </c>
      <c r="H243" s="566">
        <v>3</v>
      </c>
      <c r="I243" s="566">
        <v>7</v>
      </c>
      <c r="J243" s="566">
        <v>7</v>
      </c>
      <c r="K243" s="566">
        <v>7</v>
      </c>
      <c r="L243" s="566">
        <v>3</v>
      </c>
      <c r="M243" s="567">
        <f t="shared" si="497"/>
        <v>17.805999999999997</v>
      </c>
      <c r="N243" s="567">
        <f>'附件4-8甲供材料清单'!K100</f>
        <v>11</v>
      </c>
      <c r="O243" s="567">
        <v>1</v>
      </c>
      <c r="P243" s="567">
        <v>6.6959999999999997</v>
      </c>
      <c r="Q243" s="411">
        <f t="shared" si="569"/>
        <v>53.417999999999992</v>
      </c>
      <c r="R243" s="411">
        <f t="shared" si="570"/>
        <v>53.417999999999992</v>
      </c>
      <c r="S243" s="411">
        <f t="shared" si="571"/>
        <v>124.64199999999998</v>
      </c>
      <c r="T243" s="411">
        <f t="shared" si="572"/>
        <v>53.417999999999992</v>
      </c>
      <c r="U243" s="411">
        <f t="shared" si="573"/>
        <v>124.64199999999998</v>
      </c>
      <c r="V243" s="411">
        <f t="shared" si="574"/>
        <v>124.64199999999998</v>
      </c>
      <c r="W243" s="411">
        <f t="shared" si="575"/>
        <v>124.64199999999998</v>
      </c>
      <c r="X243" s="411">
        <f t="shared" si="576"/>
        <v>53.417999999999992</v>
      </c>
      <c r="Y243" s="409" t="s">
        <v>244</v>
      </c>
      <c r="Z243" s="455">
        <f t="shared" si="593"/>
        <v>53.417999999999992</v>
      </c>
      <c r="AA243" s="403">
        <f t="shared" si="594"/>
        <v>53.417999999999992</v>
      </c>
      <c r="AB243" s="403">
        <f t="shared" si="595"/>
        <v>124.64199999999998</v>
      </c>
      <c r="AC243" s="403">
        <f t="shared" si="596"/>
        <v>53.417999999999992</v>
      </c>
      <c r="AD243" s="403">
        <f t="shared" si="597"/>
        <v>124.64199999999998</v>
      </c>
      <c r="AE243" s="403">
        <f t="shared" si="598"/>
        <v>124.64199999999998</v>
      </c>
      <c r="AF243" s="403">
        <f t="shared" si="599"/>
        <v>124.64199999999998</v>
      </c>
      <c r="AG243" s="403">
        <f t="shared" si="600"/>
        <v>53.417999999999992</v>
      </c>
      <c r="AH243" s="323"/>
      <c r="AI243" s="403">
        <f t="shared" si="601"/>
        <v>33.33</v>
      </c>
      <c r="AJ243" s="403">
        <f t="shared" si="602"/>
        <v>33.33</v>
      </c>
      <c r="AK243" s="403">
        <f t="shared" si="603"/>
        <v>77.77</v>
      </c>
      <c r="AL243" s="403">
        <f t="shared" si="604"/>
        <v>33.33</v>
      </c>
      <c r="AM243" s="403">
        <f t="shared" si="605"/>
        <v>77.77</v>
      </c>
      <c r="AN243" s="403">
        <f t="shared" si="606"/>
        <v>77.77</v>
      </c>
      <c r="AO243" s="403">
        <f t="shared" si="607"/>
        <v>77.77</v>
      </c>
      <c r="AP243" s="403">
        <f t="shared" si="608"/>
        <v>33.33</v>
      </c>
    </row>
    <row r="244" spans="1:42" ht="22.5">
      <c r="A244" s="191"/>
      <c r="B244" s="689">
        <v>10</v>
      </c>
      <c r="C244" s="417" t="s">
        <v>471</v>
      </c>
      <c r="D244" s="422" t="s">
        <v>320</v>
      </c>
      <c r="E244" s="566">
        <v>6</v>
      </c>
      <c r="F244" s="566">
        <v>8</v>
      </c>
      <c r="G244" s="566">
        <v>8</v>
      </c>
      <c r="H244" s="566">
        <v>6</v>
      </c>
      <c r="I244" s="566">
        <v>8</v>
      </c>
      <c r="J244" s="566">
        <v>8</v>
      </c>
      <c r="K244" s="566">
        <v>8</v>
      </c>
      <c r="L244" s="566">
        <v>6</v>
      </c>
      <c r="M244" s="567">
        <f t="shared" ref="M244" si="609">N244+N244*O244%+P244</f>
        <v>13.968</v>
      </c>
      <c r="N244" s="567">
        <f>'附件4-8甲供材料清单'!K101</f>
        <v>7.2</v>
      </c>
      <c r="O244" s="567">
        <v>1</v>
      </c>
      <c r="P244" s="567">
        <v>6.6959999999999997</v>
      </c>
      <c r="Q244" s="411">
        <f t="shared" si="569"/>
        <v>83.807999999999993</v>
      </c>
      <c r="R244" s="411">
        <f t="shared" si="570"/>
        <v>111.744</v>
      </c>
      <c r="S244" s="411">
        <f t="shared" si="571"/>
        <v>111.744</v>
      </c>
      <c r="T244" s="411">
        <f t="shared" si="572"/>
        <v>83.807999999999993</v>
      </c>
      <c r="U244" s="411">
        <f t="shared" si="573"/>
        <v>111.744</v>
      </c>
      <c r="V244" s="411">
        <f t="shared" si="574"/>
        <v>111.744</v>
      </c>
      <c r="W244" s="411">
        <f t="shared" si="575"/>
        <v>111.744</v>
      </c>
      <c r="X244" s="411">
        <f t="shared" si="576"/>
        <v>83.807999999999993</v>
      </c>
      <c r="Y244" s="409" t="s">
        <v>244</v>
      </c>
      <c r="Z244" s="455">
        <f t="shared" si="593"/>
        <v>83.807999999999993</v>
      </c>
      <c r="AA244" s="403">
        <f t="shared" si="594"/>
        <v>111.744</v>
      </c>
      <c r="AB244" s="403">
        <f t="shared" si="595"/>
        <v>111.744</v>
      </c>
      <c r="AC244" s="403">
        <f t="shared" si="596"/>
        <v>83.807999999999993</v>
      </c>
      <c r="AD244" s="403">
        <f t="shared" si="597"/>
        <v>111.744</v>
      </c>
      <c r="AE244" s="403">
        <f t="shared" si="598"/>
        <v>111.744</v>
      </c>
      <c r="AF244" s="403">
        <f t="shared" si="599"/>
        <v>111.744</v>
      </c>
      <c r="AG244" s="403">
        <f t="shared" si="600"/>
        <v>83.807999999999993</v>
      </c>
      <c r="AH244" s="323"/>
      <c r="AI244" s="403">
        <f t="shared" si="601"/>
        <v>43.632000000000005</v>
      </c>
      <c r="AJ244" s="403">
        <f t="shared" si="602"/>
        <v>58.176000000000002</v>
      </c>
      <c r="AK244" s="403">
        <f t="shared" si="603"/>
        <v>58.176000000000002</v>
      </c>
      <c r="AL244" s="403">
        <f t="shared" si="604"/>
        <v>43.632000000000005</v>
      </c>
      <c r="AM244" s="403">
        <f t="shared" si="605"/>
        <v>58.176000000000002</v>
      </c>
      <c r="AN244" s="403">
        <f t="shared" si="606"/>
        <v>58.176000000000002</v>
      </c>
      <c r="AO244" s="403">
        <f t="shared" si="607"/>
        <v>58.176000000000002</v>
      </c>
      <c r="AP244" s="403">
        <f t="shared" si="608"/>
        <v>43.632000000000005</v>
      </c>
    </row>
    <row r="245" spans="1:42" ht="22.5">
      <c r="A245" s="191"/>
      <c r="B245" s="689">
        <v>11</v>
      </c>
      <c r="C245" s="417" t="s">
        <v>473</v>
      </c>
      <c r="D245" s="422" t="s">
        <v>320</v>
      </c>
      <c r="E245" s="566">
        <v>2</v>
      </c>
      <c r="F245" s="566">
        <v>2</v>
      </c>
      <c r="G245" s="566">
        <v>2</v>
      </c>
      <c r="H245" s="566">
        <v>2</v>
      </c>
      <c r="I245" s="566">
        <v>2</v>
      </c>
      <c r="J245" s="566">
        <v>2</v>
      </c>
      <c r="K245" s="566">
        <v>2</v>
      </c>
      <c r="L245" s="566">
        <v>2</v>
      </c>
      <c r="M245" s="567">
        <f t="shared" ref="M245:M286" si="610">N245+N245*O245%+P245</f>
        <v>16.321300000000001</v>
      </c>
      <c r="N245" s="567">
        <f>'附件4-8甲供材料清单'!K103</f>
        <v>9.5299999999999994</v>
      </c>
      <c r="O245" s="567">
        <v>1</v>
      </c>
      <c r="P245" s="567">
        <v>6.6959999999999997</v>
      </c>
      <c r="Q245" s="411">
        <f t="shared" si="569"/>
        <v>32.642600000000002</v>
      </c>
      <c r="R245" s="411">
        <f t="shared" si="570"/>
        <v>32.642600000000002</v>
      </c>
      <c r="S245" s="411">
        <f t="shared" si="571"/>
        <v>32.642600000000002</v>
      </c>
      <c r="T245" s="411">
        <f t="shared" si="572"/>
        <v>32.642600000000002</v>
      </c>
      <c r="U245" s="411">
        <f t="shared" si="573"/>
        <v>32.642600000000002</v>
      </c>
      <c r="V245" s="411">
        <f t="shared" si="574"/>
        <v>32.642600000000002</v>
      </c>
      <c r="W245" s="411">
        <f t="shared" si="575"/>
        <v>32.642600000000002</v>
      </c>
      <c r="X245" s="411">
        <f t="shared" si="576"/>
        <v>32.642600000000002</v>
      </c>
      <c r="Y245" s="409" t="s">
        <v>244</v>
      </c>
      <c r="Z245" s="455">
        <f t="shared" si="593"/>
        <v>32.642600000000002</v>
      </c>
      <c r="AA245" s="403">
        <f t="shared" si="594"/>
        <v>32.642600000000002</v>
      </c>
      <c r="AB245" s="403">
        <f t="shared" si="595"/>
        <v>32.642600000000002</v>
      </c>
      <c r="AC245" s="403">
        <f t="shared" si="596"/>
        <v>32.642600000000002</v>
      </c>
      <c r="AD245" s="403">
        <f t="shared" si="597"/>
        <v>32.642600000000002</v>
      </c>
      <c r="AE245" s="403">
        <f t="shared" si="598"/>
        <v>32.642600000000002</v>
      </c>
      <c r="AF245" s="403">
        <f t="shared" si="599"/>
        <v>32.642600000000002</v>
      </c>
      <c r="AG245" s="403">
        <f t="shared" si="600"/>
        <v>32.642600000000002</v>
      </c>
      <c r="AH245" s="323"/>
      <c r="AI245" s="403">
        <f t="shared" si="601"/>
        <v>19.250599999999999</v>
      </c>
      <c r="AJ245" s="403">
        <f t="shared" si="602"/>
        <v>19.250599999999999</v>
      </c>
      <c r="AK245" s="403">
        <f t="shared" si="603"/>
        <v>19.250599999999999</v>
      </c>
      <c r="AL245" s="403">
        <f t="shared" si="604"/>
        <v>19.250599999999999</v>
      </c>
      <c r="AM245" s="403">
        <f t="shared" si="605"/>
        <v>19.250599999999999</v>
      </c>
      <c r="AN245" s="403">
        <f t="shared" si="606"/>
        <v>19.250599999999999</v>
      </c>
      <c r="AO245" s="403">
        <f t="shared" si="607"/>
        <v>19.250599999999999</v>
      </c>
      <c r="AP245" s="403">
        <f t="shared" si="608"/>
        <v>19.250599999999999</v>
      </c>
    </row>
    <row r="246" spans="1:42" ht="22.5">
      <c r="A246" s="191"/>
      <c r="B246" s="689">
        <v>12</v>
      </c>
      <c r="C246" s="417" t="s">
        <v>474</v>
      </c>
      <c r="D246" s="422" t="s">
        <v>320</v>
      </c>
      <c r="E246" s="566">
        <v>2</v>
      </c>
      <c r="F246" s="566">
        <v>2</v>
      </c>
      <c r="G246" s="566">
        <v>2</v>
      </c>
      <c r="H246" s="566">
        <v>2</v>
      </c>
      <c r="I246" s="566">
        <v>2</v>
      </c>
      <c r="J246" s="566">
        <v>2</v>
      </c>
      <c r="K246" s="566">
        <v>2</v>
      </c>
      <c r="L246" s="566">
        <v>2</v>
      </c>
      <c r="M246" s="567">
        <f t="shared" si="610"/>
        <v>17.805999999999997</v>
      </c>
      <c r="N246" s="567">
        <f>'附件4-8甲供材料清单'!K104</f>
        <v>11</v>
      </c>
      <c r="O246" s="567">
        <v>1</v>
      </c>
      <c r="P246" s="567">
        <v>6.6959999999999997</v>
      </c>
      <c r="Q246" s="411">
        <f t="shared" si="569"/>
        <v>35.611999999999995</v>
      </c>
      <c r="R246" s="411">
        <f t="shared" si="570"/>
        <v>35.611999999999995</v>
      </c>
      <c r="S246" s="411">
        <f t="shared" si="571"/>
        <v>35.611999999999995</v>
      </c>
      <c r="T246" s="411">
        <f t="shared" si="572"/>
        <v>35.611999999999995</v>
      </c>
      <c r="U246" s="411">
        <f t="shared" si="573"/>
        <v>35.611999999999995</v>
      </c>
      <c r="V246" s="411">
        <f t="shared" si="574"/>
        <v>35.611999999999995</v>
      </c>
      <c r="W246" s="411">
        <f t="shared" si="575"/>
        <v>35.611999999999995</v>
      </c>
      <c r="X246" s="411">
        <f t="shared" si="576"/>
        <v>35.611999999999995</v>
      </c>
      <c r="Y246" s="409" t="s">
        <v>244</v>
      </c>
      <c r="Z246" s="455">
        <f t="shared" si="593"/>
        <v>35.611999999999995</v>
      </c>
      <c r="AA246" s="403">
        <f t="shared" si="594"/>
        <v>35.611999999999995</v>
      </c>
      <c r="AB246" s="403">
        <f t="shared" si="595"/>
        <v>35.611999999999995</v>
      </c>
      <c r="AC246" s="403">
        <f t="shared" si="596"/>
        <v>35.611999999999995</v>
      </c>
      <c r="AD246" s="403">
        <f t="shared" si="597"/>
        <v>35.611999999999995</v>
      </c>
      <c r="AE246" s="403">
        <f t="shared" si="598"/>
        <v>35.611999999999995</v>
      </c>
      <c r="AF246" s="403">
        <f t="shared" si="599"/>
        <v>35.611999999999995</v>
      </c>
      <c r="AG246" s="403">
        <f t="shared" si="600"/>
        <v>35.611999999999995</v>
      </c>
      <c r="AH246" s="323"/>
      <c r="AI246" s="403">
        <f t="shared" si="601"/>
        <v>22.22</v>
      </c>
      <c r="AJ246" s="403">
        <f t="shared" si="602"/>
        <v>22.22</v>
      </c>
      <c r="AK246" s="403">
        <f t="shared" si="603"/>
        <v>22.22</v>
      </c>
      <c r="AL246" s="403">
        <f t="shared" si="604"/>
        <v>22.22</v>
      </c>
      <c r="AM246" s="403">
        <f t="shared" si="605"/>
        <v>22.22</v>
      </c>
      <c r="AN246" s="403">
        <f t="shared" si="606"/>
        <v>22.22</v>
      </c>
      <c r="AO246" s="403">
        <f t="shared" si="607"/>
        <v>22.22</v>
      </c>
      <c r="AP246" s="403">
        <f t="shared" si="608"/>
        <v>22.22</v>
      </c>
    </row>
    <row r="247" spans="1:42" ht="22.5">
      <c r="A247" s="191"/>
      <c r="B247" s="689">
        <v>13</v>
      </c>
      <c r="C247" s="417" t="s">
        <v>475</v>
      </c>
      <c r="D247" s="422" t="s">
        <v>320</v>
      </c>
      <c r="E247" s="566"/>
      <c r="F247" s="566"/>
      <c r="G247" s="566"/>
      <c r="H247" s="566"/>
      <c r="I247" s="566"/>
      <c r="J247" s="566"/>
      <c r="K247" s="566"/>
      <c r="L247" s="566"/>
      <c r="M247" s="567">
        <f t="shared" si="610"/>
        <v>24.825499999999998</v>
      </c>
      <c r="N247" s="567">
        <f>'附件4-8甲供材料清单'!K104+'附件4-8甲供材料清单'!K105</f>
        <v>17.95</v>
      </c>
      <c r="O247" s="567">
        <v>1</v>
      </c>
      <c r="P247" s="567">
        <v>6.6959999999999997</v>
      </c>
      <c r="Q247" s="411">
        <f t="shared" si="569"/>
        <v>0</v>
      </c>
      <c r="R247" s="411">
        <f t="shared" si="570"/>
        <v>0</v>
      </c>
      <c r="S247" s="411">
        <f t="shared" si="571"/>
        <v>0</v>
      </c>
      <c r="T247" s="411">
        <f t="shared" si="572"/>
        <v>0</v>
      </c>
      <c r="U247" s="411">
        <f t="shared" si="573"/>
        <v>0</v>
      </c>
      <c r="V247" s="411">
        <f t="shared" si="574"/>
        <v>0</v>
      </c>
      <c r="W247" s="411">
        <f t="shared" si="575"/>
        <v>0</v>
      </c>
      <c r="X247" s="411">
        <f t="shared" si="576"/>
        <v>0</v>
      </c>
      <c r="Y247" s="409" t="s">
        <v>244</v>
      </c>
      <c r="Z247" s="455">
        <f t="shared" si="593"/>
        <v>0</v>
      </c>
      <c r="AA247" s="403">
        <f t="shared" si="594"/>
        <v>0</v>
      </c>
      <c r="AB247" s="403">
        <f t="shared" si="595"/>
        <v>0</v>
      </c>
      <c r="AC247" s="403">
        <f t="shared" si="596"/>
        <v>0</v>
      </c>
      <c r="AD247" s="403">
        <f t="shared" si="597"/>
        <v>0</v>
      </c>
      <c r="AE247" s="403">
        <f t="shared" si="598"/>
        <v>0</v>
      </c>
      <c r="AF247" s="403">
        <f t="shared" si="599"/>
        <v>0</v>
      </c>
      <c r="AG247" s="403">
        <f t="shared" si="600"/>
        <v>0</v>
      </c>
      <c r="AH247" s="323"/>
      <c r="AI247" s="403">
        <f t="shared" si="601"/>
        <v>0</v>
      </c>
      <c r="AJ247" s="403">
        <f t="shared" si="602"/>
        <v>0</v>
      </c>
      <c r="AK247" s="403">
        <f t="shared" si="603"/>
        <v>0</v>
      </c>
      <c r="AL247" s="403">
        <f t="shared" si="604"/>
        <v>0</v>
      </c>
      <c r="AM247" s="403">
        <f t="shared" si="605"/>
        <v>0</v>
      </c>
      <c r="AN247" s="403">
        <f t="shared" si="606"/>
        <v>0</v>
      </c>
      <c r="AO247" s="403">
        <f t="shared" si="607"/>
        <v>0</v>
      </c>
      <c r="AP247" s="403">
        <f t="shared" si="608"/>
        <v>0</v>
      </c>
    </row>
    <row r="248" spans="1:42" ht="22.5">
      <c r="A248" s="191"/>
      <c r="B248" s="689">
        <v>14</v>
      </c>
      <c r="C248" s="417" t="s">
        <v>476</v>
      </c>
      <c r="D248" s="422" t="s">
        <v>320</v>
      </c>
      <c r="E248" s="566"/>
      <c r="F248" s="566"/>
      <c r="G248" s="566"/>
      <c r="H248" s="566"/>
      <c r="I248" s="566"/>
      <c r="J248" s="566"/>
      <c r="K248" s="566"/>
      <c r="L248" s="566"/>
      <c r="M248" s="567">
        <f t="shared" si="610"/>
        <v>24.825499999999998</v>
      </c>
      <c r="N248" s="567">
        <f>'附件4-8甲供材料清单'!K100+'附件4-8甲供材料清单'!K105</f>
        <v>17.95</v>
      </c>
      <c r="O248" s="567">
        <v>1</v>
      </c>
      <c r="P248" s="567">
        <v>6.6959999999999997</v>
      </c>
      <c r="Q248" s="411">
        <f t="shared" si="569"/>
        <v>0</v>
      </c>
      <c r="R248" s="411">
        <f t="shared" si="570"/>
        <v>0</v>
      </c>
      <c r="S248" s="411">
        <f t="shared" si="571"/>
        <v>0</v>
      </c>
      <c r="T248" s="411">
        <f t="shared" si="572"/>
        <v>0</v>
      </c>
      <c r="U248" s="411">
        <f t="shared" si="573"/>
        <v>0</v>
      </c>
      <c r="V248" s="411">
        <f t="shared" si="574"/>
        <v>0</v>
      </c>
      <c r="W248" s="411">
        <f t="shared" si="575"/>
        <v>0</v>
      </c>
      <c r="X248" s="411">
        <f t="shared" si="576"/>
        <v>0</v>
      </c>
      <c r="Y248" s="409" t="s">
        <v>244</v>
      </c>
      <c r="Z248" s="455">
        <f t="shared" si="593"/>
        <v>0</v>
      </c>
      <c r="AA248" s="403">
        <f t="shared" si="594"/>
        <v>0</v>
      </c>
      <c r="AB248" s="403">
        <f t="shared" si="595"/>
        <v>0</v>
      </c>
      <c r="AC248" s="403">
        <f t="shared" si="596"/>
        <v>0</v>
      </c>
      <c r="AD248" s="403">
        <f t="shared" si="597"/>
        <v>0</v>
      </c>
      <c r="AE248" s="403">
        <f t="shared" si="598"/>
        <v>0</v>
      </c>
      <c r="AF248" s="403">
        <f t="shared" si="599"/>
        <v>0</v>
      </c>
      <c r="AG248" s="403">
        <f t="shared" si="600"/>
        <v>0</v>
      </c>
      <c r="AH248" s="323"/>
      <c r="AI248" s="403">
        <f t="shared" si="601"/>
        <v>0</v>
      </c>
      <c r="AJ248" s="403">
        <f t="shared" si="602"/>
        <v>0</v>
      </c>
      <c r="AK248" s="403">
        <f t="shared" si="603"/>
        <v>0</v>
      </c>
      <c r="AL248" s="403">
        <f t="shared" si="604"/>
        <v>0</v>
      </c>
      <c r="AM248" s="403">
        <f t="shared" si="605"/>
        <v>0</v>
      </c>
      <c r="AN248" s="403">
        <f t="shared" si="606"/>
        <v>0</v>
      </c>
      <c r="AO248" s="403">
        <f t="shared" si="607"/>
        <v>0</v>
      </c>
      <c r="AP248" s="403">
        <f t="shared" si="608"/>
        <v>0</v>
      </c>
    </row>
    <row r="249" spans="1:42" ht="33.75">
      <c r="A249" s="191"/>
      <c r="B249" s="689">
        <v>15</v>
      </c>
      <c r="C249" s="417" t="s">
        <v>477</v>
      </c>
      <c r="D249" s="422" t="s">
        <v>320</v>
      </c>
      <c r="E249" s="566">
        <v>1</v>
      </c>
      <c r="F249" s="566">
        <v>2</v>
      </c>
      <c r="G249" s="566">
        <v>2</v>
      </c>
      <c r="H249" s="566">
        <v>1</v>
      </c>
      <c r="I249" s="566">
        <v>1</v>
      </c>
      <c r="J249" s="566">
        <v>2</v>
      </c>
      <c r="K249" s="566">
        <v>1</v>
      </c>
      <c r="L249" s="566">
        <v>1</v>
      </c>
      <c r="M249" s="567">
        <f t="shared" si="610"/>
        <v>20.987500000000001</v>
      </c>
      <c r="N249" s="567">
        <f>'附件4-8甲供材料清单'!K101+'附件4-8甲供材料清单'!K105</f>
        <v>14.15</v>
      </c>
      <c r="O249" s="567">
        <v>1</v>
      </c>
      <c r="P249" s="567">
        <v>6.6959999999999997</v>
      </c>
      <c r="Q249" s="411">
        <f t="shared" si="569"/>
        <v>20.987500000000001</v>
      </c>
      <c r="R249" s="411">
        <f t="shared" si="570"/>
        <v>41.975000000000001</v>
      </c>
      <c r="S249" s="411">
        <f t="shared" si="571"/>
        <v>41.975000000000001</v>
      </c>
      <c r="T249" s="411">
        <f t="shared" si="572"/>
        <v>20.987500000000001</v>
      </c>
      <c r="U249" s="411">
        <f t="shared" si="573"/>
        <v>20.987500000000001</v>
      </c>
      <c r="V249" s="411">
        <f t="shared" si="574"/>
        <v>41.975000000000001</v>
      </c>
      <c r="W249" s="411">
        <f t="shared" si="575"/>
        <v>20.987500000000001</v>
      </c>
      <c r="X249" s="411">
        <f t="shared" si="576"/>
        <v>20.987500000000001</v>
      </c>
      <c r="Y249" s="409" t="s">
        <v>478</v>
      </c>
      <c r="Z249" s="455">
        <f t="shared" si="593"/>
        <v>20.987500000000001</v>
      </c>
      <c r="AA249" s="403">
        <f t="shared" si="594"/>
        <v>41.975000000000001</v>
      </c>
      <c r="AB249" s="403">
        <f t="shared" si="595"/>
        <v>41.975000000000001</v>
      </c>
      <c r="AC249" s="403">
        <f t="shared" si="596"/>
        <v>20.987500000000001</v>
      </c>
      <c r="AD249" s="403">
        <f t="shared" si="597"/>
        <v>20.987500000000001</v>
      </c>
      <c r="AE249" s="403">
        <f t="shared" si="598"/>
        <v>41.975000000000001</v>
      </c>
      <c r="AF249" s="403">
        <f t="shared" si="599"/>
        <v>20.987500000000001</v>
      </c>
      <c r="AG249" s="403">
        <f t="shared" si="600"/>
        <v>20.987500000000001</v>
      </c>
      <c r="AH249" s="323"/>
      <c r="AI249" s="403">
        <f t="shared" si="601"/>
        <v>14.291500000000001</v>
      </c>
      <c r="AJ249" s="403">
        <f t="shared" si="602"/>
        <v>28.583000000000002</v>
      </c>
      <c r="AK249" s="403">
        <f t="shared" si="603"/>
        <v>28.583000000000002</v>
      </c>
      <c r="AL249" s="403">
        <f t="shared" si="604"/>
        <v>14.291500000000001</v>
      </c>
      <c r="AM249" s="403">
        <f t="shared" si="605"/>
        <v>14.291500000000001</v>
      </c>
      <c r="AN249" s="403">
        <f t="shared" si="606"/>
        <v>28.583000000000002</v>
      </c>
      <c r="AO249" s="403">
        <f t="shared" si="607"/>
        <v>14.291500000000001</v>
      </c>
      <c r="AP249" s="403">
        <f t="shared" si="608"/>
        <v>14.291500000000001</v>
      </c>
    </row>
    <row r="250" spans="1:42" ht="22.5">
      <c r="A250" s="191"/>
      <c r="B250" s="689">
        <v>16</v>
      </c>
      <c r="C250" s="417" t="s">
        <v>479</v>
      </c>
      <c r="D250" s="418" t="s">
        <v>320</v>
      </c>
      <c r="E250" s="566">
        <v>1</v>
      </c>
      <c r="F250" s="566">
        <v>1</v>
      </c>
      <c r="G250" s="566">
        <v>1</v>
      </c>
      <c r="H250" s="566">
        <v>1</v>
      </c>
      <c r="I250" s="566">
        <v>1</v>
      </c>
      <c r="J250" s="566">
        <v>1</v>
      </c>
      <c r="K250" s="566">
        <v>1</v>
      </c>
      <c r="L250" s="566">
        <v>1</v>
      </c>
      <c r="M250" s="567">
        <f t="shared" si="610"/>
        <v>6.8962000000000003</v>
      </c>
      <c r="N250" s="567">
        <f>'附件4-8甲供材料清单'!K106</f>
        <v>3.62</v>
      </c>
      <c r="O250" s="567">
        <v>1</v>
      </c>
      <c r="P250" s="567">
        <v>3.24</v>
      </c>
      <c r="Q250" s="411">
        <f t="shared" si="569"/>
        <v>6.8962000000000003</v>
      </c>
      <c r="R250" s="411">
        <f t="shared" si="570"/>
        <v>6.8962000000000003</v>
      </c>
      <c r="S250" s="411">
        <f t="shared" si="571"/>
        <v>6.8962000000000003</v>
      </c>
      <c r="T250" s="411">
        <f t="shared" si="572"/>
        <v>6.8962000000000003</v>
      </c>
      <c r="U250" s="411">
        <f t="shared" si="573"/>
        <v>6.8962000000000003</v>
      </c>
      <c r="V250" s="411">
        <f t="shared" si="574"/>
        <v>6.8962000000000003</v>
      </c>
      <c r="W250" s="411">
        <f t="shared" si="575"/>
        <v>6.8962000000000003</v>
      </c>
      <c r="X250" s="411">
        <f t="shared" si="576"/>
        <v>6.8962000000000003</v>
      </c>
      <c r="Y250" s="409" t="s">
        <v>244</v>
      </c>
      <c r="Z250" s="455">
        <f t="shared" si="593"/>
        <v>6.8962000000000003</v>
      </c>
      <c r="AA250" s="403">
        <f t="shared" si="594"/>
        <v>6.8962000000000003</v>
      </c>
      <c r="AB250" s="403">
        <f t="shared" si="595"/>
        <v>6.8962000000000003</v>
      </c>
      <c r="AC250" s="403">
        <f t="shared" si="596"/>
        <v>6.8962000000000003</v>
      </c>
      <c r="AD250" s="403">
        <f t="shared" si="597"/>
        <v>6.8962000000000003</v>
      </c>
      <c r="AE250" s="403">
        <f t="shared" si="598"/>
        <v>6.8962000000000003</v>
      </c>
      <c r="AF250" s="403">
        <f t="shared" si="599"/>
        <v>6.8962000000000003</v>
      </c>
      <c r="AG250" s="403">
        <f t="shared" si="600"/>
        <v>6.8962000000000003</v>
      </c>
      <c r="AH250" s="323"/>
      <c r="AI250" s="403">
        <f t="shared" si="601"/>
        <v>3.6562000000000001</v>
      </c>
      <c r="AJ250" s="403">
        <f t="shared" si="602"/>
        <v>3.6562000000000001</v>
      </c>
      <c r="AK250" s="403">
        <f t="shared" si="603"/>
        <v>3.6562000000000001</v>
      </c>
      <c r="AL250" s="403">
        <f t="shared" si="604"/>
        <v>3.6562000000000001</v>
      </c>
      <c r="AM250" s="403">
        <f t="shared" si="605"/>
        <v>3.6562000000000001</v>
      </c>
      <c r="AN250" s="403">
        <f t="shared" si="606"/>
        <v>3.6562000000000001</v>
      </c>
      <c r="AO250" s="403">
        <f t="shared" si="607"/>
        <v>3.6562000000000001</v>
      </c>
      <c r="AP250" s="403">
        <f t="shared" si="608"/>
        <v>3.6562000000000001</v>
      </c>
    </row>
    <row r="251" spans="1:42" s="384" customFormat="1">
      <c r="A251" s="191"/>
      <c r="B251" s="689">
        <v>17</v>
      </c>
      <c r="C251" s="417" t="s">
        <v>480</v>
      </c>
      <c r="D251" s="418" t="s">
        <v>270</v>
      </c>
      <c r="E251" s="566">
        <v>1</v>
      </c>
      <c r="F251" s="566">
        <v>1</v>
      </c>
      <c r="G251" s="566">
        <v>1</v>
      </c>
      <c r="H251" s="566">
        <v>1</v>
      </c>
      <c r="I251" s="566">
        <v>1</v>
      </c>
      <c r="J251" s="566">
        <v>1</v>
      </c>
      <c r="K251" s="566">
        <v>1</v>
      </c>
      <c r="L251" s="566">
        <v>1</v>
      </c>
      <c r="M251" s="567">
        <f t="shared" si="610"/>
        <v>4.7549999999999999</v>
      </c>
      <c r="N251" s="567">
        <v>1.5</v>
      </c>
      <c r="O251" s="567">
        <v>1</v>
      </c>
      <c r="P251" s="567">
        <v>3.24</v>
      </c>
      <c r="Q251" s="402">
        <f t="shared" si="569"/>
        <v>4.7549999999999999</v>
      </c>
      <c r="R251" s="402">
        <f t="shared" si="570"/>
        <v>4.7549999999999999</v>
      </c>
      <c r="S251" s="402">
        <f t="shared" si="571"/>
        <v>4.7549999999999999</v>
      </c>
      <c r="T251" s="402">
        <f t="shared" si="572"/>
        <v>4.7549999999999999</v>
      </c>
      <c r="U251" s="402">
        <f t="shared" si="573"/>
        <v>4.7549999999999999</v>
      </c>
      <c r="V251" s="402">
        <f t="shared" si="574"/>
        <v>4.7549999999999999</v>
      </c>
      <c r="W251" s="402">
        <f t="shared" si="575"/>
        <v>4.7549999999999999</v>
      </c>
      <c r="X251" s="402">
        <f t="shared" si="576"/>
        <v>4.7549999999999999</v>
      </c>
      <c r="Y251" s="409"/>
      <c r="Z251" s="455"/>
      <c r="AA251" s="403"/>
      <c r="AB251" s="403"/>
      <c r="AC251" s="403"/>
      <c r="AD251" s="403"/>
      <c r="AE251" s="403"/>
      <c r="AF251" s="403"/>
      <c r="AG251" s="403"/>
      <c r="AH251" s="323"/>
      <c r="AI251" s="423"/>
      <c r="AJ251" s="423"/>
      <c r="AK251" s="423"/>
      <c r="AL251" s="423"/>
      <c r="AM251" s="423"/>
      <c r="AN251" s="423"/>
      <c r="AO251" s="423"/>
      <c r="AP251" s="423"/>
    </row>
    <row r="252" spans="1:42" ht="22.5">
      <c r="A252" s="191"/>
      <c r="B252" s="689">
        <v>18</v>
      </c>
      <c r="C252" s="417" t="s">
        <v>481</v>
      </c>
      <c r="D252" s="689" t="s">
        <v>482</v>
      </c>
      <c r="E252" s="566">
        <v>2</v>
      </c>
      <c r="F252" s="566">
        <v>2</v>
      </c>
      <c r="G252" s="566">
        <v>2</v>
      </c>
      <c r="H252" s="566">
        <v>2</v>
      </c>
      <c r="I252" s="566">
        <v>2</v>
      </c>
      <c r="J252" s="566">
        <v>2</v>
      </c>
      <c r="K252" s="566">
        <v>2</v>
      </c>
      <c r="L252" s="566">
        <v>2</v>
      </c>
      <c r="M252" s="567">
        <f t="shared" si="610"/>
        <v>105.28999999999999</v>
      </c>
      <c r="N252" s="567">
        <f>'附件4-8甲供材料清单'!K48</f>
        <v>85</v>
      </c>
      <c r="O252" s="567">
        <v>1</v>
      </c>
      <c r="P252" s="567">
        <v>19.440000000000001</v>
      </c>
      <c r="Q252" s="411">
        <f t="shared" si="569"/>
        <v>210.57999999999998</v>
      </c>
      <c r="R252" s="411">
        <f t="shared" si="570"/>
        <v>210.57999999999998</v>
      </c>
      <c r="S252" s="411">
        <f t="shared" si="571"/>
        <v>210.57999999999998</v>
      </c>
      <c r="T252" s="411">
        <f t="shared" si="572"/>
        <v>210.57999999999998</v>
      </c>
      <c r="U252" s="411">
        <f t="shared" si="573"/>
        <v>210.57999999999998</v>
      </c>
      <c r="V252" s="411">
        <f t="shared" si="574"/>
        <v>210.57999999999998</v>
      </c>
      <c r="W252" s="411">
        <f t="shared" si="575"/>
        <v>210.57999999999998</v>
      </c>
      <c r="X252" s="411">
        <f t="shared" si="576"/>
        <v>210.57999999999998</v>
      </c>
      <c r="Y252" s="409" t="s">
        <v>244</v>
      </c>
      <c r="Z252" s="455">
        <f t="shared" ref="Z252" si="611">Q252</f>
        <v>210.57999999999998</v>
      </c>
      <c r="AA252" s="403">
        <f t="shared" ref="AA252:AG256" si="612">R252</f>
        <v>210.57999999999998</v>
      </c>
      <c r="AB252" s="403">
        <f t="shared" si="612"/>
        <v>210.57999999999998</v>
      </c>
      <c r="AC252" s="403">
        <f t="shared" si="612"/>
        <v>210.57999999999998</v>
      </c>
      <c r="AD252" s="403">
        <f t="shared" si="612"/>
        <v>210.57999999999998</v>
      </c>
      <c r="AE252" s="403">
        <f t="shared" si="612"/>
        <v>210.57999999999998</v>
      </c>
      <c r="AF252" s="403">
        <f t="shared" si="612"/>
        <v>210.57999999999998</v>
      </c>
      <c r="AG252" s="403">
        <f t="shared" si="612"/>
        <v>210.57999999999998</v>
      </c>
      <c r="AH252" s="323"/>
      <c r="AI252" s="403">
        <f t="shared" ref="AI252" si="613">E252*$N252*(1+$O252%)</f>
        <v>171.7</v>
      </c>
      <c r="AJ252" s="403">
        <f t="shared" ref="AJ252:AP256" si="614">F252*$N252*(1+$O252%)</f>
        <v>171.7</v>
      </c>
      <c r="AK252" s="403">
        <f t="shared" si="614"/>
        <v>171.7</v>
      </c>
      <c r="AL252" s="403">
        <f t="shared" si="614"/>
        <v>171.7</v>
      </c>
      <c r="AM252" s="403">
        <f t="shared" si="614"/>
        <v>171.7</v>
      </c>
      <c r="AN252" s="403">
        <f t="shared" si="614"/>
        <v>171.7</v>
      </c>
      <c r="AO252" s="403">
        <f t="shared" si="614"/>
        <v>171.7</v>
      </c>
      <c r="AP252" s="403">
        <f t="shared" si="614"/>
        <v>171.7</v>
      </c>
    </row>
    <row r="253" spans="1:42" ht="22.5">
      <c r="A253" s="191"/>
      <c r="B253" s="689">
        <v>19</v>
      </c>
      <c r="C253" s="417" t="s">
        <v>483</v>
      </c>
      <c r="D253" s="689" t="s">
        <v>482</v>
      </c>
      <c r="E253" s="566">
        <v>1</v>
      </c>
      <c r="F253" s="566">
        <v>1</v>
      </c>
      <c r="G253" s="566">
        <v>1</v>
      </c>
      <c r="H253" s="566">
        <v>1</v>
      </c>
      <c r="I253" s="566">
        <v>1</v>
      </c>
      <c r="J253" s="566">
        <v>1</v>
      </c>
      <c r="K253" s="566">
        <v>1</v>
      </c>
      <c r="L253" s="566">
        <v>1</v>
      </c>
      <c r="M253" s="567">
        <f t="shared" si="610"/>
        <v>833.71</v>
      </c>
      <c r="N253" s="567">
        <f>'附件4-8甲供材料清单'!K38</f>
        <v>695</v>
      </c>
      <c r="O253" s="567">
        <v>1</v>
      </c>
      <c r="P253" s="567">
        <v>131.76</v>
      </c>
      <c r="Q253" s="411">
        <f t="shared" si="569"/>
        <v>833.71</v>
      </c>
      <c r="R253" s="411">
        <f t="shared" si="570"/>
        <v>833.71</v>
      </c>
      <c r="S253" s="411">
        <f t="shared" si="571"/>
        <v>833.71</v>
      </c>
      <c r="T253" s="411">
        <f t="shared" si="572"/>
        <v>833.71</v>
      </c>
      <c r="U253" s="411">
        <f t="shared" si="573"/>
        <v>833.71</v>
      </c>
      <c r="V253" s="411">
        <f t="shared" si="574"/>
        <v>833.71</v>
      </c>
      <c r="W253" s="411">
        <f t="shared" si="575"/>
        <v>833.71</v>
      </c>
      <c r="X253" s="411">
        <f t="shared" si="576"/>
        <v>833.71</v>
      </c>
      <c r="Y253" s="409" t="s">
        <v>244</v>
      </c>
      <c r="Z253" s="455">
        <f>Q253</f>
        <v>833.71</v>
      </c>
      <c r="AA253" s="403">
        <f t="shared" si="612"/>
        <v>833.71</v>
      </c>
      <c r="AB253" s="403">
        <f t="shared" si="612"/>
        <v>833.71</v>
      </c>
      <c r="AC253" s="403">
        <f t="shared" si="612"/>
        <v>833.71</v>
      </c>
      <c r="AD253" s="403">
        <f t="shared" si="612"/>
        <v>833.71</v>
      </c>
      <c r="AE253" s="403">
        <f t="shared" si="612"/>
        <v>833.71</v>
      </c>
      <c r="AF253" s="403">
        <f t="shared" si="612"/>
        <v>833.71</v>
      </c>
      <c r="AG253" s="403">
        <f t="shared" si="612"/>
        <v>833.71</v>
      </c>
      <c r="AH253" s="323"/>
      <c r="AI253" s="403">
        <f>E253*$N253*(1+$O253%)</f>
        <v>701.95</v>
      </c>
      <c r="AJ253" s="403">
        <f t="shared" si="614"/>
        <v>701.95</v>
      </c>
      <c r="AK253" s="403">
        <f t="shared" si="614"/>
        <v>701.95</v>
      </c>
      <c r="AL253" s="403">
        <f t="shared" si="614"/>
        <v>701.95</v>
      </c>
      <c r="AM253" s="403">
        <f t="shared" si="614"/>
        <v>701.95</v>
      </c>
      <c r="AN253" s="403">
        <f t="shared" si="614"/>
        <v>701.95</v>
      </c>
      <c r="AO253" s="403">
        <f t="shared" si="614"/>
        <v>701.95</v>
      </c>
      <c r="AP253" s="403">
        <f t="shared" si="614"/>
        <v>701.95</v>
      </c>
    </row>
    <row r="254" spans="1:42" ht="22.5">
      <c r="A254" s="191"/>
      <c r="B254" s="689">
        <v>20</v>
      </c>
      <c r="C254" s="417" t="s">
        <v>484</v>
      </c>
      <c r="D254" s="689" t="s">
        <v>482</v>
      </c>
      <c r="E254" s="566">
        <v>1</v>
      </c>
      <c r="F254" s="566">
        <v>1</v>
      </c>
      <c r="G254" s="566">
        <v>1</v>
      </c>
      <c r="H254" s="566">
        <v>1</v>
      </c>
      <c r="I254" s="566">
        <v>1</v>
      </c>
      <c r="J254" s="566">
        <v>1</v>
      </c>
      <c r="K254" s="566">
        <v>1</v>
      </c>
      <c r="L254" s="566">
        <v>1</v>
      </c>
      <c r="M254" s="567">
        <f t="shared" si="610"/>
        <v>672.11</v>
      </c>
      <c r="N254" s="567">
        <f>'附件4-8甲供材料清单'!K40</f>
        <v>535</v>
      </c>
      <c r="O254" s="567">
        <v>1</v>
      </c>
      <c r="P254" s="567">
        <v>131.76</v>
      </c>
      <c r="Q254" s="411">
        <f t="shared" si="569"/>
        <v>672.11</v>
      </c>
      <c r="R254" s="411">
        <f t="shared" si="570"/>
        <v>672.11</v>
      </c>
      <c r="S254" s="411">
        <f t="shared" si="571"/>
        <v>672.11</v>
      </c>
      <c r="T254" s="411">
        <f t="shared" si="572"/>
        <v>672.11</v>
      </c>
      <c r="U254" s="411">
        <f t="shared" si="573"/>
        <v>672.11</v>
      </c>
      <c r="V254" s="411">
        <f t="shared" si="574"/>
        <v>672.11</v>
      </c>
      <c r="W254" s="411">
        <f t="shared" si="575"/>
        <v>672.11</v>
      </c>
      <c r="X254" s="411">
        <f t="shared" si="576"/>
        <v>672.11</v>
      </c>
      <c r="Y254" s="409" t="s">
        <v>244</v>
      </c>
      <c r="Z254" s="455">
        <f>Q254</f>
        <v>672.11</v>
      </c>
      <c r="AA254" s="403">
        <f t="shared" si="612"/>
        <v>672.11</v>
      </c>
      <c r="AB254" s="403">
        <f t="shared" si="612"/>
        <v>672.11</v>
      </c>
      <c r="AC254" s="403">
        <f t="shared" si="612"/>
        <v>672.11</v>
      </c>
      <c r="AD254" s="403">
        <f t="shared" si="612"/>
        <v>672.11</v>
      </c>
      <c r="AE254" s="403">
        <f t="shared" si="612"/>
        <v>672.11</v>
      </c>
      <c r="AF254" s="403">
        <f t="shared" si="612"/>
        <v>672.11</v>
      </c>
      <c r="AG254" s="403">
        <f t="shared" si="612"/>
        <v>672.11</v>
      </c>
      <c r="AH254" s="323"/>
      <c r="AI254" s="403">
        <f>E254*$N254*(1+$O254%)</f>
        <v>540.35</v>
      </c>
      <c r="AJ254" s="403">
        <f t="shared" si="614"/>
        <v>540.35</v>
      </c>
      <c r="AK254" s="403">
        <f t="shared" si="614"/>
        <v>540.35</v>
      </c>
      <c r="AL254" s="403">
        <f t="shared" si="614"/>
        <v>540.35</v>
      </c>
      <c r="AM254" s="403">
        <f t="shared" si="614"/>
        <v>540.35</v>
      </c>
      <c r="AN254" s="403">
        <f t="shared" si="614"/>
        <v>540.35</v>
      </c>
      <c r="AO254" s="403">
        <f t="shared" si="614"/>
        <v>540.35</v>
      </c>
      <c r="AP254" s="403">
        <f t="shared" si="614"/>
        <v>540.35</v>
      </c>
    </row>
    <row r="255" spans="1:42" ht="22.5">
      <c r="A255" s="191"/>
      <c r="B255" s="689">
        <v>21</v>
      </c>
      <c r="C255" s="417" t="s">
        <v>485</v>
      </c>
      <c r="D255" s="689" t="s">
        <v>482</v>
      </c>
      <c r="E255" s="566">
        <v>1</v>
      </c>
      <c r="F255" s="566">
        <v>1</v>
      </c>
      <c r="G255" s="566">
        <v>1</v>
      </c>
      <c r="H255" s="566">
        <v>1</v>
      </c>
      <c r="I255" s="566">
        <v>1</v>
      </c>
      <c r="J255" s="566">
        <v>1</v>
      </c>
      <c r="K255" s="566">
        <v>1</v>
      </c>
      <c r="L255" s="566">
        <v>1</v>
      </c>
      <c r="M255" s="567">
        <f t="shared" si="610"/>
        <v>575.15</v>
      </c>
      <c r="N255" s="567">
        <f>'附件4-8甲供材料清单'!K39</f>
        <v>439</v>
      </c>
      <c r="O255" s="567">
        <v>1</v>
      </c>
      <c r="P255" s="567">
        <v>131.76</v>
      </c>
      <c r="Q255" s="411">
        <f t="shared" si="569"/>
        <v>575.15</v>
      </c>
      <c r="R255" s="411">
        <f t="shared" si="570"/>
        <v>575.15</v>
      </c>
      <c r="S255" s="411">
        <f t="shared" si="571"/>
        <v>575.15</v>
      </c>
      <c r="T255" s="411">
        <f t="shared" si="572"/>
        <v>575.15</v>
      </c>
      <c r="U255" s="411">
        <f t="shared" si="573"/>
        <v>575.15</v>
      </c>
      <c r="V255" s="411">
        <f t="shared" si="574"/>
        <v>575.15</v>
      </c>
      <c r="W255" s="411">
        <f t="shared" si="575"/>
        <v>575.15</v>
      </c>
      <c r="X255" s="411">
        <f t="shared" si="576"/>
        <v>575.15</v>
      </c>
      <c r="Y255" s="409" t="s">
        <v>244</v>
      </c>
      <c r="Z255" s="455">
        <f>Q255</f>
        <v>575.15</v>
      </c>
      <c r="AA255" s="403">
        <f t="shared" si="612"/>
        <v>575.15</v>
      </c>
      <c r="AB255" s="403">
        <f t="shared" si="612"/>
        <v>575.15</v>
      </c>
      <c r="AC255" s="403">
        <f t="shared" si="612"/>
        <v>575.15</v>
      </c>
      <c r="AD255" s="403">
        <f t="shared" si="612"/>
        <v>575.15</v>
      </c>
      <c r="AE255" s="403">
        <f t="shared" si="612"/>
        <v>575.15</v>
      </c>
      <c r="AF255" s="403">
        <f t="shared" si="612"/>
        <v>575.15</v>
      </c>
      <c r="AG255" s="403">
        <f t="shared" si="612"/>
        <v>575.15</v>
      </c>
      <c r="AH255" s="323"/>
      <c r="AI255" s="403">
        <f>E255*$N255*(1+$O255%)</f>
        <v>443.39</v>
      </c>
      <c r="AJ255" s="403">
        <f t="shared" si="614"/>
        <v>443.39</v>
      </c>
      <c r="AK255" s="403">
        <f t="shared" si="614"/>
        <v>443.39</v>
      </c>
      <c r="AL255" s="403">
        <f t="shared" si="614"/>
        <v>443.39</v>
      </c>
      <c r="AM255" s="403">
        <f t="shared" si="614"/>
        <v>443.39</v>
      </c>
      <c r="AN255" s="403">
        <f t="shared" si="614"/>
        <v>443.39</v>
      </c>
      <c r="AO255" s="403">
        <f t="shared" si="614"/>
        <v>443.39</v>
      </c>
      <c r="AP255" s="403">
        <f t="shared" si="614"/>
        <v>443.39</v>
      </c>
    </row>
    <row r="256" spans="1:42" s="610" customFormat="1" ht="22.5">
      <c r="A256" s="191"/>
      <c r="B256" s="689">
        <v>22</v>
      </c>
      <c r="C256" s="417" t="s">
        <v>486</v>
      </c>
      <c r="D256" s="689" t="s">
        <v>482</v>
      </c>
      <c r="E256" s="566">
        <v>0</v>
      </c>
      <c r="F256" s="566">
        <v>0</v>
      </c>
      <c r="G256" s="566">
        <v>0</v>
      </c>
      <c r="H256" s="566">
        <v>0</v>
      </c>
      <c r="I256" s="566">
        <v>2</v>
      </c>
      <c r="J256" s="566">
        <v>0</v>
      </c>
      <c r="K256" s="566">
        <v>2</v>
      </c>
      <c r="L256" s="566">
        <v>0</v>
      </c>
      <c r="M256" s="567">
        <f t="shared" si="610"/>
        <v>79.03</v>
      </c>
      <c r="N256" s="567">
        <f>'附件4-8甲供材料清单'!K41</f>
        <v>59</v>
      </c>
      <c r="O256" s="567">
        <v>1</v>
      </c>
      <c r="P256" s="567">
        <v>19.440000000000001</v>
      </c>
      <c r="Q256" s="411">
        <f t="shared" si="569"/>
        <v>0</v>
      </c>
      <c r="R256" s="411">
        <f t="shared" si="570"/>
        <v>0</v>
      </c>
      <c r="S256" s="411">
        <f t="shared" si="571"/>
        <v>0</v>
      </c>
      <c r="T256" s="411">
        <f t="shared" si="572"/>
        <v>0</v>
      </c>
      <c r="U256" s="411">
        <f t="shared" si="573"/>
        <v>158.06</v>
      </c>
      <c r="V256" s="411">
        <f t="shared" si="574"/>
        <v>0</v>
      </c>
      <c r="W256" s="411">
        <f t="shared" si="575"/>
        <v>158.06</v>
      </c>
      <c r="X256" s="411">
        <f t="shared" si="576"/>
        <v>0</v>
      </c>
      <c r="Y256" s="409" t="s">
        <v>244</v>
      </c>
      <c r="Z256" s="455">
        <f>Q256</f>
        <v>0</v>
      </c>
      <c r="AA256" s="403">
        <f t="shared" si="612"/>
        <v>0</v>
      </c>
      <c r="AB256" s="403">
        <f t="shared" si="612"/>
        <v>0</v>
      </c>
      <c r="AC256" s="403">
        <f t="shared" si="612"/>
        <v>0</v>
      </c>
      <c r="AD256" s="403">
        <f t="shared" si="612"/>
        <v>158.06</v>
      </c>
      <c r="AE256" s="403">
        <f t="shared" si="612"/>
        <v>0</v>
      </c>
      <c r="AF256" s="403">
        <f t="shared" si="612"/>
        <v>158.06</v>
      </c>
      <c r="AG256" s="403">
        <f t="shared" si="612"/>
        <v>0</v>
      </c>
      <c r="AH256" s="323"/>
      <c r="AI256" s="403">
        <f>E256*$N256*(1+$O256%)</f>
        <v>0</v>
      </c>
      <c r="AJ256" s="403">
        <f t="shared" si="614"/>
        <v>0</v>
      </c>
      <c r="AK256" s="403">
        <f t="shared" si="614"/>
        <v>0</v>
      </c>
      <c r="AL256" s="403">
        <f t="shared" si="614"/>
        <v>0</v>
      </c>
      <c r="AM256" s="403">
        <f t="shared" si="614"/>
        <v>119.18</v>
      </c>
      <c r="AN256" s="403">
        <f t="shared" si="614"/>
        <v>0</v>
      </c>
      <c r="AO256" s="403">
        <f t="shared" si="614"/>
        <v>119.18</v>
      </c>
      <c r="AP256" s="403">
        <f t="shared" si="614"/>
        <v>0</v>
      </c>
    </row>
    <row r="257" spans="1:42" s="384" customFormat="1">
      <c r="A257" s="191"/>
      <c r="B257" s="689">
        <v>23</v>
      </c>
      <c r="C257" s="417" t="s">
        <v>487</v>
      </c>
      <c r="D257" s="689" t="s">
        <v>482</v>
      </c>
      <c r="E257" s="569"/>
      <c r="F257" s="569"/>
      <c r="G257" s="566"/>
      <c r="H257" s="569"/>
      <c r="I257" s="566"/>
      <c r="J257" s="566"/>
      <c r="K257" s="566"/>
      <c r="L257" s="566"/>
      <c r="M257" s="567">
        <f t="shared" si="610"/>
        <v>48.31</v>
      </c>
      <c r="N257" s="567">
        <v>35</v>
      </c>
      <c r="O257" s="567">
        <v>1</v>
      </c>
      <c r="P257" s="567">
        <v>12.96</v>
      </c>
      <c r="Q257" s="402">
        <f t="shared" si="569"/>
        <v>0</v>
      </c>
      <c r="R257" s="402">
        <f t="shared" si="570"/>
        <v>0</v>
      </c>
      <c r="S257" s="402">
        <f t="shared" si="571"/>
        <v>0</v>
      </c>
      <c r="T257" s="402">
        <f t="shared" si="572"/>
        <v>0</v>
      </c>
      <c r="U257" s="402">
        <f t="shared" si="573"/>
        <v>0</v>
      </c>
      <c r="V257" s="402">
        <f t="shared" si="574"/>
        <v>0</v>
      </c>
      <c r="W257" s="402">
        <f t="shared" si="575"/>
        <v>0</v>
      </c>
      <c r="X257" s="402">
        <f t="shared" si="576"/>
        <v>0</v>
      </c>
      <c r="Y257" s="409"/>
      <c r="Z257" s="455"/>
      <c r="AA257" s="403"/>
      <c r="AB257" s="403"/>
      <c r="AC257" s="403"/>
      <c r="AD257" s="403"/>
      <c r="AE257" s="403"/>
      <c r="AF257" s="403"/>
      <c r="AG257" s="403"/>
      <c r="AH257" s="323"/>
      <c r="AI257" s="403"/>
      <c r="AJ257" s="403"/>
      <c r="AK257" s="403"/>
      <c r="AL257" s="403"/>
      <c r="AM257" s="403"/>
      <c r="AN257" s="403"/>
      <c r="AO257" s="403"/>
      <c r="AP257" s="403"/>
    </row>
    <row r="258" spans="1:42" ht="22.5">
      <c r="A258" s="191"/>
      <c r="B258" s="689">
        <v>24</v>
      </c>
      <c r="C258" s="417" t="s">
        <v>488</v>
      </c>
      <c r="D258" s="689" t="s">
        <v>482</v>
      </c>
      <c r="E258" s="566">
        <v>4</v>
      </c>
      <c r="F258" s="566">
        <v>4</v>
      </c>
      <c r="G258" s="566">
        <v>4</v>
      </c>
      <c r="H258" s="566">
        <v>4</v>
      </c>
      <c r="I258" s="566">
        <v>4</v>
      </c>
      <c r="J258" s="566">
        <v>4</v>
      </c>
      <c r="K258" s="566">
        <v>4</v>
      </c>
      <c r="L258" s="566">
        <v>4</v>
      </c>
      <c r="M258" s="567">
        <f t="shared" si="610"/>
        <v>38.21</v>
      </c>
      <c r="N258" s="567">
        <f>'附件4-8甲供材料清单'!K46</f>
        <v>25</v>
      </c>
      <c r="O258" s="567">
        <v>1</v>
      </c>
      <c r="P258" s="567">
        <v>12.96</v>
      </c>
      <c r="Q258" s="411">
        <f t="shared" si="569"/>
        <v>152.84</v>
      </c>
      <c r="R258" s="411">
        <f t="shared" si="570"/>
        <v>152.84</v>
      </c>
      <c r="S258" s="411">
        <f t="shared" si="571"/>
        <v>152.84</v>
      </c>
      <c r="T258" s="411">
        <f t="shared" si="572"/>
        <v>152.84</v>
      </c>
      <c r="U258" s="411">
        <f t="shared" si="573"/>
        <v>152.84</v>
      </c>
      <c r="V258" s="411">
        <f t="shared" si="574"/>
        <v>152.84</v>
      </c>
      <c r="W258" s="411">
        <f t="shared" si="575"/>
        <v>152.84</v>
      </c>
      <c r="X258" s="411">
        <f t="shared" si="576"/>
        <v>152.84</v>
      </c>
      <c r="Y258" s="409" t="s">
        <v>244</v>
      </c>
      <c r="Z258" s="455">
        <f t="shared" ref="Z258" si="615">Q258</f>
        <v>152.84</v>
      </c>
      <c r="AA258" s="403">
        <f t="shared" ref="AA258" si="616">R258</f>
        <v>152.84</v>
      </c>
      <c r="AB258" s="403">
        <f t="shared" ref="AB258" si="617">S258</f>
        <v>152.84</v>
      </c>
      <c r="AC258" s="403">
        <f t="shared" ref="AC258" si="618">T258</f>
        <v>152.84</v>
      </c>
      <c r="AD258" s="403">
        <f t="shared" ref="AD258" si="619">U258</f>
        <v>152.84</v>
      </c>
      <c r="AE258" s="403">
        <f t="shared" ref="AE258" si="620">V258</f>
        <v>152.84</v>
      </c>
      <c r="AF258" s="403">
        <f t="shared" ref="AF258" si="621">W258</f>
        <v>152.84</v>
      </c>
      <c r="AG258" s="403">
        <f t="shared" ref="AG258" si="622">X258</f>
        <v>152.84</v>
      </c>
      <c r="AH258" s="323"/>
      <c r="AI258" s="403">
        <f t="shared" ref="AI258" si="623">E258*$N258*(1+$O258%)</f>
        <v>101</v>
      </c>
      <c r="AJ258" s="403">
        <f t="shared" ref="AJ258" si="624">F258*$N258*(1+$O258%)</f>
        <v>101</v>
      </c>
      <c r="AK258" s="403">
        <f t="shared" ref="AK258" si="625">G258*$N258*(1+$O258%)</f>
        <v>101</v>
      </c>
      <c r="AL258" s="403">
        <f t="shared" ref="AL258" si="626">H258*$N258*(1+$O258%)</f>
        <v>101</v>
      </c>
      <c r="AM258" s="403">
        <f t="shared" ref="AM258" si="627">I258*$N258*(1+$O258%)</f>
        <v>101</v>
      </c>
      <c r="AN258" s="403">
        <f t="shared" ref="AN258" si="628">J258*$N258*(1+$O258%)</f>
        <v>101</v>
      </c>
      <c r="AO258" s="403">
        <f t="shared" ref="AO258" si="629">K258*$N258*(1+$O258%)</f>
        <v>101</v>
      </c>
      <c r="AP258" s="403">
        <f t="shared" ref="AP258" si="630">L258*$N258*(1+$O258%)</f>
        <v>101</v>
      </c>
    </row>
    <row r="259" spans="1:42" ht="22.5">
      <c r="A259" s="191"/>
      <c r="B259" s="689">
        <v>25</v>
      </c>
      <c r="C259" s="417" t="s">
        <v>489</v>
      </c>
      <c r="D259" s="689" t="s">
        <v>482</v>
      </c>
      <c r="E259" s="569"/>
      <c r="F259" s="569"/>
      <c r="G259" s="566"/>
      <c r="H259" s="566"/>
      <c r="I259" s="566"/>
      <c r="J259" s="566"/>
      <c r="K259" s="566"/>
      <c r="L259" s="566"/>
      <c r="M259" s="567">
        <f t="shared" si="610"/>
        <v>216.39</v>
      </c>
      <c r="N259" s="567">
        <f>'附件4-8甲供材料清单'!K42</f>
        <v>195</v>
      </c>
      <c r="O259" s="567">
        <v>1</v>
      </c>
      <c r="P259" s="567">
        <v>19.440000000000001</v>
      </c>
      <c r="Q259" s="411">
        <f t="shared" si="569"/>
        <v>0</v>
      </c>
      <c r="R259" s="411">
        <f t="shared" si="570"/>
        <v>0</v>
      </c>
      <c r="S259" s="411">
        <f t="shared" si="571"/>
        <v>0</v>
      </c>
      <c r="T259" s="411">
        <f t="shared" si="572"/>
        <v>0</v>
      </c>
      <c r="U259" s="411">
        <f t="shared" si="573"/>
        <v>0</v>
      </c>
      <c r="V259" s="411">
        <f t="shared" si="574"/>
        <v>0</v>
      </c>
      <c r="W259" s="411">
        <f t="shared" si="575"/>
        <v>0</v>
      </c>
      <c r="X259" s="411">
        <f t="shared" si="576"/>
        <v>0</v>
      </c>
      <c r="Y259" s="409" t="s">
        <v>244</v>
      </c>
      <c r="Z259" s="455">
        <f t="shared" ref="Z259:AG264" si="631">Q259</f>
        <v>0</v>
      </c>
      <c r="AA259" s="403">
        <f t="shared" si="631"/>
        <v>0</v>
      </c>
      <c r="AB259" s="403">
        <f t="shared" si="631"/>
        <v>0</v>
      </c>
      <c r="AC259" s="403">
        <f t="shared" si="631"/>
        <v>0</v>
      </c>
      <c r="AD259" s="403">
        <f t="shared" si="631"/>
        <v>0</v>
      </c>
      <c r="AE259" s="403">
        <f t="shared" si="631"/>
        <v>0</v>
      </c>
      <c r="AF259" s="403">
        <f t="shared" si="631"/>
        <v>0</v>
      </c>
      <c r="AG259" s="403">
        <f t="shared" si="631"/>
        <v>0</v>
      </c>
      <c r="AH259" s="323"/>
      <c r="AI259" s="403">
        <f t="shared" ref="AI259:AP264" si="632">E259*$N259*(1+$O259%)</f>
        <v>0</v>
      </c>
      <c r="AJ259" s="403">
        <f t="shared" si="632"/>
        <v>0</v>
      </c>
      <c r="AK259" s="403">
        <f t="shared" si="632"/>
        <v>0</v>
      </c>
      <c r="AL259" s="403">
        <f t="shared" si="632"/>
        <v>0</v>
      </c>
      <c r="AM259" s="403">
        <f t="shared" si="632"/>
        <v>0</v>
      </c>
      <c r="AN259" s="403">
        <f t="shared" si="632"/>
        <v>0</v>
      </c>
      <c r="AO259" s="403">
        <f t="shared" si="632"/>
        <v>0</v>
      </c>
      <c r="AP259" s="403">
        <f t="shared" si="632"/>
        <v>0</v>
      </c>
    </row>
    <row r="260" spans="1:42" ht="22.5">
      <c r="A260" s="191"/>
      <c r="B260" s="689">
        <v>26</v>
      </c>
      <c r="C260" s="417" t="s">
        <v>490</v>
      </c>
      <c r="D260" s="689" t="s">
        <v>482</v>
      </c>
      <c r="E260" s="566">
        <v>1</v>
      </c>
      <c r="F260" s="566">
        <v>2</v>
      </c>
      <c r="G260" s="566">
        <v>2</v>
      </c>
      <c r="H260" s="566">
        <v>1</v>
      </c>
      <c r="I260" s="566">
        <v>2</v>
      </c>
      <c r="J260" s="566">
        <v>2</v>
      </c>
      <c r="K260" s="566">
        <v>2</v>
      </c>
      <c r="L260" s="566">
        <v>1</v>
      </c>
      <c r="M260" s="567">
        <f t="shared" si="610"/>
        <v>33.159999999999997</v>
      </c>
      <c r="N260" s="567">
        <f>'附件4-8甲供材料清单'!K47</f>
        <v>20</v>
      </c>
      <c r="O260" s="567">
        <v>1</v>
      </c>
      <c r="P260" s="567">
        <v>12.96</v>
      </c>
      <c r="Q260" s="411">
        <f t="shared" si="569"/>
        <v>33.159999999999997</v>
      </c>
      <c r="R260" s="411">
        <f t="shared" si="570"/>
        <v>66.319999999999993</v>
      </c>
      <c r="S260" s="411">
        <f t="shared" si="571"/>
        <v>66.319999999999993</v>
      </c>
      <c r="T260" s="411">
        <f t="shared" si="572"/>
        <v>33.159999999999997</v>
      </c>
      <c r="U260" s="411">
        <f t="shared" si="573"/>
        <v>66.319999999999993</v>
      </c>
      <c r="V260" s="411">
        <f t="shared" si="574"/>
        <v>66.319999999999993</v>
      </c>
      <c r="W260" s="411">
        <f t="shared" si="575"/>
        <v>66.319999999999993</v>
      </c>
      <c r="X260" s="411">
        <f t="shared" si="576"/>
        <v>33.159999999999997</v>
      </c>
      <c r="Y260" s="409" t="s">
        <v>244</v>
      </c>
      <c r="Z260" s="455">
        <f t="shared" si="631"/>
        <v>33.159999999999997</v>
      </c>
      <c r="AA260" s="403">
        <f t="shared" si="631"/>
        <v>66.319999999999993</v>
      </c>
      <c r="AB260" s="403">
        <f t="shared" si="631"/>
        <v>66.319999999999993</v>
      </c>
      <c r="AC260" s="403">
        <f t="shared" si="631"/>
        <v>33.159999999999997</v>
      </c>
      <c r="AD260" s="403">
        <f t="shared" si="631"/>
        <v>66.319999999999993</v>
      </c>
      <c r="AE260" s="403">
        <f t="shared" si="631"/>
        <v>66.319999999999993</v>
      </c>
      <c r="AF260" s="403">
        <f t="shared" si="631"/>
        <v>66.319999999999993</v>
      </c>
      <c r="AG260" s="403">
        <f t="shared" si="631"/>
        <v>33.159999999999997</v>
      </c>
      <c r="AH260" s="323"/>
      <c r="AI260" s="403">
        <f t="shared" si="632"/>
        <v>20.2</v>
      </c>
      <c r="AJ260" s="403">
        <f t="shared" si="632"/>
        <v>40.4</v>
      </c>
      <c r="AK260" s="403">
        <f t="shared" si="632"/>
        <v>40.4</v>
      </c>
      <c r="AL260" s="403">
        <f t="shared" si="632"/>
        <v>20.2</v>
      </c>
      <c r="AM260" s="403">
        <f t="shared" si="632"/>
        <v>40.4</v>
      </c>
      <c r="AN260" s="403">
        <f t="shared" si="632"/>
        <v>40.4</v>
      </c>
      <c r="AO260" s="403">
        <f t="shared" si="632"/>
        <v>40.4</v>
      </c>
      <c r="AP260" s="403">
        <f t="shared" si="632"/>
        <v>20.2</v>
      </c>
    </row>
    <row r="261" spans="1:42" ht="22.5">
      <c r="A261" s="191"/>
      <c r="B261" s="689">
        <v>27</v>
      </c>
      <c r="C261" s="417" t="s">
        <v>491</v>
      </c>
      <c r="D261" s="689" t="s">
        <v>482</v>
      </c>
      <c r="E261" s="566">
        <v>2</v>
      </c>
      <c r="F261" s="566">
        <v>2</v>
      </c>
      <c r="G261" s="566">
        <v>4</v>
      </c>
      <c r="H261" s="566">
        <v>2</v>
      </c>
      <c r="I261" s="566">
        <v>2</v>
      </c>
      <c r="J261" s="566">
        <v>4</v>
      </c>
      <c r="K261" s="566">
        <v>2</v>
      </c>
      <c r="L261" s="566">
        <v>2</v>
      </c>
      <c r="M261" s="567">
        <f t="shared" si="610"/>
        <v>38.21</v>
      </c>
      <c r="N261" s="567">
        <f>'附件4-8甲供材料清单'!K46</f>
        <v>25</v>
      </c>
      <c r="O261" s="567">
        <v>1</v>
      </c>
      <c r="P261" s="567">
        <v>12.96</v>
      </c>
      <c r="Q261" s="411">
        <f t="shared" si="569"/>
        <v>76.42</v>
      </c>
      <c r="R261" s="411">
        <f t="shared" si="570"/>
        <v>76.42</v>
      </c>
      <c r="S261" s="411">
        <f t="shared" si="571"/>
        <v>152.84</v>
      </c>
      <c r="T261" s="411">
        <f t="shared" si="572"/>
        <v>76.42</v>
      </c>
      <c r="U261" s="411">
        <f t="shared" si="573"/>
        <v>76.42</v>
      </c>
      <c r="V261" s="411">
        <f t="shared" si="574"/>
        <v>152.84</v>
      </c>
      <c r="W261" s="411">
        <f t="shared" si="575"/>
        <v>76.42</v>
      </c>
      <c r="X261" s="411">
        <f t="shared" si="576"/>
        <v>76.42</v>
      </c>
      <c r="Y261" s="409" t="s">
        <v>244</v>
      </c>
      <c r="Z261" s="455">
        <f t="shared" si="631"/>
        <v>76.42</v>
      </c>
      <c r="AA261" s="403">
        <f t="shared" si="631"/>
        <v>76.42</v>
      </c>
      <c r="AB261" s="403">
        <f t="shared" si="631"/>
        <v>152.84</v>
      </c>
      <c r="AC261" s="403">
        <f t="shared" si="631"/>
        <v>76.42</v>
      </c>
      <c r="AD261" s="403">
        <f t="shared" si="631"/>
        <v>76.42</v>
      </c>
      <c r="AE261" s="403">
        <f t="shared" si="631"/>
        <v>152.84</v>
      </c>
      <c r="AF261" s="403">
        <f t="shared" si="631"/>
        <v>76.42</v>
      </c>
      <c r="AG261" s="403">
        <f t="shared" si="631"/>
        <v>76.42</v>
      </c>
      <c r="AH261" s="323"/>
      <c r="AI261" s="403">
        <f t="shared" si="632"/>
        <v>50.5</v>
      </c>
      <c r="AJ261" s="403">
        <f t="shared" si="632"/>
        <v>50.5</v>
      </c>
      <c r="AK261" s="403">
        <f t="shared" si="632"/>
        <v>101</v>
      </c>
      <c r="AL261" s="403">
        <f t="shared" si="632"/>
        <v>50.5</v>
      </c>
      <c r="AM261" s="403">
        <f t="shared" si="632"/>
        <v>50.5</v>
      </c>
      <c r="AN261" s="403">
        <f t="shared" si="632"/>
        <v>101</v>
      </c>
      <c r="AO261" s="403">
        <f t="shared" si="632"/>
        <v>50.5</v>
      </c>
      <c r="AP261" s="403">
        <f t="shared" si="632"/>
        <v>50.5</v>
      </c>
    </row>
    <row r="262" spans="1:42" ht="22.5">
      <c r="A262" s="191"/>
      <c r="B262" s="689">
        <v>28</v>
      </c>
      <c r="C262" s="417" t="s">
        <v>492</v>
      </c>
      <c r="D262" s="689" t="s">
        <v>482</v>
      </c>
      <c r="E262" s="566">
        <v>1</v>
      </c>
      <c r="F262" s="566">
        <v>2</v>
      </c>
      <c r="G262" s="566">
        <v>4</v>
      </c>
      <c r="H262" s="566">
        <v>1</v>
      </c>
      <c r="I262" s="566">
        <v>2</v>
      </c>
      <c r="J262" s="566">
        <v>4</v>
      </c>
      <c r="K262" s="566">
        <v>2</v>
      </c>
      <c r="L262" s="566">
        <v>1</v>
      </c>
      <c r="M262" s="567">
        <f t="shared" si="610"/>
        <v>60.849999999999994</v>
      </c>
      <c r="N262" s="567">
        <f>'附件4-8甲供材料清单'!K44</f>
        <v>41</v>
      </c>
      <c r="O262" s="567">
        <v>1</v>
      </c>
      <c r="P262" s="567">
        <v>19.440000000000001</v>
      </c>
      <c r="Q262" s="411">
        <f t="shared" si="569"/>
        <v>60.849999999999994</v>
      </c>
      <c r="R262" s="411">
        <f t="shared" si="570"/>
        <v>121.69999999999999</v>
      </c>
      <c r="S262" s="411">
        <f t="shared" si="571"/>
        <v>243.39999999999998</v>
      </c>
      <c r="T262" s="411">
        <f t="shared" si="572"/>
        <v>60.849999999999994</v>
      </c>
      <c r="U262" s="411">
        <f t="shared" si="573"/>
        <v>121.69999999999999</v>
      </c>
      <c r="V262" s="411">
        <f t="shared" si="574"/>
        <v>243.39999999999998</v>
      </c>
      <c r="W262" s="411">
        <f t="shared" si="575"/>
        <v>121.69999999999999</v>
      </c>
      <c r="X262" s="411">
        <f t="shared" si="576"/>
        <v>60.849999999999994</v>
      </c>
      <c r="Y262" s="409" t="s">
        <v>244</v>
      </c>
      <c r="Z262" s="455">
        <f t="shared" si="631"/>
        <v>60.849999999999994</v>
      </c>
      <c r="AA262" s="403">
        <f t="shared" si="631"/>
        <v>121.69999999999999</v>
      </c>
      <c r="AB262" s="403">
        <f t="shared" si="631"/>
        <v>243.39999999999998</v>
      </c>
      <c r="AC262" s="403">
        <f t="shared" si="631"/>
        <v>60.849999999999994</v>
      </c>
      <c r="AD262" s="403">
        <f t="shared" si="631"/>
        <v>121.69999999999999</v>
      </c>
      <c r="AE262" s="403">
        <f t="shared" si="631"/>
        <v>243.39999999999998</v>
      </c>
      <c r="AF262" s="403">
        <f t="shared" si="631"/>
        <v>121.69999999999999</v>
      </c>
      <c r="AG262" s="403">
        <f t="shared" si="631"/>
        <v>60.849999999999994</v>
      </c>
      <c r="AH262" s="323"/>
      <c r="AI262" s="403">
        <f t="shared" si="632"/>
        <v>41.410000000000004</v>
      </c>
      <c r="AJ262" s="403">
        <f t="shared" si="632"/>
        <v>82.820000000000007</v>
      </c>
      <c r="AK262" s="403">
        <f t="shared" si="632"/>
        <v>165.64000000000001</v>
      </c>
      <c r="AL262" s="403">
        <f t="shared" si="632"/>
        <v>41.410000000000004</v>
      </c>
      <c r="AM262" s="403">
        <f t="shared" si="632"/>
        <v>82.820000000000007</v>
      </c>
      <c r="AN262" s="403">
        <f t="shared" si="632"/>
        <v>165.64000000000001</v>
      </c>
      <c r="AO262" s="403">
        <f t="shared" si="632"/>
        <v>82.820000000000007</v>
      </c>
      <c r="AP262" s="403">
        <f t="shared" si="632"/>
        <v>41.410000000000004</v>
      </c>
    </row>
    <row r="263" spans="1:42" ht="22.5">
      <c r="A263" s="191"/>
      <c r="B263" s="689">
        <v>29</v>
      </c>
      <c r="C263" s="417" t="s">
        <v>493</v>
      </c>
      <c r="D263" s="689" t="s">
        <v>482</v>
      </c>
      <c r="E263" s="566">
        <v>0</v>
      </c>
      <c r="F263" s="566">
        <v>1</v>
      </c>
      <c r="G263" s="566">
        <v>0</v>
      </c>
      <c r="H263" s="566">
        <v>0</v>
      </c>
      <c r="I263" s="566">
        <v>3</v>
      </c>
      <c r="J263" s="566">
        <v>0</v>
      </c>
      <c r="K263" s="566">
        <v>3</v>
      </c>
      <c r="L263" s="566">
        <v>0</v>
      </c>
      <c r="M263" s="567">
        <f t="shared" si="610"/>
        <v>29.12</v>
      </c>
      <c r="N263" s="567">
        <f>'附件4-8甲供材料清单'!K45</f>
        <v>16</v>
      </c>
      <c r="O263" s="567">
        <v>1</v>
      </c>
      <c r="P263" s="567">
        <v>12.96</v>
      </c>
      <c r="Q263" s="411">
        <f t="shared" si="569"/>
        <v>0</v>
      </c>
      <c r="R263" s="411">
        <f t="shared" si="570"/>
        <v>29.12</v>
      </c>
      <c r="S263" s="411">
        <f t="shared" si="571"/>
        <v>0</v>
      </c>
      <c r="T263" s="411">
        <f t="shared" si="572"/>
        <v>0</v>
      </c>
      <c r="U263" s="411">
        <f t="shared" si="573"/>
        <v>87.36</v>
      </c>
      <c r="V263" s="411">
        <f t="shared" si="574"/>
        <v>0</v>
      </c>
      <c r="W263" s="411">
        <f t="shared" si="575"/>
        <v>87.36</v>
      </c>
      <c r="X263" s="411">
        <f t="shared" si="576"/>
        <v>0</v>
      </c>
      <c r="Y263" s="409" t="s">
        <v>244</v>
      </c>
      <c r="Z263" s="455">
        <f t="shared" si="631"/>
        <v>0</v>
      </c>
      <c r="AA263" s="403">
        <f t="shared" si="631"/>
        <v>29.12</v>
      </c>
      <c r="AB263" s="403">
        <f t="shared" si="631"/>
        <v>0</v>
      </c>
      <c r="AC263" s="403">
        <f t="shared" si="631"/>
        <v>0</v>
      </c>
      <c r="AD263" s="403">
        <f t="shared" si="631"/>
        <v>87.36</v>
      </c>
      <c r="AE263" s="403">
        <f t="shared" si="631"/>
        <v>0</v>
      </c>
      <c r="AF263" s="403">
        <f t="shared" si="631"/>
        <v>87.36</v>
      </c>
      <c r="AG263" s="403">
        <f t="shared" si="631"/>
        <v>0</v>
      </c>
      <c r="AH263" s="323"/>
      <c r="AI263" s="403">
        <f t="shared" si="632"/>
        <v>0</v>
      </c>
      <c r="AJ263" s="403">
        <f t="shared" si="632"/>
        <v>16.16</v>
      </c>
      <c r="AK263" s="403">
        <f t="shared" si="632"/>
        <v>0</v>
      </c>
      <c r="AL263" s="403">
        <f t="shared" si="632"/>
        <v>0</v>
      </c>
      <c r="AM263" s="403">
        <f t="shared" si="632"/>
        <v>48.480000000000004</v>
      </c>
      <c r="AN263" s="403">
        <f t="shared" si="632"/>
        <v>0</v>
      </c>
      <c r="AO263" s="403">
        <f t="shared" si="632"/>
        <v>48.480000000000004</v>
      </c>
      <c r="AP263" s="403">
        <f t="shared" si="632"/>
        <v>0</v>
      </c>
    </row>
    <row r="264" spans="1:42" ht="22.5">
      <c r="A264" s="191"/>
      <c r="B264" s="689">
        <v>30</v>
      </c>
      <c r="C264" s="417" t="s">
        <v>494</v>
      </c>
      <c r="D264" s="422" t="s">
        <v>320</v>
      </c>
      <c r="E264" s="566">
        <v>1</v>
      </c>
      <c r="F264" s="566">
        <v>1</v>
      </c>
      <c r="G264" s="566">
        <v>2</v>
      </c>
      <c r="H264" s="566">
        <v>1</v>
      </c>
      <c r="I264" s="566">
        <v>1</v>
      </c>
      <c r="J264" s="566">
        <v>2</v>
      </c>
      <c r="K264" s="566">
        <v>1</v>
      </c>
      <c r="L264" s="566">
        <v>1</v>
      </c>
      <c r="M264" s="567">
        <f t="shared" si="610"/>
        <v>111.49000000000001</v>
      </c>
      <c r="N264" s="567">
        <f>'附件4-8甲供材料清单'!K49</f>
        <v>89</v>
      </c>
      <c r="O264" s="567">
        <v>1</v>
      </c>
      <c r="P264" s="567">
        <v>21.6</v>
      </c>
      <c r="Q264" s="411">
        <f t="shared" si="569"/>
        <v>111.49000000000001</v>
      </c>
      <c r="R264" s="411">
        <f t="shared" si="570"/>
        <v>111.49000000000001</v>
      </c>
      <c r="S264" s="411">
        <f t="shared" si="571"/>
        <v>222.98000000000002</v>
      </c>
      <c r="T264" s="411">
        <f t="shared" si="572"/>
        <v>111.49000000000001</v>
      </c>
      <c r="U264" s="411">
        <f t="shared" si="573"/>
        <v>111.49000000000001</v>
      </c>
      <c r="V264" s="411">
        <f t="shared" si="574"/>
        <v>222.98000000000002</v>
      </c>
      <c r="W264" s="411">
        <f t="shared" si="575"/>
        <v>111.49000000000001</v>
      </c>
      <c r="X264" s="411">
        <f t="shared" si="576"/>
        <v>111.49000000000001</v>
      </c>
      <c r="Y264" s="409" t="s">
        <v>244</v>
      </c>
      <c r="Z264" s="455">
        <f t="shared" si="631"/>
        <v>111.49000000000001</v>
      </c>
      <c r="AA264" s="403">
        <f t="shared" si="631"/>
        <v>111.49000000000001</v>
      </c>
      <c r="AB264" s="403">
        <f t="shared" si="631"/>
        <v>222.98000000000002</v>
      </c>
      <c r="AC264" s="403">
        <f t="shared" si="631"/>
        <v>111.49000000000001</v>
      </c>
      <c r="AD264" s="403">
        <f t="shared" si="631"/>
        <v>111.49000000000001</v>
      </c>
      <c r="AE264" s="403">
        <f t="shared" si="631"/>
        <v>222.98000000000002</v>
      </c>
      <c r="AF264" s="403">
        <f t="shared" si="631"/>
        <v>111.49000000000001</v>
      </c>
      <c r="AG264" s="403">
        <f t="shared" si="631"/>
        <v>111.49000000000001</v>
      </c>
      <c r="AH264" s="323"/>
      <c r="AI264" s="403">
        <f t="shared" si="632"/>
        <v>89.89</v>
      </c>
      <c r="AJ264" s="403">
        <f t="shared" si="632"/>
        <v>89.89</v>
      </c>
      <c r="AK264" s="403">
        <f t="shared" si="632"/>
        <v>179.78</v>
      </c>
      <c r="AL264" s="403">
        <f t="shared" si="632"/>
        <v>89.89</v>
      </c>
      <c r="AM264" s="403">
        <f t="shared" si="632"/>
        <v>89.89</v>
      </c>
      <c r="AN264" s="403">
        <f t="shared" si="632"/>
        <v>179.78</v>
      </c>
      <c r="AO264" s="403">
        <f t="shared" si="632"/>
        <v>89.89</v>
      </c>
      <c r="AP264" s="403">
        <f t="shared" si="632"/>
        <v>89.89</v>
      </c>
    </row>
    <row r="265" spans="1:42" s="384" customFormat="1">
      <c r="A265" s="191"/>
      <c r="B265" s="689">
        <v>31</v>
      </c>
      <c r="C265" s="417" t="s">
        <v>495</v>
      </c>
      <c r="D265" s="422" t="s">
        <v>235</v>
      </c>
      <c r="E265" s="566">
        <v>0</v>
      </c>
      <c r="F265" s="566">
        <v>1.3</v>
      </c>
      <c r="G265" s="566">
        <v>0</v>
      </c>
      <c r="H265" s="566">
        <v>0</v>
      </c>
      <c r="I265" s="566">
        <v>0</v>
      </c>
      <c r="J265" s="566">
        <v>0</v>
      </c>
      <c r="K265" s="566">
        <v>0</v>
      </c>
      <c r="L265" s="566">
        <v>0</v>
      </c>
      <c r="M265" s="567">
        <f t="shared" si="610"/>
        <v>48.31</v>
      </c>
      <c r="N265" s="567">
        <v>35</v>
      </c>
      <c r="O265" s="567">
        <v>1</v>
      </c>
      <c r="P265" s="567">
        <v>12.96</v>
      </c>
      <c r="Q265" s="402">
        <f t="shared" si="569"/>
        <v>0</v>
      </c>
      <c r="R265" s="402">
        <f t="shared" si="570"/>
        <v>62.803000000000004</v>
      </c>
      <c r="S265" s="402">
        <f t="shared" si="571"/>
        <v>0</v>
      </c>
      <c r="T265" s="402">
        <f t="shared" si="572"/>
        <v>0</v>
      </c>
      <c r="U265" s="402">
        <f t="shared" si="573"/>
        <v>0</v>
      </c>
      <c r="V265" s="402">
        <f t="shared" si="574"/>
        <v>0</v>
      </c>
      <c r="W265" s="402">
        <f t="shared" si="575"/>
        <v>0</v>
      </c>
      <c r="X265" s="402">
        <f t="shared" si="576"/>
        <v>0</v>
      </c>
      <c r="Y265" s="409"/>
      <c r="Z265" s="455"/>
      <c r="AA265" s="403"/>
      <c r="AB265" s="403"/>
      <c r="AC265" s="403"/>
      <c r="AD265" s="403"/>
      <c r="AE265" s="403"/>
      <c r="AF265" s="403"/>
      <c r="AG265" s="403"/>
      <c r="AH265" s="323"/>
      <c r="AI265" s="423"/>
      <c r="AJ265" s="423"/>
      <c r="AK265" s="423"/>
      <c r="AL265" s="423"/>
      <c r="AM265" s="423"/>
      <c r="AN265" s="423"/>
      <c r="AO265" s="423"/>
      <c r="AP265" s="423"/>
    </row>
    <row r="266" spans="1:42" ht="22.5">
      <c r="A266" s="191"/>
      <c r="B266" s="689">
        <v>32</v>
      </c>
      <c r="C266" s="417" t="s">
        <v>496</v>
      </c>
      <c r="D266" s="422" t="s">
        <v>235</v>
      </c>
      <c r="E266" s="566">
        <v>290.14999999999998</v>
      </c>
      <c r="F266" s="566">
        <v>467.6</v>
      </c>
      <c r="G266" s="566">
        <v>492</v>
      </c>
      <c r="H266" s="566">
        <v>264.11</v>
      </c>
      <c r="I266" s="566">
        <v>1104.1099999999999</v>
      </c>
      <c r="J266" s="566">
        <v>481.64</v>
      </c>
      <c r="K266" s="566">
        <v>1359.82</v>
      </c>
      <c r="L266" s="566">
        <v>307.44</v>
      </c>
      <c r="M266" s="567">
        <f t="shared" si="610"/>
        <v>2.5352000000000001</v>
      </c>
      <c r="N266" s="567">
        <f>'附件4-8甲供材料清单'!K110</f>
        <v>1.47</v>
      </c>
      <c r="O266" s="567">
        <v>16</v>
      </c>
      <c r="P266" s="567">
        <v>0.83</v>
      </c>
      <c r="Q266" s="411">
        <f t="shared" ref="Q266:Q286" si="633">E266*$M266</f>
        <v>735.58827999999994</v>
      </c>
      <c r="R266" s="411">
        <f t="shared" ref="R266:R286" si="634">F266*$M266</f>
        <v>1185.4595200000001</v>
      </c>
      <c r="S266" s="411">
        <f t="shared" ref="S266:S286" si="635">G266*$M266</f>
        <v>1247.3184000000001</v>
      </c>
      <c r="T266" s="411">
        <f t="shared" ref="T266:T286" si="636">H266*$M266</f>
        <v>669.57167200000004</v>
      </c>
      <c r="U266" s="411">
        <f t="shared" ref="U266:U286" si="637">I266*$M266</f>
        <v>2799.1396719999998</v>
      </c>
      <c r="V266" s="411">
        <f t="shared" ref="V266:V286" si="638">J266*$M266</f>
        <v>1221.0537280000001</v>
      </c>
      <c r="W266" s="411">
        <f t="shared" ref="W266:W286" si="639">K266*$M266</f>
        <v>3447.4156640000001</v>
      </c>
      <c r="X266" s="411">
        <f t="shared" ref="X266:X286" si="640">L266*$M266</f>
        <v>779.42188800000008</v>
      </c>
      <c r="Y266" s="409" t="s">
        <v>244</v>
      </c>
      <c r="Z266" s="455">
        <f t="shared" ref="Z266" si="641">Q266</f>
        <v>735.58827999999994</v>
      </c>
      <c r="AA266" s="403">
        <f t="shared" ref="AA266:AG269" si="642">R266</f>
        <v>1185.4595200000001</v>
      </c>
      <c r="AB266" s="403">
        <f t="shared" si="642"/>
        <v>1247.3184000000001</v>
      </c>
      <c r="AC266" s="403">
        <f t="shared" si="642"/>
        <v>669.57167200000004</v>
      </c>
      <c r="AD266" s="403">
        <f t="shared" si="642"/>
        <v>2799.1396719999998</v>
      </c>
      <c r="AE266" s="403">
        <f t="shared" si="642"/>
        <v>1221.0537280000001</v>
      </c>
      <c r="AF266" s="403">
        <f t="shared" si="642"/>
        <v>3447.4156640000001</v>
      </c>
      <c r="AG266" s="403">
        <f t="shared" si="642"/>
        <v>779.42188800000008</v>
      </c>
      <c r="AH266" s="323"/>
      <c r="AI266" s="403">
        <f t="shared" ref="AI266" si="643">E266*$N266*(1+$O266%)</f>
        <v>494.76377999999994</v>
      </c>
      <c r="AJ266" s="403">
        <f t="shared" ref="AJ266:AP269" si="644">F266*$N266*(1+$O266%)</f>
        <v>797.35152000000005</v>
      </c>
      <c r="AK266" s="403">
        <f t="shared" si="644"/>
        <v>838.95839999999998</v>
      </c>
      <c r="AL266" s="403">
        <f t="shared" si="644"/>
        <v>450.36037199999998</v>
      </c>
      <c r="AM266" s="403">
        <f t="shared" si="644"/>
        <v>1882.7283719999996</v>
      </c>
      <c r="AN266" s="403">
        <f t="shared" si="644"/>
        <v>821.29252799999995</v>
      </c>
      <c r="AO266" s="403">
        <f t="shared" si="644"/>
        <v>2318.7650639999997</v>
      </c>
      <c r="AP266" s="403">
        <f t="shared" si="644"/>
        <v>524.24668799999995</v>
      </c>
    </row>
    <row r="267" spans="1:42" ht="22.5">
      <c r="A267" s="191"/>
      <c r="B267" s="689">
        <v>33</v>
      </c>
      <c r="C267" s="417" t="s">
        <v>497</v>
      </c>
      <c r="D267" s="422" t="s">
        <v>235</v>
      </c>
      <c r="E267" s="566">
        <v>124.35</v>
      </c>
      <c r="F267" s="566">
        <v>200.4</v>
      </c>
      <c r="G267" s="566">
        <v>210.86</v>
      </c>
      <c r="H267" s="566">
        <v>113.19</v>
      </c>
      <c r="I267" s="566">
        <v>473.19</v>
      </c>
      <c r="J267" s="566">
        <v>206.42</v>
      </c>
      <c r="K267" s="566">
        <v>582.78</v>
      </c>
      <c r="L267" s="566">
        <v>131.76</v>
      </c>
      <c r="M267" s="567">
        <f t="shared" si="610"/>
        <v>3.4909999999999997</v>
      </c>
      <c r="N267" s="567">
        <f>'附件4-8甲供材料清单'!K114</f>
        <v>2.31</v>
      </c>
      <c r="O267" s="567">
        <v>10</v>
      </c>
      <c r="P267" s="567">
        <v>0.95</v>
      </c>
      <c r="Q267" s="411">
        <f t="shared" si="633"/>
        <v>434.10584999999992</v>
      </c>
      <c r="R267" s="411">
        <f t="shared" si="634"/>
        <v>699.5963999999999</v>
      </c>
      <c r="S267" s="411">
        <f t="shared" si="635"/>
        <v>736.11225999999999</v>
      </c>
      <c r="T267" s="411">
        <f t="shared" si="636"/>
        <v>395.14628999999996</v>
      </c>
      <c r="U267" s="411">
        <f t="shared" si="637"/>
        <v>1651.9062899999999</v>
      </c>
      <c r="V267" s="411">
        <f t="shared" si="638"/>
        <v>720.61221999999987</v>
      </c>
      <c r="W267" s="411">
        <f t="shared" si="639"/>
        <v>2034.4849799999997</v>
      </c>
      <c r="X267" s="411">
        <f t="shared" si="640"/>
        <v>459.97415999999993</v>
      </c>
      <c r="Y267" s="409" t="s">
        <v>244</v>
      </c>
      <c r="Z267" s="455">
        <f>Q267</f>
        <v>434.10584999999992</v>
      </c>
      <c r="AA267" s="403">
        <f t="shared" si="642"/>
        <v>699.5963999999999</v>
      </c>
      <c r="AB267" s="403">
        <f t="shared" si="642"/>
        <v>736.11225999999999</v>
      </c>
      <c r="AC267" s="403">
        <f t="shared" si="642"/>
        <v>395.14628999999996</v>
      </c>
      <c r="AD267" s="403">
        <f t="shared" si="642"/>
        <v>1651.9062899999999</v>
      </c>
      <c r="AE267" s="403">
        <f t="shared" si="642"/>
        <v>720.61221999999987</v>
      </c>
      <c r="AF267" s="403">
        <f t="shared" si="642"/>
        <v>2034.4849799999997</v>
      </c>
      <c r="AG267" s="403">
        <f t="shared" si="642"/>
        <v>459.97415999999993</v>
      </c>
      <c r="AH267" s="323"/>
      <c r="AI267" s="403">
        <f>E267*$N267*(1+$O267%)</f>
        <v>315.97334999999998</v>
      </c>
      <c r="AJ267" s="403">
        <f t="shared" si="644"/>
        <v>509.21640000000008</v>
      </c>
      <c r="AK267" s="403">
        <f t="shared" si="644"/>
        <v>535.7952600000001</v>
      </c>
      <c r="AL267" s="403">
        <f t="shared" si="644"/>
        <v>287.61579000000006</v>
      </c>
      <c r="AM267" s="403">
        <f t="shared" si="644"/>
        <v>1202.3757900000001</v>
      </c>
      <c r="AN267" s="403">
        <f t="shared" si="644"/>
        <v>524.51322000000005</v>
      </c>
      <c r="AO267" s="403">
        <f t="shared" si="644"/>
        <v>1480.8439800000001</v>
      </c>
      <c r="AP267" s="403">
        <f t="shared" si="644"/>
        <v>334.80216000000001</v>
      </c>
    </row>
    <row r="268" spans="1:42" ht="33.75">
      <c r="A268" s="191"/>
      <c r="B268" s="689">
        <v>34</v>
      </c>
      <c r="C268" s="417" t="s">
        <v>498</v>
      </c>
      <c r="D268" s="422" t="s">
        <v>235</v>
      </c>
      <c r="E268" s="566">
        <v>1</v>
      </c>
      <c r="F268" s="566">
        <f>(93+48+35)*1.1</f>
        <v>193.60000000000002</v>
      </c>
      <c r="G268" s="566">
        <v>1</v>
      </c>
      <c r="H268" s="566">
        <v>1</v>
      </c>
      <c r="I268" s="566">
        <v>1</v>
      </c>
      <c r="J268" s="566">
        <v>1</v>
      </c>
      <c r="K268" s="566">
        <v>1</v>
      </c>
      <c r="L268" s="566">
        <v>1</v>
      </c>
      <c r="M268" s="567">
        <f t="shared" si="610"/>
        <v>7.0295000000000005</v>
      </c>
      <c r="N268" s="567">
        <f>'附件4-8甲供材料清单'!K116</f>
        <v>1.19</v>
      </c>
      <c r="O268" s="567">
        <v>5</v>
      </c>
      <c r="P268" s="567">
        <v>5.78</v>
      </c>
      <c r="Q268" s="411">
        <f t="shared" si="633"/>
        <v>7.0295000000000005</v>
      </c>
      <c r="R268" s="411">
        <f t="shared" si="634"/>
        <v>1360.9112000000002</v>
      </c>
      <c r="S268" s="411">
        <f t="shared" si="635"/>
        <v>7.0295000000000005</v>
      </c>
      <c r="T268" s="411">
        <f t="shared" si="636"/>
        <v>7.0295000000000005</v>
      </c>
      <c r="U268" s="411">
        <f t="shared" si="637"/>
        <v>7.0295000000000005</v>
      </c>
      <c r="V268" s="411">
        <f t="shared" si="638"/>
        <v>7.0295000000000005</v>
      </c>
      <c r="W268" s="411">
        <f t="shared" si="639"/>
        <v>7.0295000000000005</v>
      </c>
      <c r="X268" s="411">
        <f t="shared" si="640"/>
        <v>7.0295000000000005</v>
      </c>
      <c r="Y268" s="409" t="s">
        <v>499</v>
      </c>
      <c r="Z268" s="455">
        <f>Q268</f>
        <v>7.0295000000000005</v>
      </c>
      <c r="AA268" s="403">
        <f t="shared" si="642"/>
        <v>1360.9112000000002</v>
      </c>
      <c r="AB268" s="403">
        <f t="shared" si="642"/>
        <v>7.0295000000000005</v>
      </c>
      <c r="AC268" s="403">
        <f t="shared" si="642"/>
        <v>7.0295000000000005</v>
      </c>
      <c r="AD268" s="403">
        <f t="shared" si="642"/>
        <v>7.0295000000000005</v>
      </c>
      <c r="AE268" s="403">
        <f t="shared" si="642"/>
        <v>7.0295000000000005</v>
      </c>
      <c r="AF268" s="403">
        <f t="shared" si="642"/>
        <v>7.0295000000000005</v>
      </c>
      <c r="AG268" s="403">
        <f t="shared" si="642"/>
        <v>7.0295000000000005</v>
      </c>
      <c r="AH268" s="323"/>
      <c r="AI268" s="403">
        <f>E268*$N268*(1+$O268%)</f>
        <v>1.2495000000000001</v>
      </c>
      <c r="AJ268" s="403">
        <f t="shared" si="644"/>
        <v>241.90320000000003</v>
      </c>
      <c r="AK268" s="403">
        <f t="shared" si="644"/>
        <v>1.2495000000000001</v>
      </c>
      <c r="AL268" s="403">
        <f t="shared" si="644"/>
        <v>1.2495000000000001</v>
      </c>
      <c r="AM268" s="403">
        <f t="shared" si="644"/>
        <v>1.2495000000000001</v>
      </c>
      <c r="AN268" s="403">
        <f t="shared" si="644"/>
        <v>1.2495000000000001</v>
      </c>
      <c r="AO268" s="403">
        <f t="shared" si="644"/>
        <v>1.2495000000000001</v>
      </c>
      <c r="AP268" s="403">
        <f t="shared" si="644"/>
        <v>1.2495000000000001</v>
      </c>
    </row>
    <row r="269" spans="1:42" ht="33.75">
      <c r="A269" s="191"/>
      <c r="B269" s="689">
        <v>35</v>
      </c>
      <c r="C269" s="417" t="s">
        <v>500</v>
      </c>
      <c r="D269" s="422" t="s">
        <v>235</v>
      </c>
      <c r="E269" s="566">
        <v>1</v>
      </c>
      <c r="F269" s="566">
        <f>32*1.1</f>
        <v>35.200000000000003</v>
      </c>
      <c r="G269" s="566">
        <v>1</v>
      </c>
      <c r="H269" s="566">
        <v>1</v>
      </c>
      <c r="I269" s="566">
        <v>1</v>
      </c>
      <c r="J269" s="566">
        <v>1</v>
      </c>
      <c r="K269" s="566">
        <v>1</v>
      </c>
      <c r="L269" s="566">
        <v>1</v>
      </c>
      <c r="M269" s="567">
        <f t="shared" si="610"/>
        <v>7.6910000000000007</v>
      </c>
      <c r="N269" s="567">
        <f>'附件4-8甲供材料清单'!K117</f>
        <v>1.82</v>
      </c>
      <c r="O269" s="567">
        <v>5</v>
      </c>
      <c r="P269" s="567">
        <v>5.78</v>
      </c>
      <c r="Q269" s="411">
        <f t="shared" si="633"/>
        <v>7.6910000000000007</v>
      </c>
      <c r="R269" s="411">
        <f t="shared" si="634"/>
        <v>270.72320000000002</v>
      </c>
      <c r="S269" s="411">
        <f t="shared" si="635"/>
        <v>7.6910000000000007</v>
      </c>
      <c r="T269" s="411">
        <f t="shared" si="636"/>
        <v>7.6910000000000007</v>
      </c>
      <c r="U269" s="411">
        <f t="shared" si="637"/>
        <v>7.6910000000000007</v>
      </c>
      <c r="V269" s="411">
        <f t="shared" si="638"/>
        <v>7.6910000000000007</v>
      </c>
      <c r="W269" s="411">
        <f t="shared" si="639"/>
        <v>7.6910000000000007</v>
      </c>
      <c r="X269" s="411">
        <f t="shared" si="640"/>
        <v>7.6910000000000007</v>
      </c>
      <c r="Y269" s="409" t="s">
        <v>499</v>
      </c>
      <c r="Z269" s="455">
        <f>Q269</f>
        <v>7.6910000000000007</v>
      </c>
      <c r="AA269" s="403">
        <f t="shared" si="642"/>
        <v>270.72320000000002</v>
      </c>
      <c r="AB269" s="403">
        <f t="shared" si="642"/>
        <v>7.6910000000000007</v>
      </c>
      <c r="AC269" s="403">
        <f t="shared" si="642"/>
        <v>7.6910000000000007</v>
      </c>
      <c r="AD269" s="403">
        <f t="shared" si="642"/>
        <v>7.6910000000000007</v>
      </c>
      <c r="AE269" s="403">
        <f t="shared" si="642"/>
        <v>7.6910000000000007</v>
      </c>
      <c r="AF269" s="403">
        <f t="shared" si="642"/>
        <v>7.6910000000000007</v>
      </c>
      <c r="AG269" s="403">
        <f t="shared" si="642"/>
        <v>7.6910000000000007</v>
      </c>
      <c r="AH269" s="323"/>
      <c r="AI269" s="403">
        <f>E269*$N269*(1+$O269%)</f>
        <v>1.9110000000000003</v>
      </c>
      <c r="AJ269" s="403">
        <f t="shared" si="644"/>
        <v>67.267200000000017</v>
      </c>
      <c r="AK269" s="403">
        <f t="shared" si="644"/>
        <v>1.9110000000000003</v>
      </c>
      <c r="AL269" s="403">
        <f t="shared" si="644"/>
        <v>1.9110000000000003</v>
      </c>
      <c r="AM269" s="403">
        <f t="shared" si="644"/>
        <v>1.9110000000000003</v>
      </c>
      <c r="AN269" s="403">
        <f t="shared" si="644"/>
        <v>1.9110000000000003</v>
      </c>
      <c r="AO269" s="403">
        <f t="shared" si="644"/>
        <v>1.9110000000000003</v>
      </c>
      <c r="AP269" s="403">
        <f t="shared" si="644"/>
        <v>1.9110000000000003</v>
      </c>
    </row>
    <row r="270" spans="1:42" s="384" customFormat="1" ht="22.5">
      <c r="A270" s="191"/>
      <c r="B270" s="689">
        <v>36</v>
      </c>
      <c r="C270" s="417" t="s">
        <v>501</v>
      </c>
      <c r="D270" s="422" t="s">
        <v>235</v>
      </c>
      <c r="E270" s="566">
        <v>10</v>
      </c>
      <c r="F270" s="566">
        <v>2</v>
      </c>
      <c r="G270" s="566">
        <v>10</v>
      </c>
      <c r="H270" s="566">
        <v>10</v>
      </c>
      <c r="I270" s="566">
        <v>10</v>
      </c>
      <c r="J270" s="566">
        <v>10</v>
      </c>
      <c r="K270" s="566">
        <v>10</v>
      </c>
      <c r="L270" s="566">
        <v>10</v>
      </c>
      <c r="M270" s="567">
        <f t="shared" si="610"/>
        <v>7.5</v>
      </c>
      <c r="N270" s="567">
        <v>2</v>
      </c>
      <c r="O270" s="567">
        <v>5</v>
      </c>
      <c r="P270" s="567">
        <v>5.4</v>
      </c>
      <c r="Q270" s="402">
        <f t="shared" si="633"/>
        <v>75</v>
      </c>
      <c r="R270" s="402">
        <f t="shared" si="634"/>
        <v>15</v>
      </c>
      <c r="S270" s="402">
        <f t="shared" si="635"/>
        <v>75</v>
      </c>
      <c r="T270" s="402">
        <f t="shared" si="636"/>
        <v>75</v>
      </c>
      <c r="U270" s="402">
        <f t="shared" si="637"/>
        <v>75</v>
      </c>
      <c r="V270" s="402">
        <f t="shared" si="638"/>
        <v>75</v>
      </c>
      <c r="W270" s="402">
        <f t="shared" si="639"/>
        <v>75</v>
      </c>
      <c r="X270" s="402">
        <f t="shared" si="640"/>
        <v>75</v>
      </c>
      <c r="Y270" s="409"/>
      <c r="Z270" s="455"/>
      <c r="AA270" s="403"/>
      <c r="AB270" s="403"/>
      <c r="AC270" s="403"/>
      <c r="AD270" s="403"/>
      <c r="AE270" s="403"/>
      <c r="AF270" s="403"/>
      <c r="AG270" s="403"/>
      <c r="AH270" s="323"/>
      <c r="AI270" s="423"/>
      <c r="AJ270" s="423"/>
      <c r="AK270" s="423"/>
      <c r="AL270" s="423"/>
      <c r="AM270" s="423"/>
      <c r="AN270" s="423"/>
      <c r="AO270" s="423"/>
      <c r="AP270" s="423"/>
    </row>
    <row r="271" spans="1:42" ht="22.5">
      <c r="A271" s="191"/>
      <c r="B271" s="689">
        <v>37</v>
      </c>
      <c r="C271" s="417" t="s">
        <v>502</v>
      </c>
      <c r="D271" s="418" t="s">
        <v>235</v>
      </c>
      <c r="E271" s="569"/>
      <c r="F271" s="569"/>
      <c r="G271" s="566"/>
      <c r="H271" s="569"/>
      <c r="I271" s="566"/>
      <c r="J271" s="566"/>
      <c r="K271" s="566"/>
      <c r="L271" s="566"/>
      <c r="M271" s="567">
        <f t="shared" si="610"/>
        <v>3.92</v>
      </c>
      <c r="N271" s="567">
        <f>'附件4-8甲供材料清单'!K115</f>
        <v>2.7</v>
      </c>
      <c r="O271" s="567">
        <v>10</v>
      </c>
      <c r="P271" s="567">
        <v>0.95</v>
      </c>
      <c r="Q271" s="411">
        <f t="shared" si="633"/>
        <v>0</v>
      </c>
      <c r="R271" s="411">
        <f t="shared" si="634"/>
        <v>0</v>
      </c>
      <c r="S271" s="411">
        <f t="shared" si="635"/>
        <v>0</v>
      </c>
      <c r="T271" s="411">
        <f t="shared" si="636"/>
        <v>0</v>
      </c>
      <c r="U271" s="411">
        <f t="shared" si="637"/>
        <v>0</v>
      </c>
      <c r="V271" s="411">
        <f t="shared" si="638"/>
        <v>0</v>
      </c>
      <c r="W271" s="411">
        <f t="shared" si="639"/>
        <v>0</v>
      </c>
      <c r="X271" s="411">
        <f t="shared" si="640"/>
        <v>0</v>
      </c>
      <c r="Y271" s="409" t="s">
        <v>244</v>
      </c>
      <c r="Z271" s="455">
        <f t="shared" ref="Z271" si="645">Q271</f>
        <v>0</v>
      </c>
      <c r="AA271" s="403">
        <f t="shared" ref="AA271:AG271" si="646">R271</f>
        <v>0</v>
      </c>
      <c r="AB271" s="403">
        <f t="shared" si="646"/>
        <v>0</v>
      </c>
      <c r="AC271" s="403">
        <f t="shared" si="646"/>
        <v>0</v>
      </c>
      <c r="AD271" s="403">
        <f t="shared" si="646"/>
        <v>0</v>
      </c>
      <c r="AE271" s="403">
        <f t="shared" si="646"/>
        <v>0</v>
      </c>
      <c r="AF271" s="403">
        <f t="shared" si="646"/>
        <v>0</v>
      </c>
      <c r="AG271" s="403">
        <f t="shared" si="646"/>
        <v>0</v>
      </c>
      <c r="AH271" s="323"/>
      <c r="AI271" s="403">
        <f t="shared" ref="AI271" si="647">E271*$N271*(1+$O271%)</f>
        <v>0</v>
      </c>
      <c r="AJ271" s="403">
        <f t="shared" ref="AJ271:AP271" si="648">F271*$N271*(1+$O271%)</f>
        <v>0</v>
      </c>
      <c r="AK271" s="403">
        <f t="shared" si="648"/>
        <v>0</v>
      </c>
      <c r="AL271" s="403">
        <f t="shared" si="648"/>
        <v>0</v>
      </c>
      <c r="AM271" s="403">
        <f t="shared" si="648"/>
        <v>0</v>
      </c>
      <c r="AN271" s="403">
        <f t="shared" si="648"/>
        <v>0</v>
      </c>
      <c r="AO271" s="403">
        <f t="shared" si="648"/>
        <v>0</v>
      </c>
      <c r="AP271" s="403">
        <f t="shared" si="648"/>
        <v>0</v>
      </c>
    </row>
    <row r="272" spans="1:42" s="384" customFormat="1" ht="33.75">
      <c r="A272" s="191"/>
      <c r="B272" s="689">
        <v>38</v>
      </c>
      <c r="C272" s="417" t="s">
        <v>503</v>
      </c>
      <c r="D272" s="418" t="s">
        <v>270</v>
      </c>
      <c r="E272" s="566">
        <v>1</v>
      </c>
      <c r="F272" s="566">
        <v>1</v>
      </c>
      <c r="G272" s="566">
        <v>2</v>
      </c>
      <c r="H272" s="566">
        <v>1</v>
      </c>
      <c r="I272" s="566">
        <v>1</v>
      </c>
      <c r="J272" s="566">
        <v>2</v>
      </c>
      <c r="K272" s="566">
        <v>1</v>
      </c>
      <c r="L272" s="566">
        <v>1</v>
      </c>
      <c r="M272" s="567">
        <f t="shared" si="610"/>
        <v>10.059999999999999</v>
      </c>
      <c r="N272" s="567">
        <v>1.2</v>
      </c>
      <c r="O272" s="567">
        <v>0</v>
      </c>
      <c r="P272" s="567">
        <v>8.86</v>
      </c>
      <c r="Q272" s="402">
        <f t="shared" si="633"/>
        <v>10.059999999999999</v>
      </c>
      <c r="R272" s="402">
        <f t="shared" si="634"/>
        <v>10.059999999999999</v>
      </c>
      <c r="S272" s="402">
        <f t="shared" si="635"/>
        <v>20.119999999999997</v>
      </c>
      <c r="T272" s="402">
        <f t="shared" si="636"/>
        <v>10.059999999999999</v>
      </c>
      <c r="U272" s="402">
        <f t="shared" si="637"/>
        <v>10.059999999999999</v>
      </c>
      <c r="V272" s="402">
        <f t="shared" si="638"/>
        <v>20.119999999999997</v>
      </c>
      <c r="W272" s="402">
        <f t="shared" si="639"/>
        <v>10.059999999999999</v>
      </c>
      <c r="X272" s="402">
        <f t="shared" si="640"/>
        <v>10.059999999999999</v>
      </c>
      <c r="Y272" s="409" t="s">
        <v>504</v>
      </c>
      <c r="Z272" s="455"/>
      <c r="AA272" s="403"/>
      <c r="AB272" s="403"/>
      <c r="AC272" s="403"/>
      <c r="AD272" s="403"/>
      <c r="AE272" s="403"/>
      <c r="AF272" s="403"/>
      <c r="AG272" s="403"/>
      <c r="AH272" s="323"/>
      <c r="AI272" s="423"/>
      <c r="AJ272" s="423"/>
      <c r="AK272" s="423"/>
      <c r="AL272" s="423"/>
      <c r="AM272" s="423"/>
      <c r="AN272" s="423"/>
      <c r="AO272" s="423"/>
      <c r="AP272" s="423"/>
    </row>
    <row r="273" spans="1:42" ht="22.5">
      <c r="A273" s="191"/>
      <c r="B273" s="689">
        <v>39</v>
      </c>
      <c r="C273" s="417" t="s">
        <v>505</v>
      </c>
      <c r="D273" s="418" t="s">
        <v>320</v>
      </c>
      <c r="E273" s="566">
        <v>1</v>
      </c>
      <c r="F273" s="566">
        <v>2</v>
      </c>
      <c r="G273" s="566">
        <v>6</v>
      </c>
      <c r="H273" s="566">
        <v>1</v>
      </c>
      <c r="I273" s="566">
        <v>6</v>
      </c>
      <c r="J273" s="566">
        <v>6</v>
      </c>
      <c r="K273" s="566">
        <v>6</v>
      </c>
      <c r="L273" s="566">
        <v>1</v>
      </c>
      <c r="M273" s="567">
        <f t="shared" si="610"/>
        <v>18.82</v>
      </c>
      <c r="N273" s="567">
        <f>'附件4-8甲供材料清单'!K108</f>
        <v>12</v>
      </c>
      <c r="O273" s="567">
        <v>1</v>
      </c>
      <c r="P273" s="567">
        <v>6.7</v>
      </c>
      <c r="Q273" s="411">
        <f t="shared" si="633"/>
        <v>18.82</v>
      </c>
      <c r="R273" s="411">
        <f t="shared" si="634"/>
        <v>37.64</v>
      </c>
      <c r="S273" s="411">
        <f t="shared" si="635"/>
        <v>112.92</v>
      </c>
      <c r="T273" s="411">
        <f t="shared" si="636"/>
        <v>18.82</v>
      </c>
      <c r="U273" s="411">
        <f t="shared" si="637"/>
        <v>112.92</v>
      </c>
      <c r="V273" s="411">
        <f t="shared" si="638"/>
        <v>112.92</v>
      </c>
      <c r="W273" s="411">
        <f t="shared" si="639"/>
        <v>112.92</v>
      </c>
      <c r="X273" s="411">
        <f t="shared" si="640"/>
        <v>18.82</v>
      </c>
      <c r="Y273" s="409" t="s">
        <v>244</v>
      </c>
      <c r="Z273" s="455">
        <f t="shared" ref="Z273" si="649">Q273</f>
        <v>18.82</v>
      </c>
      <c r="AA273" s="403">
        <f t="shared" ref="AA273:AG275" si="650">R273</f>
        <v>37.64</v>
      </c>
      <c r="AB273" s="403">
        <f t="shared" si="650"/>
        <v>112.92</v>
      </c>
      <c r="AC273" s="403">
        <f t="shared" si="650"/>
        <v>18.82</v>
      </c>
      <c r="AD273" s="403">
        <f t="shared" si="650"/>
        <v>112.92</v>
      </c>
      <c r="AE273" s="403">
        <f t="shared" si="650"/>
        <v>112.92</v>
      </c>
      <c r="AF273" s="403">
        <f t="shared" si="650"/>
        <v>112.92</v>
      </c>
      <c r="AG273" s="403">
        <f t="shared" si="650"/>
        <v>18.82</v>
      </c>
      <c r="AH273" s="323"/>
      <c r="AI273" s="403">
        <f t="shared" ref="AI273" si="651">E273*$N273*(1+$O273%)</f>
        <v>12.120000000000001</v>
      </c>
      <c r="AJ273" s="403">
        <f t="shared" ref="AJ273:AP275" si="652">F273*$N273*(1+$O273%)</f>
        <v>24.240000000000002</v>
      </c>
      <c r="AK273" s="403">
        <f t="shared" si="652"/>
        <v>72.72</v>
      </c>
      <c r="AL273" s="403">
        <f t="shared" si="652"/>
        <v>12.120000000000001</v>
      </c>
      <c r="AM273" s="403">
        <f t="shared" si="652"/>
        <v>72.72</v>
      </c>
      <c r="AN273" s="403">
        <f t="shared" si="652"/>
        <v>72.72</v>
      </c>
      <c r="AO273" s="403">
        <f t="shared" si="652"/>
        <v>72.72</v>
      </c>
      <c r="AP273" s="403">
        <f t="shared" si="652"/>
        <v>12.120000000000001</v>
      </c>
    </row>
    <row r="274" spans="1:42" ht="22.5">
      <c r="A274" s="191"/>
      <c r="B274" s="689">
        <v>40</v>
      </c>
      <c r="C274" s="417" t="s">
        <v>507</v>
      </c>
      <c r="D274" s="418" t="s">
        <v>320</v>
      </c>
      <c r="E274" s="566">
        <v>1</v>
      </c>
      <c r="F274" s="566">
        <v>2</v>
      </c>
      <c r="G274" s="566">
        <v>4</v>
      </c>
      <c r="H274" s="566">
        <v>1</v>
      </c>
      <c r="I274" s="566">
        <v>4</v>
      </c>
      <c r="J274" s="566">
        <v>4</v>
      </c>
      <c r="K274" s="566">
        <v>4</v>
      </c>
      <c r="L274" s="566">
        <v>1</v>
      </c>
      <c r="M274" s="567">
        <f t="shared" si="610"/>
        <v>20.84</v>
      </c>
      <c r="N274" s="567">
        <f>'附件4-8甲供材料清单'!K109</f>
        <v>14</v>
      </c>
      <c r="O274" s="567">
        <v>1</v>
      </c>
      <c r="P274" s="567">
        <v>6.7</v>
      </c>
      <c r="Q274" s="411">
        <f t="shared" si="633"/>
        <v>20.84</v>
      </c>
      <c r="R274" s="411">
        <f t="shared" si="634"/>
        <v>41.68</v>
      </c>
      <c r="S274" s="411">
        <f t="shared" si="635"/>
        <v>83.36</v>
      </c>
      <c r="T274" s="411">
        <f t="shared" si="636"/>
        <v>20.84</v>
      </c>
      <c r="U274" s="411">
        <f t="shared" si="637"/>
        <v>83.36</v>
      </c>
      <c r="V274" s="411">
        <f t="shared" si="638"/>
        <v>83.36</v>
      </c>
      <c r="W274" s="411">
        <f t="shared" si="639"/>
        <v>83.36</v>
      </c>
      <c r="X274" s="411">
        <f t="shared" si="640"/>
        <v>20.84</v>
      </c>
      <c r="Y274" s="409" t="s">
        <v>244</v>
      </c>
      <c r="Z274" s="455">
        <f>Q274</f>
        <v>20.84</v>
      </c>
      <c r="AA274" s="403">
        <f t="shared" si="650"/>
        <v>41.68</v>
      </c>
      <c r="AB274" s="403">
        <f t="shared" si="650"/>
        <v>83.36</v>
      </c>
      <c r="AC274" s="403">
        <f t="shared" si="650"/>
        <v>20.84</v>
      </c>
      <c r="AD274" s="403">
        <f t="shared" si="650"/>
        <v>83.36</v>
      </c>
      <c r="AE274" s="403">
        <f t="shared" si="650"/>
        <v>83.36</v>
      </c>
      <c r="AF274" s="403">
        <f t="shared" si="650"/>
        <v>83.36</v>
      </c>
      <c r="AG274" s="403">
        <f t="shared" si="650"/>
        <v>20.84</v>
      </c>
      <c r="AH274" s="323"/>
      <c r="AI274" s="403">
        <f>E274*$N274*(1+$O274%)</f>
        <v>14.14</v>
      </c>
      <c r="AJ274" s="403">
        <f t="shared" si="652"/>
        <v>28.28</v>
      </c>
      <c r="AK274" s="403">
        <f t="shared" si="652"/>
        <v>56.56</v>
      </c>
      <c r="AL274" s="403">
        <f t="shared" si="652"/>
        <v>14.14</v>
      </c>
      <c r="AM274" s="403">
        <f t="shared" si="652"/>
        <v>56.56</v>
      </c>
      <c r="AN274" s="403">
        <f t="shared" si="652"/>
        <v>56.56</v>
      </c>
      <c r="AO274" s="403">
        <f t="shared" si="652"/>
        <v>56.56</v>
      </c>
      <c r="AP274" s="403">
        <f t="shared" si="652"/>
        <v>14.14</v>
      </c>
    </row>
    <row r="275" spans="1:42" ht="22.5">
      <c r="A275" s="191"/>
      <c r="B275" s="689">
        <v>41</v>
      </c>
      <c r="C275" s="417" t="s">
        <v>508</v>
      </c>
      <c r="D275" s="418" t="s">
        <v>320</v>
      </c>
      <c r="E275" s="566">
        <v>1</v>
      </c>
      <c r="F275" s="566">
        <v>2</v>
      </c>
      <c r="G275" s="566">
        <v>1</v>
      </c>
      <c r="H275" s="566">
        <v>1</v>
      </c>
      <c r="I275" s="566">
        <v>1</v>
      </c>
      <c r="J275" s="566">
        <v>1</v>
      </c>
      <c r="K275" s="566">
        <v>1</v>
      </c>
      <c r="L275" s="566">
        <v>1</v>
      </c>
      <c r="M275" s="567">
        <f t="shared" si="610"/>
        <v>38.01</v>
      </c>
      <c r="N275" s="567">
        <f>'附件4-8甲供材料清单'!K107</f>
        <v>31</v>
      </c>
      <c r="O275" s="567">
        <v>1</v>
      </c>
      <c r="P275" s="567">
        <v>6.7</v>
      </c>
      <c r="Q275" s="411">
        <f t="shared" si="633"/>
        <v>38.01</v>
      </c>
      <c r="R275" s="411">
        <f t="shared" si="634"/>
        <v>76.02</v>
      </c>
      <c r="S275" s="411">
        <f t="shared" si="635"/>
        <v>38.01</v>
      </c>
      <c r="T275" s="411">
        <f t="shared" si="636"/>
        <v>38.01</v>
      </c>
      <c r="U275" s="411">
        <f t="shared" si="637"/>
        <v>38.01</v>
      </c>
      <c r="V275" s="411">
        <f t="shared" si="638"/>
        <v>38.01</v>
      </c>
      <c r="W275" s="411">
        <f t="shared" si="639"/>
        <v>38.01</v>
      </c>
      <c r="X275" s="411">
        <f t="shared" si="640"/>
        <v>38.01</v>
      </c>
      <c r="Y275" s="409" t="s">
        <v>244</v>
      </c>
      <c r="Z275" s="455">
        <f>Q275</f>
        <v>38.01</v>
      </c>
      <c r="AA275" s="403">
        <f t="shared" si="650"/>
        <v>76.02</v>
      </c>
      <c r="AB275" s="403">
        <f t="shared" si="650"/>
        <v>38.01</v>
      </c>
      <c r="AC275" s="403">
        <f t="shared" si="650"/>
        <v>38.01</v>
      </c>
      <c r="AD275" s="403">
        <f t="shared" si="650"/>
        <v>38.01</v>
      </c>
      <c r="AE275" s="403">
        <f t="shared" si="650"/>
        <v>38.01</v>
      </c>
      <c r="AF275" s="403">
        <f t="shared" si="650"/>
        <v>38.01</v>
      </c>
      <c r="AG275" s="403">
        <f t="shared" si="650"/>
        <v>38.01</v>
      </c>
      <c r="AH275" s="323"/>
      <c r="AI275" s="403">
        <f>E275*$N275*(1+$O275%)</f>
        <v>31.31</v>
      </c>
      <c r="AJ275" s="403">
        <f t="shared" si="652"/>
        <v>62.62</v>
      </c>
      <c r="AK275" s="403">
        <f t="shared" si="652"/>
        <v>31.31</v>
      </c>
      <c r="AL275" s="403">
        <f t="shared" si="652"/>
        <v>31.31</v>
      </c>
      <c r="AM275" s="403">
        <f t="shared" si="652"/>
        <v>31.31</v>
      </c>
      <c r="AN275" s="403">
        <f t="shared" si="652"/>
        <v>31.31</v>
      </c>
      <c r="AO275" s="403">
        <f t="shared" si="652"/>
        <v>31.31</v>
      </c>
      <c r="AP275" s="403">
        <f t="shared" si="652"/>
        <v>31.31</v>
      </c>
    </row>
    <row r="276" spans="1:42" s="384" customFormat="1">
      <c r="A276" s="191"/>
      <c r="B276" s="689">
        <v>42</v>
      </c>
      <c r="C276" s="417" t="s">
        <v>509</v>
      </c>
      <c r="D276" s="418" t="s">
        <v>235</v>
      </c>
      <c r="E276" s="566">
        <v>0</v>
      </c>
      <c r="F276" s="566">
        <f>7.3*1.05</f>
        <v>7.665</v>
      </c>
      <c r="G276" s="566">
        <v>0</v>
      </c>
      <c r="H276" s="566">
        <v>0</v>
      </c>
      <c r="I276" s="566">
        <v>0</v>
      </c>
      <c r="J276" s="566">
        <v>0</v>
      </c>
      <c r="K276" s="566">
        <v>0</v>
      </c>
      <c r="L276" s="566">
        <v>0</v>
      </c>
      <c r="M276" s="567">
        <f t="shared" si="610"/>
        <v>1.448</v>
      </c>
      <c r="N276" s="411">
        <v>0.57999999999999996</v>
      </c>
      <c r="O276" s="567">
        <v>10</v>
      </c>
      <c r="P276" s="567">
        <v>0.81</v>
      </c>
      <c r="Q276" s="402">
        <f t="shared" si="633"/>
        <v>0</v>
      </c>
      <c r="R276" s="402">
        <f t="shared" si="634"/>
        <v>11.09892</v>
      </c>
      <c r="S276" s="402">
        <f t="shared" si="635"/>
        <v>0</v>
      </c>
      <c r="T276" s="402">
        <f t="shared" si="636"/>
        <v>0</v>
      </c>
      <c r="U276" s="402">
        <f t="shared" si="637"/>
        <v>0</v>
      </c>
      <c r="V276" s="402">
        <f t="shared" si="638"/>
        <v>0</v>
      </c>
      <c r="W276" s="402">
        <f t="shared" si="639"/>
        <v>0</v>
      </c>
      <c r="X276" s="402">
        <f t="shared" si="640"/>
        <v>0</v>
      </c>
      <c r="Y276" s="409"/>
      <c r="Z276" s="455"/>
      <c r="AA276" s="403"/>
      <c r="AB276" s="403"/>
      <c r="AC276" s="403"/>
      <c r="AD276" s="403"/>
      <c r="AE276" s="403"/>
      <c r="AF276" s="403"/>
      <c r="AG276" s="403"/>
      <c r="AH276" s="323"/>
      <c r="AI276" s="423"/>
      <c r="AJ276" s="423"/>
      <c r="AK276" s="423"/>
      <c r="AL276" s="423"/>
      <c r="AM276" s="423"/>
      <c r="AN276" s="423"/>
      <c r="AO276" s="423"/>
      <c r="AP276" s="423"/>
    </row>
    <row r="277" spans="1:42" s="384" customFormat="1">
      <c r="A277" s="191"/>
      <c r="B277" s="689">
        <v>43</v>
      </c>
      <c r="C277" s="417" t="s">
        <v>510</v>
      </c>
      <c r="D277" s="418" t="s">
        <v>235</v>
      </c>
      <c r="E277" s="566">
        <v>0</v>
      </c>
      <c r="F277" s="566">
        <f>6.3*1.05</f>
        <v>6.6150000000000002</v>
      </c>
      <c r="G277" s="566">
        <v>0</v>
      </c>
      <c r="H277" s="566">
        <v>0</v>
      </c>
      <c r="I277" s="566">
        <v>0</v>
      </c>
      <c r="J277" s="566">
        <v>0</v>
      </c>
      <c r="K277" s="566">
        <v>0</v>
      </c>
      <c r="L277" s="566">
        <v>0</v>
      </c>
      <c r="M277" s="567">
        <f t="shared" si="610"/>
        <v>2.6139999999999999</v>
      </c>
      <c r="N277" s="411">
        <v>1.64</v>
      </c>
      <c r="O277" s="567">
        <v>10</v>
      </c>
      <c r="P277" s="567">
        <v>0.81</v>
      </c>
      <c r="Q277" s="402">
        <f t="shared" si="633"/>
        <v>0</v>
      </c>
      <c r="R277" s="402">
        <f t="shared" si="634"/>
        <v>17.291609999999999</v>
      </c>
      <c r="S277" s="402">
        <f t="shared" si="635"/>
        <v>0</v>
      </c>
      <c r="T277" s="402">
        <f t="shared" si="636"/>
        <v>0</v>
      </c>
      <c r="U277" s="402">
        <f t="shared" si="637"/>
        <v>0</v>
      </c>
      <c r="V277" s="402">
        <f t="shared" si="638"/>
        <v>0</v>
      </c>
      <c r="W277" s="402">
        <f t="shared" si="639"/>
        <v>0</v>
      </c>
      <c r="X277" s="402">
        <f t="shared" si="640"/>
        <v>0</v>
      </c>
      <c r="Y277" s="423"/>
      <c r="Z277" s="455"/>
      <c r="AA277" s="403"/>
      <c r="AB277" s="403"/>
      <c r="AC277" s="403"/>
      <c r="AD277" s="403"/>
      <c r="AE277" s="403"/>
      <c r="AF277" s="403"/>
      <c r="AG277" s="403"/>
      <c r="AH277" s="323"/>
      <c r="AI277" s="423"/>
      <c r="AJ277" s="423"/>
      <c r="AK277" s="423"/>
      <c r="AL277" s="423"/>
      <c r="AM277" s="423"/>
      <c r="AN277" s="423"/>
      <c r="AO277" s="423"/>
      <c r="AP277" s="423"/>
    </row>
    <row r="278" spans="1:42" s="384" customFormat="1">
      <c r="A278" s="191"/>
      <c r="B278" s="689">
        <v>44</v>
      </c>
      <c r="C278" s="417" t="s">
        <v>511</v>
      </c>
      <c r="D278" s="418" t="s">
        <v>235</v>
      </c>
      <c r="E278" s="566">
        <v>1</v>
      </c>
      <c r="F278" s="566">
        <f>3*1.05</f>
        <v>3.1500000000000004</v>
      </c>
      <c r="G278" s="566">
        <v>1</v>
      </c>
      <c r="H278" s="566">
        <v>1</v>
      </c>
      <c r="I278" s="566">
        <v>1</v>
      </c>
      <c r="J278" s="566">
        <v>1</v>
      </c>
      <c r="K278" s="566">
        <v>1</v>
      </c>
      <c r="L278" s="566">
        <v>1</v>
      </c>
      <c r="M278" s="567">
        <f t="shared" si="610"/>
        <v>3.0100000000000002</v>
      </c>
      <c r="N278" s="411">
        <v>2</v>
      </c>
      <c r="O278" s="567">
        <v>10</v>
      </c>
      <c r="P278" s="567">
        <v>0.81</v>
      </c>
      <c r="Q278" s="402">
        <f t="shared" si="633"/>
        <v>3.0100000000000002</v>
      </c>
      <c r="R278" s="402">
        <f t="shared" si="634"/>
        <v>9.4815000000000023</v>
      </c>
      <c r="S278" s="402">
        <f t="shared" si="635"/>
        <v>3.0100000000000002</v>
      </c>
      <c r="T278" s="402">
        <f t="shared" si="636"/>
        <v>3.0100000000000002</v>
      </c>
      <c r="U278" s="402">
        <f t="shared" si="637"/>
        <v>3.0100000000000002</v>
      </c>
      <c r="V278" s="402">
        <f t="shared" si="638"/>
        <v>3.0100000000000002</v>
      </c>
      <c r="W278" s="402">
        <f t="shared" si="639"/>
        <v>3.0100000000000002</v>
      </c>
      <c r="X278" s="402">
        <f t="shared" si="640"/>
        <v>3.0100000000000002</v>
      </c>
      <c r="Y278" s="423"/>
      <c r="Z278" s="455"/>
      <c r="AA278" s="403"/>
      <c r="AB278" s="403"/>
      <c r="AC278" s="403"/>
      <c r="AD278" s="403"/>
      <c r="AE278" s="403"/>
      <c r="AF278" s="403"/>
      <c r="AG278" s="403"/>
      <c r="AH278" s="323"/>
      <c r="AI278" s="423"/>
      <c r="AJ278" s="423"/>
      <c r="AK278" s="423"/>
      <c r="AL278" s="423"/>
      <c r="AM278" s="423"/>
      <c r="AN278" s="423"/>
      <c r="AO278" s="423"/>
      <c r="AP278" s="423"/>
    </row>
    <row r="279" spans="1:42" s="384" customFormat="1">
      <c r="A279" s="191"/>
      <c r="B279" s="689" t="s">
        <v>278</v>
      </c>
      <c r="C279" s="407" t="s">
        <v>512</v>
      </c>
      <c r="D279" s="689"/>
      <c r="E279" s="566"/>
      <c r="F279" s="566"/>
      <c r="G279" s="566"/>
      <c r="H279" s="566"/>
      <c r="I279" s="566"/>
      <c r="J279" s="566"/>
      <c r="K279" s="566"/>
      <c r="L279" s="566"/>
      <c r="M279" s="567">
        <f t="shared" si="610"/>
        <v>0</v>
      </c>
      <c r="N279" s="567"/>
      <c r="O279" s="567"/>
      <c r="P279" s="567"/>
      <c r="Q279" s="402">
        <f t="shared" si="633"/>
        <v>0</v>
      </c>
      <c r="R279" s="402">
        <f t="shared" si="634"/>
        <v>0</v>
      </c>
      <c r="S279" s="402">
        <f t="shared" si="635"/>
        <v>0</v>
      </c>
      <c r="T279" s="402">
        <f t="shared" si="636"/>
        <v>0</v>
      </c>
      <c r="U279" s="402">
        <f t="shared" si="637"/>
        <v>0</v>
      </c>
      <c r="V279" s="402">
        <f t="shared" si="638"/>
        <v>0</v>
      </c>
      <c r="W279" s="402">
        <f t="shared" si="639"/>
        <v>0</v>
      </c>
      <c r="X279" s="402">
        <f t="shared" si="640"/>
        <v>0</v>
      </c>
      <c r="Y279" s="409"/>
      <c r="Z279" s="455"/>
      <c r="AA279" s="403"/>
      <c r="AB279" s="403"/>
      <c r="AC279" s="403"/>
      <c r="AD279" s="403"/>
      <c r="AE279" s="403"/>
      <c r="AF279" s="403"/>
      <c r="AG279" s="403"/>
      <c r="AH279" s="323"/>
      <c r="AI279" s="403"/>
      <c r="AJ279" s="403"/>
      <c r="AK279" s="403"/>
      <c r="AL279" s="403"/>
      <c r="AM279" s="403"/>
      <c r="AN279" s="403"/>
      <c r="AO279" s="403"/>
      <c r="AP279" s="403"/>
    </row>
    <row r="280" spans="1:42" ht="22.5">
      <c r="A280" s="191" t="s">
        <v>277</v>
      </c>
      <c r="B280" s="689">
        <v>1</v>
      </c>
      <c r="C280" s="407" t="s">
        <v>513</v>
      </c>
      <c r="D280" s="689" t="s">
        <v>235</v>
      </c>
      <c r="E280" s="566"/>
      <c r="F280" s="566"/>
      <c r="G280" s="566"/>
      <c r="H280" s="566"/>
      <c r="I280" s="566"/>
      <c r="J280" s="566"/>
      <c r="K280" s="566"/>
      <c r="L280" s="566"/>
      <c r="M280" s="567">
        <f t="shared" si="610"/>
        <v>15.9895</v>
      </c>
      <c r="N280" s="567">
        <f>'附件4-8甲供材料清单'!K180</f>
        <v>5.59</v>
      </c>
      <c r="O280" s="567">
        <v>5</v>
      </c>
      <c r="P280" s="567">
        <v>10.119999999999999</v>
      </c>
      <c r="Q280" s="411">
        <f t="shared" si="633"/>
        <v>0</v>
      </c>
      <c r="R280" s="411">
        <f t="shared" si="634"/>
        <v>0</v>
      </c>
      <c r="S280" s="411">
        <f t="shared" si="635"/>
        <v>0</v>
      </c>
      <c r="T280" s="411">
        <f t="shared" si="636"/>
        <v>0</v>
      </c>
      <c r="U280" s="411">
        <f t="shared" si="637"/>
        <v>0</v>
      </c>
      <c r="V280" s="411">
        <f t="shared" si="638"/>
        <v>0</v>
      </c>
      <c r="W280" s="411">
        <f t="shared" si="639"/>
        <v>0</v>
      </c>
      <c r="X280" s="411">
        <f t="shared" si="640"/>
        <v>0</v>
      </c>
      <c r="Y280" s="409" t="s">
        <v>244</v>
      </c>
      <c r="Z280" s="455">
        <f t="shared" ref="Z280" si="653">Q280</f>
        <v>0</v>
      </c>
      <c r="AA280" s="403">
        <f t="shared" ref="AA280" si="654">R280</f>
        <v>0</v>
      </c>
      <c r="AB280" s="403">
        <f t="shared" ref="AB280" si="655">S280</f>
        <v>0</v>
      </c>
      <c r="AC280" s="403">
        <f t="shared" ref="AC280" si="656">T280</f>
        <v>0</v>
      </c>
      <c r="AD280" s="403">
        <f t="shared" ref="AD280" si="657">U280</f>
        <v>0</v>
      </c>
      <c r="AE280" s="403">
        <f t="shared" ref="AE280" si="658">V280</f>
        <v>0</v>
      </c>
      <c r="AF280" s="403">
        <f t="shared" ref="AF280" si="659">W280</f>
        <v>0</v>
      </c>
      <c r="AG280" s="403">
        <f t="shared" ref="AG280" si="660">X280</f>
        <v>0</v>
      </c>
      <c r="AH280" s="323"/>
      <c r="AI280" s="403">
        <f t="shared" ref="AI280" si="661">E280*$N280*(1+$O280%)</f>
        <v>0</v>
      </c>
      <c r="AJ280" s="403">
        <f t="shared" ref="AJ280" si="662">F280*$N280*(1+$O280%)</f>
        <v>0</v>
      </c>
      <c r="AK280" s="403">
        <f t="shared" ref="AK280" si="663">G280*$N280*(1+$O280%)</f>
        <v>0</v>
      </c>
      <c r="AL280" s="403">
        <f t="shared" ref="AL280" si="664">H280*$N280*(1+$O280%)</f>
        <v>0</v>
      </c>
      <c r="AM280" s="403">
        <f t="shared" ref="AM280" si="665">I280*$N280*(1+$O280%)</f>
        <v>0</v>
      </c>
      <c r="AN280" s="403">
        <f t="shared" ref="AN280" si="666">J280*$N280*(1+$O280%)</f>
        <v>0</v>
      </c>
      <c r="AO280" s="403">
        <f t="shared" ref="AO280" si="667">K280*$N280*(1+$O280%)</f>
        <v>0</v>
      </c>
      <c r="AP280" s="403">
        <f t="shared" ref="AP280" si="668">L280*$N280*(1+$O280%)</f>
        <v>0</v>
      </c>
    </row>
    <row r="281" spans="1:42" ht="22.5">
      <c r="A281" s="191" t="s">
        <v>277</v>
      </c>
      <c r="B281" s="689">
        <v>2</v>
      </c>
      <c r="C281" s="407" t="s">
        <v>514</v>
      </c>
      <c r="D281" s="689" t="s">
        <v>235</v>
      </c>
      <c r="E281" s="566"/>
      <c r="F281" s="566"/>
      <c r="G281" s="566"/>
      <c r="H281" s="566"/>
      <c r="I281" s="566"/>
      <c r="J281" s="566"/>
      <c r="K281" s="566"/>
      <c r="L281" s="566"/>
      <c r="M281" s="567">
        <f t="shared" si="610"/>
        <v>21.648499999999999</v>
      </c>
      <c r="N281" s="567">
        <f>'附件4-8甲供材料清单'!K181</f>
        <v>8.57</v>
      </c>
      <c r="O281" s="567">
        <v>5</v>
      </c>
      <c r="P281" s="567">
        <v>12.65</v>
      </c>
      <c r="Q281" s="411">
        <f t="shared" si="633"/>
        <v>0</v>
      </c>
      <c r="R281" s="411">
        <f t="shared" si="634"/>
        <v>0</v>
      </c>
      <c r="S281" s="411">
        <f t="shared" si="635"/>
        <v>0</v>
      </c>
      <c r="T281" s="411">
        <f t="shared" si="636"/>
        <v>0</v>
      </c>
      <c r="U281" s="411">
        <f t="shared" si="637"/>
        <v>0</v>
      </c>
      <c r="V281" s="411">
        <f t="shared" si="638"/>
        <v>0</v>
      </c>
      <c r="W281" s="411">
        <f t="shared" si="639"/>
        <v>0</v>
      </c>
      <c r="X281" s="411">
        <f t="shared" si="640"/>
        <v>0</v>
      </c>
      <c r="Y281" s="409" t="s">
        <v>244</v>
      </c>
      <c r="Z281" s="455">
        <f t="shared" ref="Z281:AG286" si="669">Q281</f>
        <v>0</v>
      </c>
      <c r="AA281" s="403">
        <f t="shared" si="669"/>
        <v>0</v>
      </c>
      <c r="AB281" s="403">
        <f t="shared" si="669"/>
        <v>0</v>
      </c>
      <c r="AC281" s="403">
        <f t="shared" si="669"/>
        <v>0</v>
      </c>
      <c r="AD281" s="403">
        <f t="shared" si="669"/>
        <v>0</v>
      </c>
      <c r="AE281" s="403">
        <f t="shared" si="669"/>
        <v>0</v>
      </c>
      <c r="AF281" s="403">
        <f t="shared" si="669"/>
        <v>0</v>
      </c>
      <c r="AG281" s="403">
        <f t="shared" si="669"/>
        <v>0</v>
      </c>
      <c r="AH281" s="323"/>
      <c r="AI281" s="403">
        <f t="shared" ref="AI281:AP286" si="670">E281*$N281*(1+$O281%)</f>
        <v>0</v>
      </c>
      <c r="AJ281" s="403">
        <f t="shared" si="670"/>
        <v>0</v>
      </c>
      <c r="AK281" s="403">
        <f t="shared" si="670"/>
        <v>0</v>
      </c>
      <c r="AL281" s="403">
        <f t="shared" si="670"/>
        <v>0</v>
      </c>
      <c r="AM281" s="403">
        <f t="shared" si="670"/>
        <v>0</v>
      </c>
      <c r="AN281" s="403">
        <f t="shared" si="670"/>
        <v>0</v>
      </c>
      <c r="AO281" s="403">
        <f t="shared" si="670"/>
        <v>0</v>
      </c>
      <c r="AP281" s="403">
        <f t="shared" si="670"/>
        <v>0</v>
      </c>
    </row>
    <row r="282" spans="1:42" ht="22.5">
      <c r="A282" s="191" t="s">
        <v>277</v>
      </c>
      <c r="B282" s="689">
        <v>3</v>
      </c>
      <c r="C282" s="407" t="s">
        <v>515</v>
      </c>
      <c r="D282" s="689" t="s">
        <v>235</v>
      </c>
      <c r="E282" s="566"/>
      <c r="F282" s="566"/>
      <c r="G282" s="566"/>
      <c r="H282" s="566"/>
      <c r="I282" s="566"/>
      <c r="J282" s="566"/>
      <c r="K282" s="566"/>
      <c r="L282" s="566"/>
      <c r="M282" s="567">
        <f t="shared" si="610"/>
        <v>35.170999999999999</v>
      </c>
      <c r="N282" s="567">
        <f>'附件4-8甲供材料清单'!K182</f>
        <v>15.42</v>
      </c>
      <c r="O282" s="567">
        <v>5</v>
      </c>
      <c r="P282" s="567">
        <v>18.98</v>
      </c>
      <c r="Q282" s="411">
        <f t="shared" si="633"/>
        <v>0</v>
      </c>
      <c r="R282" s="411">
        <f t="shared" si="634"/>
        <v>0</v>
      </c>
      <c r="S282" s="411">
        <f t="shared" si="635"/>
        <v>0</v>
      </c>
      <c r="T282" s="411">
        <f t="shared" si="636"/>
        <v>0</v>
      </c>
      <c r="U282" s="411">
        <f t="shared" si="637"/>
        <v>0</v>
      </c>
      <c r="V282" s="411">
        <f t="shared" si="638"/>
        <v>0</v>
      </c>
      <c r="W282" s="411">
        <f t="shared" si="639"/>
        <v>0</v>
      </c>
      <c r="X282" s="411">
        <f t="shared" si="640"/>
        <v>0</v>
      </c>
      <c r="Y282" s="409" t="s">
        <v>244</v>
      </c>
      <c r="Z282" s="455">
        <f t="shared" si="669"/>
        <v>0</v>
      </c>
      <c r="AA282" s="403">
        <f t="shared" si="669"/>
        <v>0</v>
      </c>
      <c r="AB282" s="403">
        <f t="shared" si="669"/>
        <v>0</v>
      </c>
      <c r="AC282" s="403">
        <f t="shared" si="669"/>
        <v>0</v>
      </c>
      <c r="AD282" s="403">
        <f t="shared" si="669"/>
        <v>0</v>
      </c>
      <c r="AE282" s="403">
        <f t="shared" si="669"/>
        <v>0</v>
      </c>
      <c r="AF282" s="403">
        <f t="shared" si="669"/>
        <v>0</v>
      </c>
      <c r="AG282" s="403">
        <f t="shared" si="669"/>
        <v>0</v>
      </c>
      <c r="AH282" s="323"/>
      <c r="AI282" s="403">
        <f t="shared" si="670"/>
        <v>0</v>
      </c>
      <c r="AJ282" s="403">
        <f t="shared" si="670"/>
        <v>0</v>
      </c>
      <c r="AK282" s="403">
        <f t="shared" si="670"/>
        <v>0</v>
      </c>
      <c r="AL282" s="403">
        <f t="shared" si="670"/>
        <v>0</v>
      </c>
      <c r="AM282" s="403">
        <f t="shared" si="670"/>
        <v>0</v>
      </c>
      <c r="AN282" s="403">
        <f t="shared" si="670"/>
        <v>0</v>
      </c>
      <c r="AO282" s="403">
        <f t="shared" si="670"/>
        <v>0</v>
      </c>
      <c r="AP282" s="403">
        <f t="shared" si="670"/>
        <v>0</v>
      </c>
    </row>
    <row r="283" spans="1:42" ht="22.5">
      <c r="A283" s="191" t="s">
        <v>277</v>
      </c>
      <c r="B283" s="689">
        <v>4</v>
      </c>
      <c r="C283" s="407" t="s">
        <v>516</v>
      </c>
      <c r="D283" s="418" t="s">
        <v>235</v>
      </c>
      <c r="E283" s="566"/>
      <c r="F283" s="566"/>
      <c r="G283" s="566"/>
      <c r="H283" s="566"/>
      <c r="I283" s="566"/>
      <c r="J283" s="566"/>
      <c r="K283" s="566"/>
      <c r="L283" s="566"/>
      <c r="M283" s="567">
        <f t="shared" si="610"/>
        <v>12.965</v>
      </c>
      <c r="N283" s="571">
        <f>'附件4-8甲供材料清单'!K174</f>
        <v>3.3</v>
      </c>
      <c r="O283" s="567">
        <v>5</v>
      </c>
      <c r="P283" s="571">
        <v>9.5</v>
      </c>
      <c r="Q283" s="411">
        <f t="shared" si="633"/>
        <v>0</v>
      </c>
      <c r="R283" s="411">
        <f t="shared" si="634"/>
        <v>0</v>
      </c>
      <c r="S283" s="411">
        <f t="shared" si="635"/>
        <v>0</v>
      </c>
      <c r="T283" s="411">
        <f t="shared" si="636"/>
        <v>0</v>
      </c>
      <c r="U283" s="411">
        <f t="shared" si="637"/>
        <v>0</v>
      </c>
      <c r="V283" s="411">
        <f t="shared" si="638"/>
        <v>0</v>
      </c>
      <c r="W283" s="411">
        <f t="shared" si="639"/>
        <v>0</v>
      </c>
      <c r="X283" s="411">
        <f t="shared" si="640"/>
        <v>0</v>
      </c>
      <c r="Y283" s="409" t="s">
        <v>244</v>
      </c>
      <c r="Z283" s="455">
        <f t="shared" si="669"/>
        <v>0</v>
      </c>
      <c r="AA283" s="403">
        <f t="shared" si="669"/>
        <v>0</v>
      </c>
      <c r="AB283" s="403">
        <f t="shared" si="669"/>
        <v>0</v>
      </c>
      <c r="AC283" s="403">
        <f t="shared" si="669"/>
        <v>0</v>
      </c>
      <c r="AD283" s="403">
        <f t="shared" si="669"/>
        <v>0</v>
      </c>
      <c r="AE283" s="403">
        <f t="shared" si="669"/>
        <v>0</v>
      </c>
      <c r="AF283" s="403">
        <f t="shared" si="669"/>
        <v>0</v>
      </c>
      <c r="AG283" s="403">
        <f t="shared" si="669"/>
        <v>0</v>
      </c>
      <c r="AH283" s="323"/>
      <c r="AI283" s="403">
        <f t="shared" si="670"/>
        <v>0</v>
      </c>
      <c r="AJ283" s="403">
        <f t="shared" si="670"/>
        <v>0</v>
      </c>
      <c r="AK283" s="403">
        <f t="shared" si="670"/>
        <v>0</v>
      </c>
      <c r="AL283" s="403">
        <f t="shared" si="670"/>
        <v>0</v>
      </c>
      <c r="AM283" s="403">
        <f t="shared" si="670"/>
        <v>0</v>
      </c>
      <c r="AN283" s="403">
        <f t="shared" si="670"/>
        <v>0</v>
      </c>
      <c r="AO283" s="403">
        <f t="shared" si="670"/>
        <v>0</v>
      </c>
      <c r="AP283" s="403">
        <f t="shared" si="670"/>
        <v>0</v>
      </c>
    </row>
    <row r="284" spans="1:42" ht="22.5">
      <c r="A284" s="191" t="s">
        <v>277</v>
      </c>
      <c r="B284" s="689">
        <v>5</v>
      </c>
      <c r="C284" s="407" t="s">
        <v>517</v>
      </c>
      <c r="D284" s="418" t="s">
        <v>235</v>
      </c>
      <c r="E284" s="566"/>
      <c r="F284" s="566"/>
      <c r="G284" s="566"/>
      <c r="H284" s="566"/>
      <c r="I284" s="566"/>
      <c r="J284" s="566"/>
      <c r="K284" s="566"/>
      <c r="L284" s="566"/>
      <c r="M284" s="567">
        <f t="shared" si="610"/>
        <v>11.967500000000001</v>
      </c>
      <c r="N284" s="571">
        <f>'附件4-8甲供材料清单'!K175</f>
        <v>2.35</v>
      </c>
      <c r="O284" s="567">
        <v>5</v>
      </c>
      <c r="P284" s="571">
        <v>9.5</v>
      </c>
      <c r="Q284" s="411">
        <f t="shared" si="633"/>
        <v>0</v>
      </c>
      <c r="R284" s="411">
        <f t="shared" si="634"/>
        <v>0</v>
      </c>
      <c r="S284" s="411">
        <f t="shared" si="635"/>
        <v>0</v>
      </c>
      <c r="T284" s="411">
        <f t="shared" si="636"/>
        <v>0</v>
      </c>
      <c r="U284" s="411">
        <f t="shared" si="637"/>
        <v>0</v>
      </c>
      <c r="V284" s="411">
        <f t="shared" si="638"/>
        <v>0</v>
      </c>
      <c r="W284" s="411">
        <f t="shared" si="639"/>
        <v>0</v>
      </c>
      <c r="X284" s="411">
        <f t="shared" si="640"/>
        <v>0</v>
      </c>
      <c r="Y284" s="409" t="s">
        <v>244</v>
      </c>
      <c r="Z284" s="455">
        <f t="shared" si="669"/>
        <v>0</v>
      </c>
      <c r="AA284" s="403">
        <f t="shared" si="669"/>
        <v>0</v>
      </c>
      <c r="AB284" s="403">
        <f t="shared" si="669"/>
        <v>0</v>
      </c>
      <c r="AC284" s="403">
        <f t="shared" si="669"/>
        <v>0</v>
      </c>
      <c r="AD284" s="403">
        <f t="shared" si="669"/>
        <v>0</v>
      </c>
      <c r="AE284" s="403">
        <f t="shared" si="669"/>
        <v>0</v>
      </c>
      <c r="AF284" s="403">
        <f t="shared" si="669"/>
        <v>0</v>
      </c>
      <c r="AG284" s="403">
        <f t="shared" si="669"/>
        <v>0</v>
      </c>
      <c r="AH284" s="323"/>
      <c r="AI284" s="403">
        <f t="shared" si="670"/>
        <v>0</v>
      </c>
      <c r="AJ284" s="403">
        <f t="shared" si="670"/>
        <v>0</v>
      </c>
      <c r="AK284" s="403">
        <f t="shared" si="670"/>
        <v>0</v>
      </c>
      <c r="AL284" s="403">
        <f t="shared" si="670"/>
        <v>0</v>
      </c>
      <c r="AM284" s="403">
        <f t="shared" si="670"/>
        <v>0</v>
      </c>
      <c r="AN284" s="403">
        <f t="shared" si="670"/>
        <v>0</v>
      </c>
      <c r="AO284" s="403">
        <f t="shared" si="670"/>
        <v>0</v>
      </c>
      <c r="AP284" s="403">
        <f t="shared" si="670"/>
        <v>0</v>
      </c>
    </row>
    <row r="285" spans="1:42" ht="22.5">
      <c r="A285" s="191" t="s">
        <v>277</v>
      </c>
      <c r="B285" s="689">
        <v>6</v>
      </c>
      <c r="C285" s="407" t="s">
        <v>518</v>
      </c>
      <c r="D285" s="418" t="s">
        <v>235</v>
      </c>
      <c r="E285" s="566"/>
      <c r="F285" s="566"/>
      <c r="G285" s="566"/>
      <c r="H285" s="566"/>
      <c r="I285" s="566"/>
      <c r="J285" s="566"/>
      <c r="K285" s="566"/>
      <c r="L285" s="566"/>
      <c r="M285" s="567">
        <f t="shared" si="610"/>
        <v>12.965</v>
      </c>
      <c r="N285" s="571">
        <f>'附件4-8甲供材料清单'!K177</f>
        <v>3.3</v>
      </c>
      <c r="O285" s="567">
        <v>5</v>
      </c>
      <c r="P285" s="571">
        <v>9.5</v>
      </c>
      <c r="Q285" s="411">
        <f t="shared" si="633"/>
        <v>0</v>
      </c>
      <c r="R285" s="411">
        <f t="shared" si="634"/>
        <v>0</v>
      </c>
      <c r="S285" s="411">
        <f t="shared" si="635"/>
        <v>0</v>
      </c>
      <c r="T285" s="411">
        <f t="shared" si="636"/>
        <v>0</v>
      </c>
      <c r="U285" s="411">
        <f t="shared" si="637"/>
        <v>0</v>
      </c>
      <c r="V285" s="411">
        <f t="shared" si="638"/>
        <v>0</v>
      </c>
      <c r="W285" s="411">
        <f t="shared" si="639"/>
        <v>0</v>
      </c>
      <c r="X285" s="411">
        <f t="shared" si="640"/>
        <v>0</v>
      </c>
      <c r="Y285" s="409" t="s">
        <v>244</v>
      </c>
      <c r="Z285" s="455">
        <f t="shared" si="669"/>
        <v>0</v>
      </c>
      <c r="AA285" s="403">
        <f t="shared" si="669"/>
        <v>0</v>
      </c>
      <c r="AB285" s="403">
        <f t="shared" si="669"/>
        <v>0</v>
      </c>
      <c r="AC285" s="403">
        <f t="shared" si="669"/>
        <v>0</v>
      </c>
      <c r="AD285" s="403">
        <f t="shared" si="669"/>
        <v>0</v>
      </c>
      <c r="AE285" s="403">
        <f t="shared" si="669"/>
        <v>0</v>
      </c>
      <c r="AF285" s="403">
        <f t="shared" si="669"/>
        <v>0</v>
      </c>
      <c r="AG285" s="403">
        <f t="shared" si="669"/>
        <v>0</v>
      </c>
      <c r="AH285" s="323"/>
      <c r="AI285" s="403">
        <f t="shared" si="670"/>
        <v>0</v>
      </c>
      <c r="AJ285" s="403">
        <f t="shared" si="670"/>
        <v>0</v>
      </c>
      <c r="AK285" s="403">
        <f t="shared" si="670"/>
        <v>0</v>
      </c>
      <c r="AL285" s="403">
        <f t="shared" si="670"/>
        <v>0</v>
      </c>
      <c r="AM285" s="403">
        <f t="shared" si="670"/>
        <v>0</v>
      </c>
      <c r="AN285" s="403">
        <f t="shared" si="670"/>
        <v>0</v>
      </c>
      <c r="AO285" s="403">
        <f t="shared" si="670"/>
        <v>0</v>
      </c>
      <c r="AP285" s="403">
        <f t="shared" si="670"/>
        <v>0</v>
      </c>
    </row>
    <row r="286" spans="1:42" ht="22.5">
      <c r="A286" s="191" t="s">
        <v>277</v>
      </c>
      <c r="B286" s="689">
        <v>7</v>
      </c>
      <c r="C286" s="407" t="s">
        <v>519</v>
      </c>
      <c r="D286" s="418" t="s">
        <v>235</v>
      </c>
      <c r="E286" s="566"/>
      <c r="F286" s="566"/>
      <c r="G286" s="566"/>
      <c r="H286" s="566"/>
      <c r="I286" s="566"/>
      <c r="J286" s="566"/>
      <c r="K286" s="566"/>
      <c r="L286" s="566"/>
      <c r="M286" s="567">
        <f t="shared" si="610"/>
        <v>11.967500000000001</v>
      </c>
      <c r="N286" s="571">
        <f>'附件4-8甲供材料清单'!K178</f>
        <v>2.35</v>
      </c>
      <c r="O286" s="567">
        <v>5</v>
      </c>
      <c r="P286" s="571">
        <v>9.5</v>
      </c>
      <c r="Q286" s="411">
        <f t="shared" si="633"/>
        <v>0</v>
      </c>
      <c r="R286" s="411">
        <f t="shared" si="634"/>
        <v>0</v>
      </c>
      <c r="S286" s="411">
        <f t="shared" si="635"/>
        <v>0</v>
      </c>
      <c r="T286" s="411">
        <f t="shared" si="636"/>
        <v>0</v>
      </c>
      <c r="U286" s="411">
        <f t="shared" si="637"/>
        <v>0</v>
      </c>
      <c r="V286" s="411">
        <f t="shared" si="638"/>
        <v>0</v>
      </c>
      <c r="W286" s="411">
        <f t="shared" si="639"/>
        <v>0</v>
      </c>
      <c r="X286" s="411">
        <f t="shared" si="640"/>
        <v>0</v>
      </c>
      <c r="Y286" s="409" t="s">
        <v>244</v>
      </c>
      <c r="Z286" s="455">
        <f t="shared" si="669"/>
        <v>0</v>
      </c>
      <c r="AA286" s="403">
        <f t="shared" si="669"/>
        <v>0</v>
      </c>
      <c r="AB286" s="403">
        <f t="shared" si="669"/>
        <v>0</v>
      </c>
      <c r="AC286" s="403">
        <f t="shared" si="669"/>
        <v>0</v>
      </c>
      <c r="AD286" s="403">
        <f t="shared" si="669"/>
        <v>0</v>
      </c>
      <c r="AE286" s="403">
        <f t="shared" si="669"/>
        <v>0</v>
      </c>
      <c r="AF286" s="403">
        <f t="shared" si="669"/>
        <v>0</v>
      </c>
      <c r="AG286" s="403">
        <f t="shared" si="669"/>
        <v>0</v>
      </c>
      <c r="AH286" s="323"/>
      <c r="AI286" s="403">
        <f t="shared" si="670"/>
        <v>0</v>
      </c>
      <c r="AJ286" s="403">
        <f t="shared" si="670"/>
        <v>0</v>
      </c>
      <c r="AK286" s="403">
        <f t="shared" si="670"/>
        <v>0</v>
      </c>
      <c r="AL286" s="403">
        <f t="shared" si="670"/>
        <v>0</v>
      </c>
      <c r="AM286" s="403">
        <f t="shared" si="670"/>
        <v>0</v>
      </c>
      <c r="AN286" s="403">
        <f t="shared" si="670"/>
        <v>0</v>
      </c>
      <c r="AO286" s="403">
        <f t="shared" si="670"/>
        <v>0</v>
      </c>
      <c r="AP286" s="403">
        <f t="shared" si="670"/>
        <v>0</v>
      </c>
    </row>
    <row r="287" spans="1:42" ht="22.5">
      <c r="A287" s="191" t="s">
        <v>277</v>
      </c>
      <c r="B287" s="689">
        <v>6</v>
      </c>
      <c r="C287" s="407" t="s">
        <v>520</v>
      </c>
      <c r="D287" s="418" t="s">
        <v>235</v>
      </c>
      <c r="E287" s="566"/>
      <c r="F287" s="566"/>
      <c r="G287" s="566"/>
      <c r="H287" s="566"/>
      <c r="I287" s="566"/>
      <c r="J287" s="566"/>
      <c r="K287" s="566"/>
      <c r="L287" s="566"/>
      <c r="M287" s="567">
        <f t="shared" ref="M287" si="671">N287+N287*O287%+P287</f>
        <v>11.547499999999999</v>
      </c>
      <c r="N287" s="571">
        <f>'附件4-8甲供材料清单'!K179</f>
        <v>1.95</v>
      </c>
      <c r="O287" s="567">
        <v>5</v>
      </c>
      <c r="P287" s="571">
        <v>9.5</v>
      </c>
      <c r="Q287" s="411">
        <f t="shared" ref="Q287" si="672">E287*$M287</f>
        <v>0</v>
      </c>
      <c r="R287" s="411">
        <f t="shared" ref="R287" si="673">F287*$M287</f>
        <v>0</v>
      </c>
      <c r="S287" s="411">
        <f t="shared" ref="S287" si="674">G287*$M287</f>
        <v>0</v>
      </c>
      <c r="T287" s="411">
        <f t="shared" ref="T287" si="675">H287*$M287</f>
        <v>0</v>
      </c>
      <c r="U287" s="411">
        <f t="shared" ref="U287" si="676">I287*$M287</f>
        <v>0</v>
      </c>
      <c r="V287" s="411">
        <f t="shared" ref="V287" si="677">J287*$M287</f>
        <v>0</v>
      </c>
      <c r="W287" s="411">
        <f t="shared" ref="W287" si="678">K287*$M287</f>
        <v>0</v>
      </c>
      <c r="X287" s="411">
        <f t="shared" ref="X287" si="679">L287*$M287</f>
        <v>0</v>
      </c>
      <c r="Y287" s="409" t="s">
        <v>244</v>
      </c>
      <c r="Z287" s="455">
        <f t="shared" ref="Z287" si="680">Q287</f>
        <v>0</v>
      </c>
      <c r="AA287" s="403">
        <f t="shared" ref="AA287" si="681">R287</f>
        <v>0</v>
      </c>
      <c r="AB287" s="403">
        <f t="shared" ref="AB287" si="682">S287</f>
        <v>0</v>
      </c>
      <c r="AC287" s="403">
        <f t="shared" ref="AC287" si="683">T287</f>
        <v>0</v>
      </c>
      <c r="AD287" s="403">
        <f t="shared" ref="AD287" si="684">U287</f>
        <v>0</v>
      </c>
      <c r="AE287" s="403">
        <f t="shared" ref="AE287" si="685">V287</f>
        <v>0</v>
      </c>
      <c r="AF287" s="403">
        <f t="shared" ref="AF287" si="686">W287</f>
        <v>0</v>
      </c>
      <c r="AG287" s="403">
        <f t="shared" ref="AG287" si="687">X287</f>
        <v>0</v>
      </c>
      <c r="AH287" s="323"/>
      <c r="AI287" s="403">
        <f t="shared" ref="AI287" si="688">E287*$N287*(1+$O287%)</f>
        <v>0</v>
      </c>
      <c r="AJ287" s="403">
        <f t="shared" ref="AJ287" si="689">F287*$N287*(1+$O287%)</f>
        <v>0</v>
      </c>
      <c r="AK287" s="403">
        <f t="shared" ref="AK287" si="690">G287*$N287*(1+$O287%)</f>
        <v>0</v>
      </c>
      <c r="AL287" s="403">
        <f t="shared" ref="AL287" si="691">H287*$N287*(1+$O287%)</f>
        <v>0</v>
      </c>
      <c r="AM287" s="403">
        <f t="shared" ref="AM287" si="692">I287*$N287*(1+$O287%)</f>
        <v>0</v>
      </c>
      <c r="AN287" s="403">
        <f t="shared" ref="AN287" si="693">J287*$N287*(1+$O287%)</f>
        <v>0</v>
      </c>
      <c r="AO287" s="403">
        <f t="shared" ref="AO287" si="694">K287*$N287*(1+$O287%)</f>
        <v>0</v>
      </c>
      <c r="AP287" s="403">
        <f t="shared" ref="AP287" si="695">L287*$N287*(1+$O287%)</f>
        <v>0</v>
      </c>
    </row>
    <row r="288" spans="1:42" ht="22.5">
      <c r="A288" s="191" t="s">
        <v>277</v>
      </c>
      <c r="B288" s="689">
        <v>7</v>
      </c>
      <c r="C288" s="407" t="s">
        <v>521</v>
      </c>
      <c r="D288" s="418" t="s">
        <v>235</v>
      </c>
      <c r="E288" s="566"/>
      <c r="F288" s="566"/>
      <c r="G288" s="566"/>
      <c r="H288" s="566"/>
      <c r="I288" s="566"/>
      <c r="J288" s="566"/>
      <c r="K288" s="566"/>
      <c r="L288" s="566"/>
      <c r="M288" s="567">
        <f>N288+N288*O288%+P288</f>
        <v>11.547499999999999</v>
      </c>
      <c r="N288" s="571">
        <f>'附件4-8甲供材料清单'!K176</f>
        <v>1.95</v>
      </c>
      <c r="O288" s="567">
        <v>5</v>
      </c>
      <c r="P288" s="571">
        <v>9.5</v>
      </c>
      <c r="Q288" s="411">
        <f t="shared" ref="Q288:X289" si="696">E288*$M288</f>
        <v>0</v>
      </c>
      <c r="R288" s="411">
        <f t="shared" si="696"/>
        <v>0</v>
      </c>
      <c r="S288" s="411">
        <f t="shared" si="696"/>
        <v>0</v>
      </c>
      <c r="T288" s="411">
        <f t="shared" si="696"/>
        <v>0</v>
      </c>
      <c r="U288" s="411">
        <f t="shared" si="696"/>
        <v>0</v>
      </c>
      <c r="V288" s="411">
        <f t="shared" si="696"/>
        <v>0</v>
      </c>
      <c r="W288" s="411">
        <f t="shared" si="696"/>
        <v>0</v>
      </c>
      <c r="X288" s="411">
        <f t="shared" si="696"/>
        <v>0</v>
      </c>
      <c r="Y288" s="409" t="s">
        <v>244</v>
      </c>
      <c r="Z288" s="455">
        <f t="shared" ref="Z288:AG288" si="697">Q288</f>
        <v>0</v>
      </c>
      <c r="AA288" s="403">
        <f t="shared" si="697"/>
        <v>0</v>
      </c>
      <c r="AB288" s="403">
        <f t="shared" si="697"/>
        <v>0</v>
      </c>
      <c r="AC288" s="403">
        <f t="shared" si="697"/>
        <v>0</v>
      </c>
      <c r="AD288" s="403">
        <f t="shared" si="697"/>
        <v>0</v>
      </c>
      <c r="AE288" s="403">
        <f t="shared" si="697"/>
        <v>0</v>
      </c>
      <c r="AF288" s="403">
        <f t="shared" si="697"/>
        <v>0</v>
      </c>
      <c r="AG288" s="403">
        <f t="shared" si="697"/>
        <v>0</v>
      </c>
      <c r="AH288" s="323"/>
      <c r="AI288" s="403">
        <f t="shared" ref="AI288:AP288" si="698">E288*$N288*(1+$O288%)</f>
        <v>0</v>
      </c>
      <c r="AJ288" s="403">
        <f t="shared" si="698"/>
        <v>0</v>
      </c>
      <c r="AK288" s="403">
        <f t="shared" si="698"/>
        <v>0</v>
      </c>
      <c r="AL288" s="403">
        <f t="shared" si="698"/>
        <v>0</v>
      </c>
      <c r="AM288" s="403">
        <f t="shared" si="698"/>
        <v>0</v>
      </c>
      <c r="AN288" s="403">
        <f t="shared" si="698"/>
        <v>0</v>
      </c>
      <c r="AO288" s="403">
        <f t="shared" si="698"/>
        <v>0</v>
      </c>
      <c r="AP288" s="403">
        <f t="shared" si="698"/>
        <v>0</v>
      </c>
    </row>
    <row r="289" spans="1:42" s="384" customFormat="1" ht="22.5">
      <c r="A289" s="191" t="s">
        <v>277</v>
      </c>
      <c r="B289" s="689">
        <v>8</v>
      </c>
      <c r="C289" s="407" t="s">
        <v>522</v>
      </c>
      <c r="D289" s="418" t="s">
        <v>235</v>
      </c>
      <c r="E289" s="566"/>
      <c r="F289" s="566"/>
      <c r="G289" s="566"/>
      <c r="H289" s="566"/>
      <c r="I289" s="566"/>
      <c r="J289" s="566"/>
      <c r="K289" s="566"/>
      <c r="L289" s="566"/>
      <c r="M289" s="567">
        <f>N289+N289*O289%+P289</f>
        <v>13.950000000000001</v>
      </c>
      <c r="N289" s="411">
        <v>3</v>
      </c>
      <c r="O289" s="567">
        <v>5</v>
      </c>
      <c r="P289" s="567">
        <v>10.8</v>
      </c>
      <c r="Q289" s="402">
        <f t="shared" si="696"/>
        <v>0</v>
      </c>
      <c r="R289" s="402">
        <f t="shared" si="696"/>
        <v>0</v>
      </c>
      <c r="S289" s="402">
        <f t="shared" si="696"/>
        <v>0</v>
      </c>
      <c r="T289" s="402">
        <f t="shared" si="696"/>
        <v>0</v>
      </c>
      <c r="U289" s="402">
        <f t="shared" si="696"/>
        <v>0</v>
      </c>
      <c r="V289" s="402">
        <f t="shared" si="696"/>
        <v>0</v>
      </c>
      <c r="W289" s="402">
        <f t="shared" si="696"/>
        <v>0</v>
      </c>
      <c r="X289" s="402">
        <f t="shared" si="696"/>
        <v>0</v>
      </c>
      <c r="Y289" s="409"/>
      <c r="Z289" s="455"/>
      <c r="AA289" s="403"/>
      <c r="AB289" s="403"/>
      <c r="AC289" s="403"/>
      <c r="AD289" s="403"/>
      <c r="AE289" s="403"/>
      <c r="AF289" s="403"/>
      <c r="AG289" s="403"/>
      <c r="AH289" s="323"/>
      <c r="AI289" s="403"/>
      <c r="AJ289" s="403"/>
      <c r="AK289" s="403"/>
      <c r="AL289" s="403"/>
      <c r="AM289" s="403"/>
      <c r="AN289" s="403"/>
      <c r="AO289" s="403"/>
      <c r="AP289" s="403"/>
    </row>
    <row r="290" spans="1:42" ht="11.25">
      <c r="A290" s="191"/>
      <c r="B290" s="635"/>
      <c r="C290" s="636" t="s">
        <v>523</v>
      </c>
      <c r="D290" s="635"/>
      <c r="E290" s="647"/>
      <c r="F290" s="647"/>
      <c r="G290" s="647"/>
      <c r="H290" s="647"/>
      <c r="I290" s="647"/>
      <c r="J290" s="647"/>
      <c r="K290" s="647"/>
      <c r="L290" s="647"/>
      <c r="M290" s="648"/>
      <c r="N290" s="648"/>
      <c r="O290" s="648"/>
      <c r="P290" s="648"/>
      <c r="Q290" s="649"/>
      <c r="R290" s="649"/>
      <c r="S290" s="649"/>
      <c r="T290" s="649"/>
      <c r="U290" s="649"/>
      <c r="V290" s="649"/>
      <c r="W290" s="649"/>
      <c r="X290" s="649"/>
      <c r="Y290" s="640" t="s">
        <v>1860</v>
      </c>
      <c r="Z290" s="455"/>
      <c r="AA290" s="403"/>
      <c r="AB290" s="403"/>
      <c r="AC290" s="403"/>
      <c r="AD290" s="403"/>
      <c r="AE290" s="403"/>
      <c r="AF290" s="403"/>
      <c r="AG290" s="403"/>
      <c r="AH290" s="323"/>
      <c r="AI290" s="403"/>
      <c r="AJ290" s="403"/>
      <c r="AK290" s="403"/>
      <c r="AL290" s="403"/>
      <c r="AM290" s="403"/>
      <c r="AN290" s="403"/>
      <c r="AO290" s="403"/>
      <c r="AP290" s="403"/>
    </row>
    <row r="291" spans="1:42" s="384" customFormat="1" ht="44.25" customHeight="1">
      <c r="A291" s="191"/>
      <c r="B291" s="424">
        <v>1</v>
      </c>
      <c r="C291" s="425" t="s">
        <v>524</v>
      </c>
      <c r="D291" s="426" t="s">
        <v>231</v>
      </c>
      <c r="E291" s="566">
        <f>20.71-13.19</f>
        <v>7.5200000000000014</v>
      </c>
      <c r="F291" s="566">
        <v>8.5</v>
      </c>
      <c r="G291" s="566">
        <v>12.41</v>
      </c>
      <c r="H291" s="566">
        <f>21.91-13.4</f>
        <v>8.51</v>
      </c>
      <c r="I291" s="566">
        <f>5.53+25.03-16.12</f>
        <v>14.440000000000001</v>
      </c>
      <c r="J291" s="566">
        <f>25.83-14.18</f>
        <v>11.649999999999999</v>
      </c>
      <c r="K291" s="566">
        <f>28.89-18.72+5.03</f>
        <v>15.200000000000003</v>
      </c>
      <c r="L291" s="566">
        <f>22.32-13.68</f>
        <v>8.64</v>
      </c>
      <c r="M291" s="572">
        <f>N291+N291*O291%+P291</f>
        <v>111.54</v>
      </c>
      <c r="N291" s="572">
        <v>15</v>
      </c>
      <c r="O291" s="572">
        <v>10</v>
      </c>
      <c r="P291" s="567">
        <v>95.04</v>
      </c>
      <c r="Q291" s="402">
        <f t="shared" ref="Q291" si="699">E291*$M291</f>
        <v>838.78080000000023</v>
      </c>
      <c r="R291" s="402">
        <f t="shared" ref="R291:X296" si="700">F291*$M291</f>
        <v>948.09</v>
      </c>
      <c r="S291" s="402">
        <f t="shared" si="700"/>
        <v>1384.2114000000001</v>
      </c>
      <c r="T291" s="402">
        <f t="shared" si="700"/>
        <v>949.20540000000005</v>
      </c>
      <c r="U291" s="402">
        <f t="shared" si="700"/>
        <v>1610.6376000000002</v>
      </c>
      <c r="V291" s="402">
        <f t="shared" si="700"/>
        <v>1299.4409999999998</v>
      </c>
      <c r="W291" s="402">
        <f t="shared" si="700"/>
        <v>1695.4080000000004</v>
      </c>
      <c r="X291" s="402">
        <f t="shared" si="700"/>
        <v>963.70560000000012</v>
      </c>
      <c r="Y291" s="425"/>
      <c r="Z291" s="455"/>
      <c r="AA291" s="403"/>
      <c r="AB291" s="403"/>
      <c r="AC291" s="403"/>
      <c r="AD291" s="403"/>
      <c r="AE291" s="403"/>
      <c r="AF291" s="403"/>
      <c r="AG291" s="403"/>
      <c r="AH291" s="323"/>
      <c r="AI291" s="403"/>
      <c r="AJ291" s="403"/>
      <c r="AK291" s="403"/>
      <c r="AL291" s="403"/>
      <c r="AM291" s="403"/>
      <c r="AN291" s="403"/>
      <c r="AO291" s="403"/>
      <c r="AP291" s="403"/>
    </row>
    <row r="292" spans="1:42" s="384" customFormat="1" ht="21.75" customHeight="1">
      <c r="A292" s="191"/>
      <c r="B292" s="424">
        <v>2</v>
      </c>
      <c r="C292" s="425" t="s">
        <v>525</v>
      </c>
      <c r="D292" s="427" t="s">
        <v>235</v>
      </c>
      <c r="E292" s="566">
        <v>14.9</v>
      </c>
      <c r="F292" s="566">
        <v>16.61</v>
      </c>
      <c r="G292" s="566">
        <v>14.7</v>
      </c>
      <c r="H292" s="566">
        <v>15.46</v>
      </c>
      <c r="I292" s="566">
        <v>17.12</v>
      </c>
      <c r="J292" s="566">
        <v>16.559999999999999</v>
      </c>
      <c r="K292" s="566">
        <v>19.77</v>
      </c>
      <c r="L292" s="566">
        <v>15.8</v>
      </c>
      <c r="M292" s="572">
        <f t="shared" ref="M292" si="701">N292+N292*O292/100+P292</f>
        <v>13.108000000000001</v>
      </c>
      <c r="N292" s="567">
        <v>4</v>
      </c>
      <c r="O292" s="567">
        <v>9</v>
      </c>
      <c r="P292" s="567">
        <v>8.7479999999999993</v>
      </c>
      <c r="Q292" s="402">
        <f>E292*$M292</f>
        <v>195.3092</v>
      </c>
      <c r="R292" s="402">
        <f t="shared" si="700"/>
        <v>217.72388000000001</v>
      </c>
      <c r="S292" s="402">
        <f t="shared" si="700"/>
        <v>192.6876</v>
      </c>
      <c r="T292" s="402">
        <f t="shared" si="700"/>
        <v>202.64968000000002</v>
      </c>
      <c r="U292" s="402">
        <f t="shared" si="700"/>
        <v>224.40896000000004</v>
      </c>
      <c r="V292" s="402">
        <f t="shared" si="700"/>
        <v>217.06847999999999</v>
      </c>
      <c r="W292" s="402">
        <f t="shared" si="700"/>
        <v>259.14516000000003</v>
      </c>
      <c r="X292" s="402">
        <f t="shared" si="700"/>
        <v>207.10640000000001</v>
      </c>
      <c r="Y292" s="425"/>
      <c r="Z292" s="455"/>
      <c r="AA292" s="403"/>
      <c r="AB292" s="403"/>
      <c r="AC292" s="403"/>
      <c r="AD292" s="403"/>
      <c r="AE292" s="403"/>
      <c r="AF292" s="403"/>
      <c r="AG292" s="403"/>
      <c r="AH292" s="323"/>
      <c r="AI292" s="403"/>
      <c r="AJ292" s="403"/>
      <c r="AK292" s="403"/>
      <c r="AL292" s="403"/>
      <c r="AM292" s="403"/>
      <c r="AN292" s="403"/>
      <c r="AO292" s="403"/>
      <c r="AP292" s="403"/>
    </row>
    <row r="293" spans="1:42" ht="45">
      <c r="A293" s="191"/>
      <c r="B293" s="424">
        <v>3</v>
      </c>
      <c r="C293" s="425" t="s">
        <v>526</v>
      </c>
      <c r="D293" s="426" t="s">
        <v>231</v>
      </c>
      <c r="E293" s="566">
        <f>2.1*0.15</f>
        <v>0.315</v>
      </c>
      <c r="F293" s="566">
        <f>2.55*0.15</f>
        <v>0.38249999999999995</v>
      </c>
      <c r="G293" s="566">
        <f>1.25*0.15</f>
        <v>0.1875</v>
      </c>
      <c r="H293" s="566">
        <f>3.37*0.15</f>
        <v>0.50549999999999995</v>
      </c>
      <c r="I293" s="566">
        <f>4.82*0.15</f>
        <v>0.72299999999999998</v>
      </c>
      <c r="J293" s="566">
        <f t="shared" ref="J293" si="702">2.1*0.15</f>
        <v>0.315</v>
      </c>
      <c r="K293" s="566">
        <f>4.14*0.15</f>
        <v>0.62099999999999989</v>
      </c>
      <c r="L293" s="566">
        <f>3.46*0.15</f>
        <v>0.51900000000000002</v>
      </c>
      <c r="M293" s="572">
        <f>N293+N293*O293/100+P293</f>
        <v>21.43271</v>
      </c>
      <c r="N293" s="572">
        <f>'附件4-8甲供材料清单'!N123</f>
        <v>2.2087100000000004</v>
      </c>
      <c r="O293" s="572"/>
      <c r="P293" s="567">
        <v>19.224</v>
      </c>
      <c r="Q293" s="411">
        <f>E293*$M293</f>
        <v>6.7513036499999997</v>
      </c>
      <c r="R293" s="411">
        <f t="shared" si="700"/>
        <v>8.1980115749999989</v>
      </c>
      <c r="S293" s="411">
        <f t="shared" si="700"/>
        <v>4.018633125</v>
      </c>
      <c r="T293" s="411">
        <f t="shared" si="700"/>
        <v>10.834234904999999</v>
      </c>
      <c r="U293" s="411">
        <f t="shared" si="700"/>
        <v>15.49584933</v>
      </c>
      <c r="V293" s="411">
        <f t="shared" si="700"/>
        <v>6.7513036499999997</v>
      </c>
      <c r="W293" s="411">
        <f t="shared" si="700"/>
        <v>13.309712909999998</v>
      </c>
      <c r="X293" s="411">
        <f t="shared" si="700"/>
        <v>11.12357649</v>
      </c>
      <c r="Y293" s="409" t="s">
        <v>244</v>
      </c>
      <c r="Z293" s="455">
        <f t="shared" ref="Z293" si="703">Q293</f>
        <v>6.7513036499999997</v>
      </c>
      <c r="AA293" s="403">
        <f t="shared" ref="AA293" si="704">R293</f>
        <v>8.1980115749999989</v>
      </c>
      <c r="AB293" s="403">
        <f t="shared" ref="AB293" si="705">S293</f>
        <v>4.018633125</v>
      </c>
      <c r="AC293" s="403">
        <f t="shared" ref="AC293" si="706">T293</f>
        <v>10.834234904999999</v>
      </c>
      <c r="AD293" s="403">
        <f t="shared" ref="AD293" si="707">U293</f>
        <v>15.49584933</v>
      </c>
      <c r="AE293" s="403">
        <f t="shared" ref="AE293" si="708">V293</f>
        <v>6.7513036499999997</v>
      </c>
      <c r="AF293" s="403">
        <f t="shared" ref="AF293" si="709">W293</f>
        <v>13.309712909999998</v>
      </c>
      <c r="AG293" s="403">
        <f t="shared" ref="AG293" si="710">X293</f>
        <v>11.12357649</v>
      </c>
      <c r="AH293" s="323"/>
      <c r="AI293" s="403">
        <f t="shared" ref="AI293" si="711">E293*$N293*(1+$O293%)</f>
        <v>0.69574365000000016</v>
      </c>
      <c r="AJ293" s="403">
        <f t="shared" ref="AJ293" si="712">F293*$N293*(1+$O293%)</f>
        <v>0.84483157500000006</v>
      </c>
      <c r="AK293" s="403">
        <f t="shared" ref="AK293" si="713">G293*$N293*(1+$O293%)</f>
        <v>0.4141331250000001</v>
      </c>
      <c r="AL293" s="403">
        <f t="shared" ref="AL293" si="714">H293*$N293*(1+$O293%)</f>
        <v>1.1165029050000002</v>
      </c>
      <c r="AM293" s="403">
        <f t="shared" ref="AM293" si="715">I293*$N293*(1+$O293%)</f>
        <v>1.5968973300000002</v>
      </c>
      <c r="AN293" s="403">
        <f t="shared" ref="AN293" si="716">J293*$N293*(1+$O293%)</f>
        <v>0.69574365000000016</v>
      </c>
      <c r="AO293" s="403">
        <f t="shared" ref="AO293" si="717">K293*$N293*(1+$O293%)</f>
        <v>1.37160891</v>
      </c>
      <c r="AP293" s="403">
        <f t="shared" ref="AP293" si="718">L293*$N293*(1+$O293%)</f>
        <v>1.1463204900000001</v>
      </c>
    </row>
    <row r="294" spans="1:42" s="384" customFormat="1" ht="22.5">
      <c r="A294" s="191" t="s">
        <v>527</v>
      </c>
      <c r="B294" s="424">
        <v>5</v>
      </c>
      <c r="C294" s="425" t="s">
        <v>528</v>
      </c>
      <c r="D294" s="426" t="s">
        <v>231</v>
      </c>
      <c r="E294" s="566">
        <v>0</v>
      </c>
      <c r="F294" s="566">
        <f>C单元!$S$16</f>
        <v>6.8668799999999992</v>
      </c>
      <c r="G294" s="566">
        <f>B单元!$S$16</f>
        <v>7.2394799999999986</v>
      </c>
      <c r="H294" s="566">
        <v>0</v>
      </c>
      <c r="I294" s="566">
        <f>H单元!S16</f>
        <v>6.8668799999999992</v>
      </c>
      <c r="J294" s="566">
        <f>'D单元 '!S16</f>
        <v>5.1252799999999992</v>
      </c>
      <c r="K294" s="566">
        <f>I单元!$S$16</f>
        <v>6.8668799999999992</v>
      </c>
      <c r="L294" s="566">
        <v>0</v>
      </c>
      <c r="M294" s="572">
        <f>N294+N294*O294/100+P294</f>
        <v>228.05</v>
      </c>
      <c r="N294" s="572">
        <v>140</v>
      </c>
      <c r="O294" s="572">
        <v>2</v>
      </c>
      <c r="P294" s="572">
        <v>85.25</v>
      </c>
      <c r="Q294" s="402">
        <f>E294*$M294</f>
        <v>0</v>
      </c>
      <c r="R294" s="402">
        <f t="shared" si="700"/>
        <v>1565.991984</v>
      </c>
      <c r="S294" s="402">
        <f t="shared" si="700"/>
        <v>1650.9634139999998</v>
      </c>
      <c r="T294" s="402">
        <f t="shared" si="700"/>
        <v>0</v>
      </c>
      <c r="U294" s="402">
        <f t="shared" si="700"/>
        <v>1565.991984</v>
      </c>
      <c r="V294" s="402">
        <f t="shared" si="700"/>
        <v>1168.8201039999999</v>
      </c>
      <c r="W294" s="402">
        <f t="shared" si="700"/>
        <v>1565.991984</v>
      </c>
      <c r="X294" s="402">
        <f t="shared" si="700"/>
        <v>0</v>
      </c>
      <c r="Y294" s="425"/>
      <c r="Z294" s="455"/>
      <c r="AA294" s="403"/>
      <c r="AB294" s="403"/>
      <c r="AC294" s="403"/>
      <c r="AD294" s="403"/>
      <c r="AE294" s="403"/>
      <c r="AF294" s="403"/>
      <c r="AG294" s="403"/>
      <c r="AH294" s="323"/>
      <c r="AI294" s="403"/>
      <c r="AJ294" s="403"/>
      <c r="AK294" s="403"/>
      <c r="AL294" s="403"/>
      <c r="AM294" s="403"/>
      <c r="AN294" s="403"/>
      <c r="AO294" s="403"/>
      <c r="AP294" s="403"/>
    </row>
    <row r="295" spans="1:42" s="384" customFormat="1" ht="36.75" customHeight="1">
      <c r="A295" s="191" t="s">
        <v>527</v>
      </c>
      <c r="B295" s="424">
        <v>6</v>
      </c>
      <c r="C295" s="425" t="s">
        <v>529</v>
      </c>
      <c r="D295" s="428" t="s">
        <v>235</v>
      </c>
      <c r="E295" s="566">
        <v>0</v>
      </c>
      <c r="F295" s="566">
        <f>C单元!D16+C单元!F16*2</f>
        <v>8.1359999999999992</v>
      </c>
      <c r="G295" s="566">
        <f>B单元!D16+B单元!F16*2</f>
        <v>8.4059999999999988</v>
      </c>
      <c r="H295" s="566">
        <v>0</v>
      </c>
      <c r="I295" s="566">
        <f>H单元!D16+H单元!F16*2</f>
        <v>8.1359999999999992</v>
      </c>
      <c r="J295" s="566">
        <f>'D单元 '!D16+'D单元 '!F16*2</f>
        <v>7.4359999999999999</v>
      </c>
      <c r="K295" s="566">
        <f>I单元!$D$16+I单元!$F$16*2</f>
        <v>8.1359999999999992</v>
      </c>
      <c r="L295" s="566">
        <v>0</v>
      </c>
      <c r="M295" s="572">
        <f>N295+N295*O295/100+P295</f>
        <v>88.66</v>
      </c>
      <c r="N295" s="572">
        <v>62</v>
      </c>
      <c r="O295" s="572">
        <v>3</v>
      </c>
      <c r="P295" s="572">
        <v>24.8</v>
      </c>
      <c r="Q295" s="402">
        <f>E295*$M295</f>
        <v>0</v>
      </c>
      <c r="R295" s="402">
        <f t="shared" si="700"/>
        <v>721.33775999999989</v>
      </c>
      <c r="S295" s="402">
        <f t="shared" si="700"/>
        <v>745.27595999999983</v>
      </c>
      <c r="T295" s="402">
        <f t="shared" si="700"/>
        <v>0</v>
      </c>
      <c r="U295" s="402">
        <f t="shared" si="700"/>
        <v>721.33775999999989</v>
      </c>
      <c r="V295" s="402">
        <f t="shared" si="700"/>
        <v>659.27575999999999</v>
      </c>
      <c r="W295" s="402">
        <f t="shared" si="700"/>
        <v>721.33775999999989</v>
      </c>
      <c r="X295" s="402">
        <f t="shared" si="700"/>
        <v>0</v>
      </c>
      <c r="Y295" s="425"/>
      <c r="Z295" s="455"/>
      <c r="AA295" s="403"/>
      <c r="AB295" s="403"/>
      <c r="AC295" s="403"/>
      <c r="AD295" s="403"/>
      <c r="AE295" s="403"/>
      <c r="AF295" s="403"/>
      <c r="AG295" s="403"/>
      <c r="AH295" s="323"/>
      <c r="AI295" s="403"/>
      <c r="AJ295" s="403"/>
      <c r="AK295" s="403"/>
      <c r="AL295" s="403"/>
      <c r="AM295" s="403"/>
      <c r="AN295" s="403"/>
      <c r="AO295" s="403"/>
      <c r="AP295" s="403"/>
    </row>
    <row r="296" spans="1:42" s="384" customFormat="1" ht="31.5" customHeight="1">
      <c r="A296" s="191"/>
      <c r="B296" s="424">
        <v>7</v>
      </c>
      <c r="C296" s="425" t="s">
        <v>530</v>
      </c>
      <c r="D296" s="428" t="s">
        <v>235</v>
      </c>
      <c r="E296" s="566">
        <v>0</v>
      </c>
      <c r="F296" s="566">
        <f t="shared" ref="F296" si="719">7.66-0.1*2</f>
        <v>7.46</v>
      </c>
      <c r="G296" s="566">
        <f>7.66-0.1*2</f>
        <v>7.46</v>
      </c>
      <c r="H296" s="566">
        <v>0</v>
      </c>
      <c r="I296" s="566">
        <f>7.66-0.1*2</f>
        <v>7.46</v>
      </c>
      <c r="J296" s="566">
        <f>6.96-0.1*2</f>
        <v>6.76</v>
      </c>
      <c r="K296" s="566">
        <f>7.66-0.1*2</f>
        <v>7.46</v>
      </c>
      <c r="L296" s="566">
        <v>0</v>
      </c>
      <c r="M296" s="572">
        <f>N296+N296*O296/100+P296</f>
        <v>45.625999999999998</v>
      </c>
      <c r="N296" s="572">
        <v>36.119999999999997</v>
      </c>
      <c r="O296" s="572">
        <v>5</v>
      </c>
      <c r="P296" s="572">
        <v>7.7</v>
      </c>
      <c r="Q296" s="402">
        <f>E296*$M296</f>
        <v>0</v>
      </c>
      <c r="R296" s="402">
        <f t="shared" si="700"/>
        <v>340.36995999999999</v>
      </c>
      <c r="S296" s="402">
        <f t="shared" si="700"/>
        <v>340.36995999999999</v>
      </c>
      <c r="T296" s="402">
        <f t="shared" si="700"/>
        <v>0</v>
      </c>
      <c r="U296" s="402">
        <f t="shared" si="700"/>
        <v>340.36995999999999</v>
      </c>
      <c r="V296" s="402">
        <f t="shared" si="700"/>
        <v>308.43176</v>
      </c>
      <c r="W296" s="402">
        <f t="shared" si="700"/>
        <v>340.36995999999999</v>
      </c>
      <c r="X296" s="402">
        <f t="shared" si="700"/>
        <v>0</v>
      </c>
      <c r="Y296" s="425"/>
      <c r="Z296" s="455"/>
      <c r="AA296" s="403"/>
      <c r="AB296" s="403"/>
      <c r="AC296" s="403"/>
      <c r="AD296" s="403"/>
      <c r="AE296" s="403"/>
      <c r="AF296" s="403"/>
      <c r="AG296" s="403"/>
      <c r="AH296" s="323"/>
      <c r="AI296" s="403"/>
      <c r="AJ296" s="403"/>
      <c r="AK296" s="403"/>
      <c r="AL296" s="403"/>
      <c r="AM296" s="403"/>
      <c r="AN296" s="403"/>
      <c r="AO296" s="403"/>
      <c r="AP296" s="403"/>
    </row>
    <row r="297" spans="1:42" s="384" customFormat="1" ht="22.5">
      <c r="A297" s="365"/>
      <c r="B297" s="689" t="s">
        <v>278</v>
      </c>
      <c r="C297" s="407" t="s">
        <v>531</v>
      </c>
      <c r="D297" s="408" t="s">
        <v>231</v>
      </c>
      <c r="E297" s="569"/>
      <c r="F297" s="569"/>
      <c r="G297" s="569"/>
      <c r="H297" s="569"/>
      <c r="I297" s="569"/>
      <c r="J297" s="569"/>
      <c r="K297" s="569"/>
      <c r="L297" s="569"/>
      <c r="M297" s="567">
        <f t="shared" ref="M297" si="720">N297+N297*O297%+P297</f>
        <v>79.14</v>
      </c>
      <c r="N297" s="567">
        <v>15</v>
      </c>
      <c r="O297" s="567">
        <v>10</v>
      </c>
      <c r="P297" s="567">
        <v>62.64</v>
      </c>
      <c r="Q297" s="402">
        <f t="shared" ref="Q297" si="721">E297*$M297</f>
        <v>0</v>
      </c>
      <c r="R297" s="402">
        <f t="shared" ref="R297" si="722">F297*$M297</f>
        <v>0</v>
      </c>
      <c r="S297" s="402">
        <f t="shared" ref="S297" si="723">G297*$M297</f>
        <v>0</v>
      </c>
      <c r="T297" s="402">
        <f t="shared" ref="T297" si="724">H297*$M297</f>
        <v>0</v>
      </c>
      <c r="U297" s="402">
        <f t="shared" ref="U297" si="725">I297*$M297</f>
        <v>0</v>
      </c>
      <c r="V297" s="402">
        <f t="shared" ref="V297" si="726">J297*$M297</f>
        <v>0</v>
      </c>
      <c r="W297" s="402">
        <f t="shared" ref="W297" si="727">K297*$M297</f>
        <v>0</v>
      </c>
      <c r="X297" s="402">
        <f t="shared" ref="X297" si="728">L297*$M297</f>
        <v>0</v>
      </c>
      <c r="Y297" s="429"/>
      <c r="Z297" s="459"/>
      <c r="AA297" s="445"/>
      <c r="AB297" s="445"/>
      <c r="AC297" s="445"/>
      <c r="AD297" s="445"/>
      <c r="AE297" s="445"/>
      <c r="AF297" s="445"/>
      <c r="AG297" s="445"/>
      <c r="AH297" s="366"/>
      <c r="AI297" s="445"/>
      <c r="AJ297" s="445"/>
      <c r="AK297" s="445"/>
      <c r="AL297" s="445"/>
      <c r="AM297" s="445"/>
      <c r="AN297" s="445"/>
      <c r="AO297" s="445"/>
      <c r="AP297" s="445"/>
    </row>
    <row r="298" spans="1:42" ht="33.75">
      <c r="A298" s="191"/>
      <c r="B298" s="424">
        <v>8</v>
      </c>
      <c r="C298" s="425" t="s">
        <v>532</v>
      </c>
      <c r="D298" s="428" t="s">
        <v>235</v>
      </c>
      <c r="E298" s="566">
        <v>10</v>
      </c>
      <c r="F298" s="566">
        <v>10</v>
      </c>
      <c r="G298" s="566">
        <v>10</v>
      </c>
      <c r="H298" s="566">
        <v>10</v>
      </c>
      <c r="I298" s="566">
        <v>10</v>
      </c>
      <c r="J298" s="566">
        <v>10</v>
      </c>
      <c r="K298" s="566">
        <v>0</v>
      </c>
      <c r="L298" s="566">
        <v>10</v>
      </c>
      <c r="M298" s="573">
        <f t="shared" ref="M298:M310" si="729">N298+N298*O298/100+P298</f>
        <v>6.8594999999999997</v>
      </c>
      <c r="N298" s="572">
        <f>'附件4-8甲供材料清单'!K119</f>
        <v>1.03</v>
      </c>
      <c r="O298" s="567">
        <v>5</v>
      </c>
      <c r="P298" s="567">
        <v>5.7779999999999996</v>
      </c>
      <c r="Q298" s="411">
        <f t="shared" ref="Q298:Q312" si="730">E298*$M298</f>
        <v>68.594999999999999</v>
      </c>
      <c r="R298" s="411">
        <f t="shared" ref="R298:R310" si="731">F298*$M298</f>
        <v>68.594999999999999</v>
      </c>
      <c r="S298" s="411">
        <f t="shared" ref="S298:S310" si="732">G298*$M298</f>
        <v>68.594999999999999</v>
      </c>
      <c r="T298" s="411">
        <f t="shared" ref="T298:T310" si="733">H298*$M298</f>
        <v>68.594999999999999</v>
      </c>
      <c r="U298" s="411">
        <f t="shared" ref="U298:U310" si="734">I298*$M298</f>
        <v>68.594999999999999</v>
      </c>
      <c r="V298" s="411">
        <f t="shared" ref="V298:V310" si="735">J298*$M298</f>
        <v>68.594999999999999</v>
      </c>
      <c r="W298" s="411">
        <f t="shared" ref="W298:W310" si="736">K298*$M298</f>
        <v>0</v>
      </c>
      <c r="X298" s="411">
        <f t="shared" ref="X298:X310" si="737">L298*$M298</f>
        <v>68.594999999999999</v>
      </c>
      <c r="Y298" s="430" t="s">
        <v>499</v>
      </c>
      <c r="Z298" s="455">
        <f t="shared" ref="Z298" si="738">Q298</f>
        <v>68.594999999999999</v>
      </c>
      <c r="AA298" s="403">
        <f t="shared" ref="AA298" si="739">R298</f>
        <v>68.594999999999999</v>
      </c>
      <c r="AB298" s="403">
        <f t="shared" ref="AB298" si="740">S298</f>
        <v>68.594999999999999</v>
      </c>
      <c r="AC298" s="403">
        <f t="shared" ref="AC298" si="741">T298</f>
        <v>68.594999999999999</v>
      </c>
      <c r="AD298" s="403">
        <f t="shared" ref="AD298" si="742">U298</f>
        <v>68.594999999999999</v>
      </c>
      <c r="AE298" s="403">
        <f t="shared" ref="AE298" si="743">V298</f>
        <v>68.594999999999999</v>
      </c>
      <c r="AF298" s="403">
        <f t="shared" ref="AF298" si="744">W298</f>
        <v>0</v>
      </c>
      <c r="AG298" s="403">
        <f t="shared" ref="AG298" si="745">X298</f>
        <v>68.594999999999999</v>
      </c>
      <c r="AH298" s="323"/>
      <c r="AI298" s="403">
        <f t="shared" ref="AI298" si="746">E298*$N298*(1+$O298%)</f>
        <v>10.815000000000001</v>
      </c>
      <c r="AJ298" s="403">
        <f t="shared" ref="AJ298" si="747">F298*$N298*(1+$O298%)</f>
        <v>10.815000000000001</v>
      </c>
      <c r="AK298" s="403">
        <f t="shared" ref="AK298" si="748">G298*$N298*(1+$O298%)</f>
        <v>10.815000000000001</v>
      </c>
      <c r="AL298" s="403">
        <f t="shared" ref="AL298" si="749">H298*$N298*(1+$O298%)</f>
        <v>10.815000000000001</v>
      </c>
      <c r="AM298" s="403">
        <f t="shared" ref="AM298" si="750">I298*$N298*(1+$O298%)</f>
        <v>10.815000000000001</v>
      </c>
      <c r="AN298" s="403">
        <f t="shared" ref="AN298" si="751">J298*$N298*(1+$O298%)</f>
        <v>10.815000000000001</v>
      </c>
      <c r="AO298" s="403">
        <f t="shared" ref="AO298" si="752">K298*$N298*(1+$O298%)</f>
        <v>0</v>
      </c>
      <c r="AP298" s="403">
        <f t="shared" ref="AP298" si="753">L298*$N298*(1+$O298%)</f>
        <v>10.815000000000001</v>
      </c>
    </row>
    <row r="299" spans="1:42" ht="56.25">
      <c r="A299" s="191" t="s">
        <v>533</v>
      </c>
      <c r="B299" s="424">
        <v>9</v>
      </c>
      <c r="C299" s="425" t="s">
        <v>534</v>
      </c>
      <c r="D299" s="426" t="s">
        <v>231</v>
      </c>
      <c r="E299" s="566">
        <f>1.17*2.4</f>
        <v>2.8079999999999998</v>
      </c>
      <c r="F299" s="566">
        <f>3*2.4</f>
        <v>7.1999999999999993</v>
      </c>
      <c r="G299" s="566">
        <f>1.8*2.4</f>
        <v>4.32</v>
      </c>
      <c r="H299" s="566">
        <f>1.3*2.4</f>
        <v>3.12</v>
      </c>
      <c r="I299" s="566">
        <f>2.2*2.4</f>
        <v>5.28</v>
      </c>
      <c r="J299" s="566">
        <f>1.9*2.4</f>
        <v>4.5599999999999996</v>
      </c>
      <c r="K299" s="566">
        <f>1.95*2.4</f>
        <v>4.68</v>
      </c>
      <c r="L299" s="566">
        <f>1.3*2.4</f>
        <v>3.12</v>
      </c>
      <c r="M299" s="573">
        <f t="shared" si="729"/>
        <v>1100</v>
      </c>
      <c r="N299" s="574">
        <f>'附件4-8甲供材料清单'!K242</f>
        <v>1100</v>
      </c>
      <c r="O299" s="572"/>
      <c r="P299" s="572"/>
      <c r="Q299" s="411">
        <f t="shared" si="730"/>
        <v>3088.7999999999997</v>
      </c>
      <c r="R299" s="411">
        <f t="shared" si="731"/>
        <v>7919.9999999999991</v>
      </c>
      <c r="S299" s="411">
        <f t="shared" si="732"/>
        <v>4752</v>
      </c>
      <c r="T299" s="411">
        <f t="shared" si="733"/>
        <v>3432</v>
      </c>
      <c r="U299" s="411">
        <f t="shared" si="734"/>
        <v>5808</v>
      </c>
      <c r="V299" s="411">
        <f t="shared" si="735"/>
        <v>5016</v>
      </c>
      <c r="W299" s="411">
        <f t="shared" si="736"/>
        <v>5148</v>
      </c>
      <c r="X299" s="411">
        <f t="shared" si="737"/>
        <v>3432</v>
      </c>
      <c r="Y299" s="425" t="s">
        <v>382</v>
      </c>
      <c r="Z299" s="455"/>
      <c r="AA299" s="403"/>
      <c r="AB299" s="403"/>
      <c r="AC299" s="403"/>
      <c r="AD299" s="403"/>
      <c r="AE299" s="403"/>
      <c r="AF299" s="403"/>
      <c r="AG299" s="403"/>
      <c r="AH299" s="323"/>
      <c r="AI299" s="403"/>
      <c r="AJ299" s="403"/>
      <c r="AK299" s="403"/>
      <c r="AL299" s="403"/>
      <c r="AM299" s="403"/>
      <c r="AN299" s="403"/>
      <c r="AO299" s="403"/>
      <c r="AP299" s="403"/>
    </row>
    <row r="300" spans="1:42" ht="22.5">
      <c r="A300" s="191"/>
      <c r="B300" s="424">
        <v>10</v>
      </c>
      <c r="C300" s="425" t="s">
        <v>535</v>
      </c>
      <c r="D300" s="428" t="s">
        <v>320</v>
      </c>
      <c r="E300" s="566">
        <v>2</v>
      </c>
      <c r="F300" s="566">
        <v>2</v>
      </c>
      <c r="G300" s="566">
        <v>3</v>
      </c>
      <c r="H300" s="566">
        <v>2</v>
      </c>
      <c r="I300" s="566">
        <v>4</v>
      </c>
      <c r="J300" s="566">
        <v>3</v>
      </c>
      <c r="K300" s="566">
        <v>4</v>
      </c>
      <c r="L300" s="566">
        <v>2</v>
      </c>
      <c r="M300" s="573">
        <f t="shared" si="729"/>
        <v>104.8355</v>
      </c>
      <c r="N300" s="572">
        <f>'附件4-8甲供材料清单'!K234</f>
        <v>84.55</v>
      </c>
      <c r="O300" s="567">
        <v>1</v>
      </c>
      <c r="P300" s="567">
        <v>19.440000000000001</v>
      </c>
      <c r="Q300" s="411">
        <f t="shared" si="730"/>
        <v>209.67099999999999</v>
      </c>
      <c r="R300" s="411">
        <f t="shared" si="731"/>
        <v>209.67099999999999</v>
      </c>
      <c r="S300" s="411">
        <f t="shared" si="732"/>
        <v>314.50649999999996</v>
      </c>
      <c r="T300" s="411">
        <f t="shared" si="733"/>
        <v>209.67099999999999</v>
      </c>
      <c r="U300" s="411">
        <f t="shared" si="734"/>
        <v>419.34199999999998</v>
      </c>
      <c r="V300" s="411">
        <f t="shared" si="735"/>
        <v>314.50649999999996</v>
      </c>
      <c r="W300" s="411">
        <f t="shared" si="736"/>
        <v>419.34199999999998</v>
      </c>
      <c r="X300" s="411">
        <f t="shared" si="737"/>
        <v>209.67099999999999</v>
      </c>
      <c r="Y300" s="409" t="s">
        <v>244</v>
      </c>
      <c r="Z300" s="455">
        <f t="shared" ref="Z300" si="754">Q300</f>
        <v>209.67099999999999</v>
      </c>
      <c r="AA300" s="403">
        <f t="shared" ref="AA300" si="755">R300</f>
        <v>209.67099999999999</v>
      </c>
      <c r="AB300" s="403">
        <f t="shared" ref="AB300" si="756">S300</f>
        <v>314.50649999999996</v>
      </c>
      <c r="AC300" s="403">
        <f t="shared" ref="AC300" si="757">T300</f>
        <v>209.67099999999999</v>
      </c>
      <c r="AD300" s="403">
        <f t="shared" ref="AD300" si="758">U300</f>
        <v>419.34199999999998</v>
      </c>
      <c r="AE300" s="403">
        <f t="shared" ref="AE300" si="759">V300</f>
        <v>314.50649999999996</v>
      </c>
      <c r="AF300" s="403">
        <f t="shared" ref="AF300" si="760">W300</f>
        <v>419.34199999999998</v>
      </c>
      <c r="AG300" s="403">
        <f t="shared" ref="AG300" si="761">X300</f>
        <v>209.67099999999999</v>
      </c>
      <c r="AH300" s="323"/>
      <c r="AI300" s="403">
        <f t="shared" ref="AI300" si="762">E300*$N300*(1+$O300%)</f>
        <v>170.791</v>
      </c>
      <c r="AJ300" s="403">
        <f t="shared" ref="AJ300" si="763">F300*$N300*(1+$O300%)</f>
        <v>170.791</v>
      </c>
      <c r="AK300" s="403">
        <f t="shared" ref="AK300" si="764">G300*$N300*(1+$O300%)</f>
        <v>256.18649999999997</v>
      </c>
      <c r="AL300" s="403">
        <f t="shared" ref="AL300" si="765">H300*$N300*(1+$O300%)</f>
        <v>170.791</v>
      </c>
      <c r="AM300" s="403">
        <f t="shared" ref="AM300" si="766">I300*$N300*(1+$O300%)</f>
        <v>341.58199999999999</v>
      </c>
      <c r="AN300" s="403">
        <f t="shared" ref="AN300" si="767">J300*$N300*(1+$O300%)</f>
        <v>256.18649999999997</v>
      </c>
      <c r="AO300" s="403">
        <f t="shared" ref="AO300" si="768">K300*$N300*(1+$O300%)</f>
        <v>341.58199999999999</v>
      </c>
      <c r="AP300" s="403">
        <f t="shared" ref="AP300" si="769">L300*$N300*(1+$O300%)</f>
        <v>170.791</v>
      </c>
    </row>
    <row r="301" spans="1:42" ht="22.5">
      <c r="A301" s="191"/>
      <c r="B301" s="424">
        <v>11</v>
      </c>
      <c r="C301" s="425" t="s">
        <v>536</v>
      </c>
      <c r="D301" s="428" t="s">
        <v>320</v>
      </c>
      <c r="E301" s="566">
        <v>1</v>
      </c>
      <c r="F301" s="566">
        <v>1</v>
      </c>
      <c r="G301" s="566">
        <v>1</v>
      </c>
      <c r="H301" s="566">
        <v>1</v>
      </c>
      <c r="I301" s="566">
        <v>1</v>
      </c>
      <c r="J301" s="566">
        <v>1</v>
      </c>
      <c r="K301" s="566">
        <v>1</v>
      </c>
      <c r="L301" s="566">
        <v>1</v>
      </c>
      <c r="M301" s="574">
        <f t="shared" si="729"/>
        <v>155.43</v>
      </c>
      <c r="N301" s="574">
        <f>'附件4-8甲供材料清单'!K241</f>
        <v>143</v>
      </c>
      <c r="O301" s="574">
        <v>1</v>
      </c>
      <c r="P301" s="574">
        <v>11</v>
      </c>
      <c r="Q301" s="411">
        <f t="shared" si="730"/>
        <v>155.43</v>
      </c>
      <c r="R301" s="411">
        <f t="shared" si="731"/>
        <v>155.43</v>
      </c>
      <c r="S301" s="411">
        <f t="shared" si="732"/>
        <v>155.43</v>
      </c>
      <c r="T301" s="411">
        <f t="shared" si="733"/>
        <v>155.43</v>
      </c>
      <c r="U301" s="411">
        <f t="shared" si="734"/>
        <v>155.43</v>
      </c>
      <c r="V301" s="411">
        <f t="shared" si="735"/>
        <v>155.43</v>
      </c>
      <c r="W301" s="411">
        <f t="shared" si="736"/>
        <v>155.43</v>
      </c>
      <c r="X301" s="411">
        <f t="shared" si="737"/>
        <v>155.43</v>
      </c>
      <c r="Y301" s="409" t="s">
        <v>244</v>
      </c>
      <c r="Z301" s="455">
        <f t="shared" ref="Z301:AG302" si="770">Q301</f>
        <v>155.43</v>
      </c>
      <c r="AA301" s="403">
        <f t="shared" si="770"/>
        <v>155.43</v>
      </c>
      <c r="AB301" s="403">
        <f t="shared" si="770"/>
        <v>155.43</v>
      </c>
      <c r="AC301" s="403">
        <f t="shared" si="770"/>
        <v>155.43</v>
      </c>
      <c r="AD301" s="403">
        <f t="shared" si="770"/>
        <v>155.43</v>
      </c>
      <c r="AE301" s="403">
        <f t="shared" si="770"/>
        <v>155.43</v>
      </c>
      <c r="AF301" s="403">
        <f t="shared" si="770"/>
        <v>155.43</v>
      </c>
      <c r="AG301" s="403">
        <f t="shared" si="770"/>
        <v>155.43</v>
      </c>
      <c r="AH301" s="323"/>
      <c r="AI301" s="403">
        <f t="shared" ref="AI301:AP302" si="771">E301*$N301*(1+$O301%)</f>
        <v>144.43</v>
      </c>
      <c r="AJ301" s="403">
        <f t="shared" si="771"/>
        <v>144.43</v>
      </c>
      <c r="AK301" s="403">
        <f t="shared" si="771"/>
        <v>144.43</v>
      </c>
      <c r="AL301" s="403">
        <f t="shared" si="771"/>
        <v>144.43</v>
      </c>
      <c r="AM301" s="403">
        <f t="shared" si="771"/>
        <v>144.43</v>
      </c>
      <c r="AN301" s="403">
        <f t="shared" si="771"/>
        <v>144.43</v>
      </c>
      <c r="AO301" s="403">
        <f t="shared" si="771"/>
        <v>144.43</v>
      </c>
      <c r="AP301" s="403">
        <f t="shared" si="771"/>
        <v>144.43</v>
      </c>
    </row>
    <row r="302" spans="1:42" ht="22.5">
      <c r="A302" s="191"/>
      <c r="B302" s="424">
        <v>12</v>
      </c>
      <c r="C302" s="425" t="s">
        <v>537</v>
      </c>
      <c r="D302" s="426" t="s">
        <v>482</v>
      </c>
      <c r="E302" s="566">
        <v>1</v>
      </c>
      <c r="F302" s="566">
        <v>1</v>
      </c>
      <c r="G302" s="566">
        <v>1</v>
      </c>
      <c r="H302" s="566">
        <v>1</v>
      </c>
      <c r="I302" s="566">
        <v>1</v>
      </c>
      <c r="J302" s="566">
        <v>1</v>
      </c>
      <c r="K302" s="566">
        <v>1</v>
      </c>
      <c r="L302" s="566">
        <v>1</v>
      </c>
      <c r="M302" s="573">
        <f t="shared" si="729"/>
        <v>58.410000000000004</v>
      </c>
      <c r="N302" s="572">
        <f>'附件4-8甲供材料清单'!K210</f>
        <v>45</v>
      </c>
      <c r="O302" s="572">
        <v>1</v>
      </c>
      <c r="P302" s="567">
        <v>12.96</v>
      </c>
      <c r="Q302" s="411">
        <f t="shared" si="730"/>
        <v>58.410000000000004</v>
      </c>
      <c r="R302" s="411">
        <f t="shared" si="731"/>
        <v>58.410000000000004</v>
      </c>
      <c r="S302" s="411">
        <f t="shared" si="732"/>
        <v>58.410000000000004</v>
      </c>
      <c r="T302" s="411">
        <f t="shared" si="733"/>
        <v>58.410000000000004</v>
      </c>
      <c r="U302" s="411">
        <f t="shared" si="734"/>
        <v>58.410000000000004</v>
      </c>
      <c r="V302" s="411">
        <f t="shared" si="735"/>
        <v>58.410000000000004</v>
      </c>
      <c r="W302" s="411">
        <f t="shared" si="736"/>
        <v>58.410000000000004</v>
      </c>
      <c r="X302" s="411">
        <f t="shared" si="737"/>
        <v>58.410000000000004</v>
      </c>
      <c r="Y302" s="409" t="s">
        <v>244</v>
      </c>
      <c r="Z302" s="455">
        <f t="shared" si="770"/>
        <v>58.410000000000004</v>
      </c>
      <c r="AA302" s="403">
        <f t="shared" si="770"/>
        <v>58.410000000000004</v>
      </c>
      <c r="AB302" s="403">
        <f t="shared" si="770"/>
        <v>58.410000000000004</v>
      </c>
      <c r="AC302" s="403">
        <f t="shared" si="770"/>
        <v>58.410000000000004</v>
      </c>
      <c r="AD302" s="403">
        <f t="shared" si="770"/>
        <v>58.410000000000004</v>
      </c>
      <c r="AE302" s="403">
        <f t="shared" si="770"/>
        <v>58.410000000000004</v>
      </c>
      <c r="AF302" s="403">
        <f t="shared" si="770"/>
        <v>58.410000000000004</v>
      </c>
      <c r="AG302" s="403">
        <f t="shared" si="770"/>
        <v>58.410000000000004</v>
      </c>
      <c r="AH302" s="323"/>
      <c r="AI302" s="403">
        <f t="shared" si="771"/>
        <v>45.45</v>
      </c>
      <c r="AJ302" s="403">
        <f t="shared" si="771"/>
        <v>45.45</v>
      </c>
      <c r="AK302" s="403">
        <f t="shared" si="771"/>
        <v>45.45</v>
      </c>
      <c r="AL302" s="403">
        <f t="shared" si="771"/>
        <v>45.45</v>
      </c>
      <c r="AM302" s="403">
        <f t="shared" si="771"/>
        <v>45.45</v>
      </c>
      <c r="AN302" s="403">
        <f t="shared" si="771"/>
        <v>45.45</v>
      </c>
      <c r="AO302" s="403">
        <f t="shared" si="771"/>
        <v>45.45</v>
      </c>
      <c r="AP302" s="403">
        <f t="shared" si="771"/>
        <v>45.45</v>
      </c>
    </row>
    <row r="303" spans="1:42" ht="22.5">
      <c r="A303" s="191"/>
      <c r="B303" s="424">
        <v>13</v>
      </c>
      <c r="C303" s="425" t="s">
        <v>538</v>
      </c>
      <c r="D303" s="428" t="s">
        <v>320</v>
      </c>
      <c r="E303" s="566">
        <v>1</v>
      </c>
      <c r="F303" s="566">
        <v>1</v>
      </c>
      <c r="G303" s="566">
        <v>1</v>
      </c>
      <c r="H303" s="566">
        <v>1</v>
      </c>
      <c r="I303" s="566">
        <v>1</v>
      </c>
      <c r="J303" s="566">
        <v>1</v>
      </c>
      <c r="K303" s="566">
        <v>1</v>
      </c>
      <c r="L303" s="566">
        <v>1</v>
      </c>
      <c r="M303" s="573">
        <f t="shared" si="729"/>
        <v>139.53319999999999</v>
      </c>
      <c r="N303" s="572">
        <f>'附件4-8甲供材料清单'!K233</f>
        <v>125.32</v>
      </c>
      <c r="O303" s="572">
        <v>1</v>
      </c>
      <c r="P303" s="567">
        <v>12.96</v>
      </c>
      <c r="Q303" s="411">
        <f t="shared" si="730"/>
        <v>139.53319999999999</v>
      </c>
      <c r="R303" s="411">
        <f t="shared" si="731"/>
        <v>139.53319999999999</v>
      </c>
      <c r="S303" s="411">
        <f t="shared" si="732"/>
        <v>139.53319999999999</v>
      </c>
      <c r="T303" s="411">
        <f t="shared" si="733"/>
        <v>139.53319999999999</v>
      </c>
      <c r="U303" s="411">
        <f t="shared" si="734"/>
        <v>139.53319999999999</v>
      </c>
      <c r="V303" s="411">
        <f t="shared" si="735"/>
        <v>139.53319999999999</v>
      </c>
      <c r="W303" s="411">
        <f t="shared" si="736"/>
        <v>139.53319999999999</v>
      </c>
      <c r="X303" s="411">
        <f t="shared" si="737"/>
        <v>139.53319999999999</v>
      </c>
      <c r="Y303" s="409" t="s">
        <v>244</v>
      </c>
      <c r="Z303" s="455">
        <f t="shared" ref="Z303" si="772">Q303</f>
        <v>139.53319999999999</v>
      </c>
      <c r="AA303" s="403">
        <f t="shared" ref="AA303" si="773">R303</f>
        <v>139.53319999999999</v>
      </c>
      <c r="AB303" s="403">
        <f t="shared" ref="AB303" si="774">S303</f>
        <v>139.53319999999999</v>
      </c>
      <c r="AC303" s="403">
        <f t="shared" ref="AC303" si="775">T303</f>
        <v>139.53319999999999</v>
      </c>
      <c r="AD303" s="403">
        <f t="shared" ref="AD303" si="776">U303</f>
        <v>139.53319999999999</v>
      </c>
      <c r="AE303" s="403">
        <f t="shared" ref="AE303" si="777">V303</f>
        <v>139.53319999999999</v>
      </c>
      <c r="AF303" s="403">
        <f t="shared" ref="AF303" si="778">W303</f>
        <v>139.53319999999999</v>
      </c>
      <c r="AG303" s="403">
        <f t="shared" ref="AG303" si="779">X303</f>
        <v>139.53319999999999</v>
      </c>
      <c r="AH303" s="323"/>
      <c r="AI303" s="403">
        <f t="shared" ref="AI303" si="780">E303*$N303*(1+$O303%)</f>
        <v>126.5732</v>
      </c>
      <c r="AJ303" s="403">
        <f t="shared" ref="AJ303" si="781">F303*$N303*(1+$O303%)</f>
        <v>126.5732</v>
      </c>
      <c r="AK303" s="403">
        <f t="shared" ref="AK303" si="782">G303*$N303*(1+$O303%)</f>
        <v>126.5732</v>
      </c>
      <c r="AL303" s="403">
        <f t="shared" ref="AL303" si="783">H303*$N303*(1+$O303%)</f>
        <v>126.5732</v>
      </c>
      <c r="AM303" s="403">
        <f t="shared" ref="AM303" si="784">I303*$N303*(1+$O303%)</f>
        <v>126.5732</v>
      </c>
      <c r="AN303" s="403">
        <f t="shared" ref="AN303" si="785">J303*$N303*(1+$O303%)</f>
        <v>126.5732</v>
      </c>
      <c r="AO303" s="403">
        <f t="shared" ref="AO303" si="786">K303*$N303*(1+$O303%)</f>
        <v>126.5732</v>
      </c>
      <c r="AP303" s="403">
        <f t="shared" ref="AP303" si="787">L303*$N303*(1+$O303%)</f>
        <v>126.5732</v>
      </c>
    </row>
    <row r="304" spans="1:42" ht="22.5">
      <c r="A304" s="191"/>
      <c r="B304" s="424">
        <v>14</v>
      </c>
      <c r="C304" s="425" t="s">
        <v>539</v>
      </c>
      <c r="D304" s="428" t="s">
        <v>270</v>
      </c>
      <c r="E304" s="566">
        <f>E300</f>
        <v>2</v>
      </c>
      <c r="F304" s="566">
        <f t="shared" ref="F304" si="788">F300</f>
        <v>2</v>
      </c>
      <c r="G304" s="566">
        <f>G300</f>
        <v>3</v>
      </c>
      <c r="H304" s="566">
        <f>H300</f>
        <v>2</v>
      </c>
      <c r="I304" s="566">
        <f t="shared" ref="I304" si="789">I300</f>
        <v>4</v>
      </c>
      <c r="J304" s="566">
        <f>J300</f>
        <v>3</v>
      </c>
      <c r="K304" s="566">
        <f>K300</f>
        <v>4</v>
      </c>
      <c r="L304" s="566">
        <f>L300</f>
        <v>2</v>
      </c>
      <c r="M304" s="573">
        <f t="shared" si="729"/>
        <v>40.908700000000003</v>
      </c>
      <c r="N304" s="572">
        <f>'附件4-8甲供材料清单'!K232</f>
        <v>33.869999999999997</v>
      </c>
      <c r="O304" s="567">
        <v>1</v>
      </c>
      <c r="P304" s="567">
        <v>6.7</v>
      </c>
      <c r="Q304" s="411">
        <f t="shared" si="730"/>
        <v>81.817400000000006</v>
      </c>
      <c r="R304" s="411">
        <f t="shared" si="731"/>
        <v>81.817400000000006</v>
      </c>
      <c r="S304" s="411">
        <f t="shared" si="732"/>
        <v>122.7261</v>
      </c>
      <c r="T304" s="411">
        <f t="shared" si="733"/>
        <v>81.817400000000006</v>
      </c>
      <c r="U304" s="411">
        <f t="shared" si="734"/>
        <v>163.63480000000001</v>
      </c>
      <c r="V304" s="411">
        <f t="shared" si="735"/>
        <v>122.7261</v>
      </c>
      <c r="W304" s="411">
        <f t="shared" si="736"/>
        <v>163.63480000000001</v>
      </c>
      <c r="X304" s="411">
        <f t="shared" si="737"/>
        <v>81.817400000000006</v>
      </c>
      <c r="Y304" s="409" t="s">
        <v>244</v>
      </c>
      <c r="Z304" s="455">
        <f t="shared" ref="Z304:AG307" si="790">Q304</f>
        <v>81.817400000000006</v>
      </c>
      <c r="AA304" s="403">
        <f t="shared" si="790"/>
        <v>81.817400000000006</v>
      </c>
      <c r="AB304" s="403">
        <f t="shared" si="790"/>
        <v>122.7261</v>
      </c>
      <c r="AC304" s="403">
        <f t="shared" si="790"/>
        <v>81.817400000000006</v>
      </c>
      <c r="AD304" s="403">
        <f t="shared" si="790"/>
        <v>163.63480000000001</v>
      </c>
      <c r="AE304" s="403">
        <f t="shared" si="790"/>
        <v>122.7261</v>
      </c>
      <c r="AF304" s="403">
        <f t="shared" si="790"/>
        <v>163.63480000000001</v>
      </c>
      <c r="AG304" s="403">
        <f t="shared" si="790"/>
        <v>81.817400000000006</v>
      </c>
      <c r="AH304" s="323"/>
      <c r="AI304" s="403">
        <f t="shared" ref="AI304:AP307" si="791">E304*$N304*(1+$O304%)</f>
        <v>68.417400000000001</v>
      </c>
      <c r="AJ304" s="403">
        <f t="shared" si="791"/>
        <v>68.417400000000001</v>
      </c>
      <c r="AK304" s="403">
        <f t="shared" si="791"/>
        <v>102.62609999999998</v>
      </c>
      <c r="AL304" s="403">
        <f t="shared" si="791"/>
        <v>68.417400000000001</v>
      </c>
      <c r="AM304" s="403">
        <f t="shared" si="791"/>
        <v>136.8348</v>
      </c>
      <c r="AN304" s="403">
        <f t="shared" si="791"/>
        <v>102.62609999999998</v>
      </c>
      <c r="AO304" s="403">
        <f t="shared" si="791"/>
        <v>136.8348</v>
      </c>
      <c r="AP304" s="403">
        <f t="shared" si="791"/>
        <v>68.417400000000001</v>
      </c>
    </row>
    <row r="305" spans="1:42" ht="22.5">
      <c r="A305" s="191"/>
      <c r="B305" s="424">
        <v>15</v>
      </c>
      <c r="C305" s="425" t="s">
        <v>540</v>
      </c>
      <c r="D305" s="428" t="s">
        <v>320</v>
      </c>
      <c r="E305" s="566">
        <v>1</v>
      </c>
      <c r="F305" s="566">
        <v>1</v>
      </c>
      <c r="G305" s="566">
        <v>1</v>
      </c>
      <c r="H305" s="566">
        <v>1</v>
      </c>
      <c r="I305" s="566">
        <v>1</v>
      </c>
      <c r="J305" s="566">
        <v>1</v>
      </c>
      <c r="K305" s="566">
        <v>1</v>
      </c>
      <c r="L305" s="566">
        <v>1</v>
      </c>
      <c r="M305" s="573">
        <f t="shared" si="729"/>
        <v>67.128299999999996</v>
      </c>
      <c r="N305" s="572">
        <f>'附件4-8甲供材料清单'!K230</f>
        <v>59.83</v>
      </c>
      <c r="O305" s="567">
        <v>1</v>
      </c>
      <c r="P305" s="567">
        <v>6.7</v>
      </c>
      <c r="Q305" s="411">
        <f t="shared" si="730"/>
        <v>67.128299999999996</v>
      </c>
      <c r="R305" s="411">
        <f t="shared" si="731"/>
        <v>67.128299999999996</v>
      </c>
      <c r="S305" s="411">
        <f t="shared" si="732"/>
        <v>67.128299999999996</v>
      </c>
      <c r="T305" s="411">
        <f t="shared" si="733"/>
        <v>67.128299999999996</v>
      </c>
      <c r="U305" s="411">
        <f t="shared" si="734"/>
        <v>67.128299999999996</v>
      </c>
      <c r="V305" s="411">
        <f t="shared" si="735"/>
        <v>67.128299999999996</v>
      </c>
      <c r="W305" s="411">
        <f t="shared" si="736"/>
        <v>67.128299999999996</v>
      </c>
      <c r="X305" s="411">
        <f t="shared" si="737"/>
        <v>67.128299999999996</v>
      </c>
      <c r="Y305" s="409" t="s">
        <v>244</v>
      </c>
      <c r="Z305" s="455">
        <f t="shared" si="790"/>
        <v>67.128299999999996</v>
      </c>
      <c r="AA305" s="403">
        <f t="shared" si="790"/>
        <v>67.128299999999996</v>
      </c>
      <c r="AB305" s="403">
        <f t="shared" si="790"/>
        <v>67.128299999999996</v>
      </c>
      <c r="AC305" s="403">
        <f t="shared" si="790"/>
        <v>67.128299999999996</v>
      </c>
      <c r="AD305" s="403">
        <f t="shared" si="790"/>
        <v>67.128299999999996</v>
      </c>
      <c r="AE305" s="403">
        <f t="shared" si="790"/>
        <v>67.128299999999996</v>
      </c>
      <c r="AF305" s="403">
        <f t="shared" si="790"/>
        <v>67.128299999999996</v>
      </c>
      <c r="AG305" s="403">
        <f t="shared" si="790"/>
        <v>67.128299999999996</v>
      </c>
      <c r="AH305" s="323"/>
      <c r="AI305" s="403">
        <f t="shared" si="791"/>
        <v>60.4283</v>
      </c>
      <c r="AJ305" s="403">
        <f t="shared" si="791"/>
        <v>60.4283</v>
      </c>
      <c r="AK305" s="403">
        <f t="shared" si="791"/>
        <v>60.4283</v>
      </c>
      <c r="AL305" s="403">
        <f t="shared" si="791"/>
        <v>60.4283</v>
      </c>
      <c r="AM305" s="403">
        <f t="shared" si="791"/>
        <v>60.4283</v>
      </c>
      <c r="AN305" s="403">
        <f t="shared" si="791"/>
        <v>60.4283</v>
      </c>
      <c r="AO305" s="403">
        <f t="shared" si="791"/>
        <v>60.4283</v>
      </c>
      <c r="AP305" s="403">
        <f t="shared" si="791"/>
        <v>60.4283</v>
      </c>
    </row>
    <row r="306" spans="1:42" ht="22.5">
      <c r="A306" s="191" t="s">
        <v>533</v>
      </c>
      <c r="B306" s="424">
        <v>16</v>
      </c>
      <c r="C306" s="425" t="s">
        <v>541</v>
      </c>
      <c r="D306" s="428" t="s">
        <v>320</v>
      </c>
      <c r="E306" s="566">
        <v>1</v>
      </c>
      <c r="F306" s="566">
        <v>1</v>
      </c>
      <c r="G306" s="566">
        <v>1</v>
      </c>
      <c r="H306" s="566">
        <v>1</v>
      </c>
      <c r="I306" s="566">
        <v>1</v>
      </c>
      <c r="J306" s="566">
        <v>1</v>
      </c>
      <c r="K306" s="566">
        <v>1</v>
      </c>
      <c r="L306" s="566">
        <v>1</v>
      </c>
      <c r="M306" s="573">
        <f t="shared" si="729"/>
        <v>135.172</v>
      </c>
      <c r="N306" s="572">
        <f>'附件4-8甲供材料清单'!K231</f>
        <v>127.2</v>
      </c>
      <c r="O306" s="567">
        <v>1</v>
      </c>
      <c r="P306" s="567">
        <v>6.7</v>
      </c>
      <c r="Q306" s="411">
        <f t="shared" si="730"/>
        <v>135.172</v>
      </c>
      <c r="R306" s="411">
        <f t="shared" si="731"/>
        <v>135.172</v>
      </c>
      <c r="S306" s="411">
        <f t="shared" si="732"/>
        <v>135.172</v>
      </c>
      <c r="T306" s="411">
        <f t="shared" si="733"/>
        <v>135.172</v>
      </c>
      <c r="U306" s="411">
        <f t="shared" si="734"/>
        <v>135.172</v>
      </c>
      <c r="V306" s="411">
        <f t="shared" si="735"/>
        <v>135.172</v>
      </c>
      <c r="W306" s="411">
        <f t="shared" si="736"/>
        <v>135.172</v>
      </c>
      <c r="X306" s="411">
        <f t="shared" si="737"/>
        <v>135.172</v>
      </c>
      <c r="Y306" s="409" t="s">
        <v>244</v>
      </c>
      <c r="Z306" s="455">
        <f t="shared" si="790"/>
        <v>135.172</v>
      </c>
      <c r="AA306" s="403">
        <f t="shared" si="790"/>
        <v>135.172</v>
      </c>
      <c r="AB306" s="403">
        <f t="shared" si="790"/>
        <v>135.172</v>
      </c>
      <c r="AC306" s="403">
        <f t="shared" si="790"/>
        <v>135.172</v>
      </c>
      <c r="AD306" s="403">
        <f t="shared" si="790"/>
        <v>135.172</v>
      </c>
      <c r="AE306" s="403">
        <f t="shared" si="790"/>
        <v>135.172</v>
      </c>
      <c r="AF306" s="403">
        <f t="shared" si="790"/>
        <v>135.172</v>
      </c>
      <c r="AG306" s="403">
        <f t="shared" si="790"/>
        <v>135.172</v>
      </c>
      <c r="AH306" s="323"/>
      <c r="AI306" s="403">
        <f t="shared" si="791"/>
        <v>128.47200000000001</v>
      </c>
      <c r="AJ306" s="403">
        <f t="shared" si="791"/>
        <v>128.47200000000001</v>
      </c>
      <c r="AK306" s="403">
        <f t="shared" si="791"/>
        <v>128.47200000000001</v>
      </c>
      <c r="AL306" s="403">
        <f t="shared" si="791"/>
        <v>128.47200000000001</v>
      </c>
      <c r="AM306" s="403">
        <f t="shared" si="791"/>
        <v>128.47200000000001</v>
      </c>
      <c r="AN306" s="403">
        <f t="shared" si="791"/>
        <v>128.47200000000001</v>
      </c>
      <c r="AO306" s="403">
        <f t="shared" si="791"/>
        <v>128.47200000000001</v>
      </c>
      <c r="AP306" s="403">
        <f t="shared" si="791"/>
        <v>128.47200000000001</v>
      </c>
    </row>
    <row r="307" spans="1:42" ht="33.75">
      <c r="A307" s="191" t="s">
        <v>533</v>
      </c>
      <c r="B307" s="424">
        <v>17</v>
      </c>
      <c r="C307" s="425" t="s">
        <v>542</v>
      </c>
      <c r="D307" s="426" t="s">
        <v>231</v>
      </c>
      <c r="E307" s="575">
        <f>E207+(5.445+0.98+4.77+1.77)*0.15</f>
        <v>10.304749999999999</v>
      </c>
      <c r="F307" s="575">
        <f>F207+(2.65+2.6+4.63+5.75+10.69+8.01)*0.15</f>
        <v>19.4495</v>
      </c>
      <c r="G307" s="575">
        <f>G207+(4.89+1.2+15.69+4.87)*0.15</f>
        <v>17.299499999999998</v>
      </c>
      <c r="H307" s="575">
        <f>H207+(1.77+2.2)*0.15</f>
        <v>5.7815000000000003</v>
      </c>
      <c r="I307" s="575">
        <f>I207+(4.05+9.64+1.3+3.21)*0.15</f>
        <v>135.38399999999999</v>
      </c>
      <c r="J307" s="575">
        <f>J207+2.7*2*0.15</f>
        <v>12.92</v>
      </c>
      <c r="K307" s="566">
        <f>K207+(2.95+1.18+12.19+3.89)*0.15</f>
        <v>193.3075</v>
      </c>
      <c r="L307" s="566">
        <f>L207+(2.68+2.63)*0.15</f>
        <v>8.9365000000000006</v>
      </c>
      <c r="M307" s="573">
        <f t="shared" si="729"/>
        <v>39.800000000000004</v>
      </c>
      <c r="N307" s="572">
        <f>'附件4-8甲供材料清单'!M168</f>
        <v>30.800000000000004</v>
      </c>
      <c r="O307" s="572">
        <v>0</v>
      </c>
      <c r="P307" s="572">
        <v>9</v>
      </c>
      <c r="Q307" s="411">
        <f t="shared" si="730"/>
        <v>410.12905000000001</v>
      </c>
      <c r="R307" s="411">
        <f t="shared" si="731"/>
        <v>774.09010000000012</v>
      </c>
      <c r="S307" s="411">
        <f t="shared" si="732"/>
        <v>688.52009999999996</v>
      </c>
      <c r="T307" s="411">
        <f t="shared" si="733"/>
        <v>230.10370000000003</v>
      </c>
      <c r="U307" s="411">
        <f t="shared" si="734"/>
        <v>5388.2831999999999</v>
      </c>
      <c r="V307" s="411">
        <f t="shared" si="735"/>
        <v>514.21600000000001</v>
      </c>
      <c r="W307" s="411">
        <f t="shared" si="736"/>
        <v>7693.6385000000009</v>
      </c>
      <c r="X307" s="411">
        <f t="shared" si="737"/>
        <v>355.67270000000008</v>
      </c>
      <c r="Y307" s="409" t="s">
        <v>244</v>
      </c>
      <c r="Z307" s="455">
        <f t="shared" si="790"/>
        <v>410.12905000000001</v>
      </c>
      <c r="AA307" s="403">
        <f t="shared" si="790"/>
        <v>774.09010000000012</v>
      </c>
      <c r="AB307" s="403">
        <f t="shared" si="790"/>
        <v>688.52009999999996</v>
      </c>
      <c r="AC307" s="403">
        <f t="shared" si="790"/>
        <v>230.10370000000003</v>
      </c>
      <c r="AD307" s="403">
        <f t="shared" si="790"/>
        <v>5388.2831999999999</v>
      </c>
      <c r="AE307" s="403">
        <f t="shared" si="790"/>
        <v>514.21600000000001</v>
      </c>
      <c r="AF307" s="403">
        <f t="shared" si="790"/>
        <v>7693.6385000000009</v>
      </c>
      <c r="AG307" s="403">
        <f t="shared" si="790"/>
        <v>355.67270000000008</v>
      </c>
      <c r="AH307" s="323"/>
      <c r="AI307" s="403">
        <f t="shared" si="791"/>
        <v>317.38630000000001</v>
      </c>
      <c r="AJ307" s="403">
        <f t="shared" si="791"/>
        <v>599.04460000000006</v>
      </c>
      <c r="AK307" s="403">
        <f t="shared" si="791"/>
        <v>532.82460000000003</v>
      </c>
      <c r="AL307" s="403">
        <f t="shared" si="791"/>
        <v>178.07020000000003</v>
      </c>
      <c r="AM307" s="403">
        <f t="shared" si="791"/>
        <v>4169.8271999999997</v>
      </c>
      <c r="AN307" s="403">
        <f t="shared" si="791"/>
        <v>397.93600000000004</v>
      </c>
      <c r="AO307" s="403">
        <f t="shared" si="791"/>
        <v>5953.871000000001</v>
      </c>
      <c r="AP307" s="403">
        <f t="shared" si="791"/>
        <v>275.24420000000003</v>
      </c>
    </row>
    <row r="308" spans="1:42" s="384" customFormat="1" ht="28.5" customHeight="1">
      <c r="A308" s="191"/>
      <c r="B308" s="424">
        <v>18</v>
      </c>
      <c r="C308" s="425" t="s">
        <v>543</v>
      </c>
      <c r="D308" s="426" t="s">
        <v>231</v>
      </c>
      <c r="E308" s="575"/>
      <c r="F308" s="570"/>
      <c r="G308" s="575"/>
      <c r="H308" s="575"/>
      <c r="I308" s="575"/>
      <c r="J308" s="575"/>
      <c r="K308" s="566"/>
      <c r="L308" s="566"/>
      <c r="M308" s="573">
        <f t="shared" si="729"/>
        <v>24.44</v>
      </c>
      <c r="N308" s="572">
        <v>0</v>
      </c>
      <c r="O308" s="572">
        <v>0</v>
      </c>
      <c r="P308" s="572">
        <v>24.44</v>
      </c>
      <c r="Q308" s="402">
        <f t="shared" si="730"/>
        <v>0</v>
      </c>
      <c r="R308" s="402">
        <f t="shared" si="731"/>
        <v>0</v>
      </c>
      <c r="S308" s="402">
        <f t="shared" si="732"/>
        <v>0</v>
      </c>
      <c r="T308" s="402">
        <f t="shared" si="733"/>
        <v>0</v>
      </c>
      <c r="U308" s="402">
        <f t="shared" si="734"/>
        <v>0</v>
      </c>
      <c r="V308" s="402">
        <f t="shared" si="735"/>
        <v>0</v>
      </c>
      <c r="W308" s="402">
        <f t="shared" si="736"/>
        <v>0</v>
      </c>
      <c r="X308" s="402">
        <f t="shared" si="737"/>
        <v>0</v>
      </c>
      <c r="Y308" s="425"/>
      <c r="Z308" s="455"/>
      <c r="AA308" s="403"/>
      <c r="AB308" s="403"/>
      <c r="AC308" s="403"/>
      <c r="AD308" s="403"/>
      <c r="AE308" s="403"/>
      <c r="AF308" s="403"/>
      <c r="AG308" s="403"/>
      <c r="AH308" s="323"/>
      <c r="AI308" s="403"/>
      <c r="AJ308" s="403"/>
      <c r="AK308" s="403"/>
      <c r="AL308" s="403"/>
      <c r="AM308" s="403"/>
      <c r="AN308" s="403"/>
      <c r="AO308" s="403"/>
      <c r="AP308" s="403"/>
    </row>
    <row r="309" spans="1:42" s="384" customFormat="1" ht="45">
      <c r="A309" s="191"/>
      <c r="B309" s="424">
        <v>19</v>
      </c>
      <c r="C309" s="425" t="s">
        <v>544</v>
      </c>
      <c r="D309" s="426" t="s">
        <v>231</v>
      </c>
      <c r="E309" s="575"/>
      <c r="F309" s="575"/>
      <c r="G309" s="575"/>
      <c r="H309" s="575"/>
      <c r="I309" s="575"/>
      <c r="J309" s="575"/>
      <c r="K309" s="575"/>
      <c r="L309" s="575"/>
      <c r="M309" s="573">
        <f t="shared" si="729"/>
        <v>20.56</v>
      </c>
      <c r="N309" s="572">
        <v>13</v>
      </c>
      <c r="O309" s="572">
        <v>0</v>
      </c>
      <c r="P309" s="572">
        <v>7.56</v>
      </c>
      <c r="Q309" s="402">
        <f t="shared" si="730"/>
        <v>0</v>
      </c>
      <c r="R309" s="402">
        <f t="shared" si="731"/>
        <v>0</v>
      </c>
      <c r="S309" s="402">
        <f t="shared" si="732"/>
        <v>0</v>
      </c>
      <c r="T309" s="402">
        <f t="shared" si="733"/>
        <v>0</v>
      </c>
      <c r="U309" s="402">
        <f t="shared" si="734"/>
        <v>0</v>
      </c>
      <c r="V309" s="402">
        <f t="shared" si="735"/>
        <v>0</v>
      </c>
      <c r="W309" s="402">
        <f t="shared" si="736"/>
        <v>0</v>
      </c>
      <c r="X309" s="402">
        <f t="shared" si="737"/>
        <v>0</v>
      </c>
      <c r="Y309" s="425"/>
      <c r="Z309" s="455"/>
      <c r="AA309" s="403"/>
      <c r="AB309" s="403"/>
      <c r="AC309" s="403"/>
      <c r="AD309" s="403"/>
      <c r="AE309" s="403"/>
      <c r="AF309" s="403"/>
      <c r="AG309" s="403"/>
      <c r="AH309" s="323"/>
      <c r="AI309" s="403"/>
      <c r="AJ309" s="403"/>
      <c r="AK309" s="403"/>
      <c r="AL309" s="403"/>
      <c r="AM309" s="403"/>
      <c r="AN309" s="403"/>
      <c r="AO309" s="403"/>
      <c r="AP309" s="403"/>
    </row>
    <row r="310" spans="1:42" s="384" customFormat="1" ht="28.5" customHeight="1">
      <c r="A310" s="191"/>
      <c r="B310" s="424">
        <v>20</v>
      </c>
      <c r="C310" s="425" t="s">
        <v>545</v>
      </c>
      <c r="D310" s="428" t="s">
        <v>235</v>
      </c>
      <c r="E310" s="566">
        <v>2.4</v>
      </c>
      <c r="F310" s="566">
        <v>0</v>
      </c>
      <c r="G310" s="566">
        <v>0</v>
      </c>
      <c r="H310" s="566">
        <f>F单元!$F$54</f>
        <v>2.4</v>
      </c>
      <c r="I310" s="566">
        <f>H单元!F54*2</f>
        <v>4.76</v>
      </c>
      <c r="J310" s="566">
        <v>0</v>
      </c>
      <c r="K310" s="566">
        <f>I单元!$F$54*2</f>
        <v>4.76</v>
      </c>
      <c r="L310" s="566">
        <f>E单元!$F$54</f>
        <v>2.4</v>
      </c>
      <c r="M310" s="573">
        <f t="shared" si="729"/>
        <v>26.074999999999999</v>
      </c>
      <c r="N310" s="572">
        <v>17.5</v>
      </c>
      <c r="O310" s="572">
        <v>5</v>
      </c>
      <c r="P310" s="572">
        <v>7.7</v>
      </c>
      <c r="Q310" s="402">
        <f t="shared" si="730"/>
        <v>62.58</v>
      </c>
      <c r="R310" s="402">
        <f t="shared" si="731"/>
        <v>0</v>
      </c>
      <c r="S310" s="402">
        <f t="shared" si="732"/>
        <v>0</v>
      </c>
      <c r="T310" s="402">
        <f t="shared" si="733"/>
        <v>62.58</v>
      </c>
      <c r="U310" s="402">
        <f t="shared" si="734"/>
        <v>124.11699999999999</v>
      </c>
      <c r="V310" s="402">
        <f t="shared" si="735"/>
        <v>0</v>
      </c>
      <c r="W310" s="402">
        <f t="shared" si="736"/>
        <v>124.11699999999999</v>
      </c>
      <c r="X310" s="402">
        <f t="shared" si="737"/>
        <v>62.58</v>
      </c>
      <c r="Y310" s="425"/>
      <c r="Z310" s="455"/>
      <c r="AA310" s="403"/>
      <c r="AB310" s="403"/>
      <c r="AC310" s="403"/>
      <c r="AD310" s="403"/>
      <c r="AE310" s="403"/>
      <c r="AF310" s="403"/>
      <c r="AG310" s="403"/>
      <c r="AH310" s="323"/>
      <c r="AI310" s="403"/>
      <c r="AJ310" s="403"/>
      <c r="AK310" s="403"/>
      <c r="AL310" s="403"/>
      <c r="AM310" s="403"/>
      <c r="AN310" s="403"/>
      <c r="AO310" s="403"/>
      <c r="AP310" s="403"/>
    </row>
    <row r="311" spans="1:42" ht="22.5">
      <c r="A311" s="191"/>
      <c r="B311" s="424">
        <v>21</v>
      </c>
      <c r="C311" s="425" t="s">
        <v>546</v>
      </c>
      <c r="D311" s="426" t="s">
        <v>270</v>
      </c>
      <c r="E311" s="566"/>
      <c r="F311" s="566"/>
      <c r="G311" s="566"/>
      <c r="H311" s="566"/>
      <c r="I311" s="566"/>
      <c r="J311" s="566"/>
      <c r="K311" s="566"/>
      <c r="L311" s="566"/>
      <c r="M311" s="576">
        <f t="shared" ref="M311" si="792">N311+N311*O311%+P311</f>
        <v>104.8355</v>
      </c>
      <c r="N311" s="577">
        <f>'附件4-8甲供材料清单'!K234</f>
        <v>84.55</v>
      </c>
      <c r="O311" s="567">
        <v>1</v>
      </c>
      <c r="P311" s="567">
        <v>19.440000000000001</v>
      </c>
      <c r="Q311" s="411">
        <f t="shared" ref="Q311:V312" si="793">E311*$M311</f>
        <v>0</v>
      </c>
      <c r="R311" s="411">
        <f t="shared" si="793"/>
        <v>0</v>
      </c>
      <c r="S311" s="411">
        <f t="shared" si="793"/>
        <v>0</v>
      </c>
      <c r="T311" s="411">
        <f t="shared" si="793"/>
        <v>0</v>
      </c>
      <c r="U311" s="411">
        <f t="shared" si="793"/>
        <v>0</v>
      </c>
      <c r="V311" s="411">
        <f t="shared" si="793"/>
        <v>0</v>
      </c>
      <c r="W311" s="411"/>
      <c r="X311" s="411">
        <f>L311*$M311</f>
        <v>0</v>
      </c>
      <c r="Y311" s="409" t="s">
        <v>244</v>
      </c>
      <c r="Z311" s="455">
        <f t="shared" ref="Z311" si="794">Q311</f>
        <v>0</v>
      </c>
      <c r="AA311" s="403">
        <f t="shared" ref="AA311" si="795">R311</f>
        <v>0</v>
      </c>
      <c r="AB311" s="403">
        <f t="shared" ref="AB311" si="796">S311</f>
        <v>0</v>
      </c>
      <c r="AC311" s="403">
        <f t="shared" ref="AC311" si="797">T311</f>
        <v>0</v>
      </c>
      <c r="AD311" s="403">
        <f t="shared" ref="AD311" si="798">U311</f>
        <v>0</v>
      </c>
      <c r="AE311" s="403">
        <f t="shared" ref="AE311" si="799">V311</f>
        <v>0</v>
      </c>
      <c r="AF311" s="403">
        <f t="shared" ref="AF311" si="800">W311</f>
        <v>0</v>
      </c>
      <c r="AG311" s="403">
        <f t="shared" ref="AG311" si="801">X311</f>
        <v>0</v>
      </c>
      <c r="AH311" s="323"/>
      <c r="AI311" s="403">
        <f t="shared" ref="AI311" si="802">E311*$N311*(1+$O311%)</f>
        <v>0</v>
      </c>
      <c r="AJ311" s="403">
        <f t="shared" ref="AJ311" si="803">F311*$N311*(1+$O311%)</f>
        <v>0</v>
      </c>
      <c r="AK311" s="403">
        <f t="shared" ref="AK311" si="804">G311*$N311*(1+$O311%)</f>
        <v>0</v>
      </c>
      <c r="AL311" s="403">
        <f t="shared" ref="AL311" si="805">H311*$N311*(1+$O311%)</f>
        <v>0</v>
      </c>
      <c r="AM311" s="403">
        <f t="shared" ref="AM311" si="806">I311*$N311*(1+$O311%)</f>
        <v>0</v>
      </c>
      <c r="AN311" s="403">
        <f t="shared" ref="AN311" si="807">J311*$N311*(1+$O311%)</f>
        <v>0</v>
      </c>
      <c r="AO311" s="403">
        <f t="shared" ref="AO311" si="808">K311*$N311*(1+$O311%)</f>
        <v>0</v>
      </c>
      <c r="AP311" s="403">
        <f t="shared" ref="AP311" si="809">L311*$N311*(1+$O311%)</f>
        <v>0</v>
      </c>
    </row>
    <row r="312" spans="1:42" s="384" customFormat="1" ht="30.75" customHeight="1">
      <c r="A312" s="191"/>
      <c r="B312" s="689" t="s">
        <v>1843</v>
      </c>
      <c r="C312" s="407" t="s">
        <v>1844</v>
      </c>
      <c r="D312" s="428" t="s">
        <v>235</v>
      </c>
      <c r="E312" s="566">
        <v>4.07</v>
      </c>
      <c r="F312" s="566">
        <v>3.6</v>
      </c>
      <c r="G312" s="566">
        <v>3.6</v>
      </c>
      <c r="H312" s="566">
        <v>3.75</v>
      </c>
      <c r="I312" s="566">
        <v>3.8</v>
      </c>
      <c r="J312" s="566">
        <v>3.6</v>
      </c>
      <c r="K312" s="566">
        <v>3.75</v>
      </c>
      <c r="L312" s="566">
        <v>3.75</v>
      </c>
      <c r="M312" s="576">
        <f t="shared" ref="M312" si="810">N312+N312*O312%+P312</f>
        <v>51.8</v>
      </c>
      <c r="N312" s="577">
        <v>25</v>
      </c>
      <c r="O312" s="567">
        <v>10</v>
      </c>
      <c r="P312" s="567">
        <v>24.3</v>
      </c>
      <c r="Q312" s="402">
        <f t="shared" si="730"/>
        <v>210.82599999999999</v>
      </c>
      <c r="R312" s="402">
        <f t="shared" si="793"/>
        <v>186.48</v>
      </c>
      <c r="S312" s="402">
        <f t="shared" si="793"/>
        <v>186.48</v>
      </c>
      <c r="T312" s="402">
        <f t="shared" si="793"/>
        <v>194.25</v>
      </c>
      <c r="U312" s="402">
        <f t="shared" si="793"/>
        <v>196.83999999999997</v>
      </c>
      <c r="V312" s="402">
        <f t="shared" si="793"/>
        <v>186.48</v>
      </c>
      <c r="W312" s="402">
        <f t="shared" ref="W312" si="811">K312*$M312</f>
        <v>194.25</v>
      </c>
      <c r="X312" s="402">
        <f t="shared" ref="X312" si="812">L312*$M312</f>
        <v>194.25</v>
      </c>
      <c r="Y312" s="409"/>
      <c r="Z312" s="455"/>
      <c r="AA312" s="403"/>
      <c r="AB312" s="403"/>
      <c r="AC312" s="403"/>
      <c r="AD312" s="403"/>
      <c r="AE312" s="403"/>
      <c r="AF312" s="403"/>
      <c r="AG312" s="403"/>
      <c r="AH312" s="323"/>
      <c r="AI312" s="403"/>
      <c r="AJ312" s="403"/>
      <c r="AK312" s="403"/>
      <c r="AL312" s="403"/>
      <c r="AM312" s="403"/>
      <c r="AN312" s="403"/>
      <c r="AO312" s="403"/>
      <c r="AP312" s="403"/>
    </row>
    <row r="313" spans="1:42" s="400" customFormat="1">
      <c r="A313" s="191"/>
      <c r="B313" s="689"/>
      <c r="C313" s="413" t="s">
        <v>547</v>
      </c>
      <c r="D313" s="689"/>
      <c r="E313" s="574"/>
      <c r="F313" s="574"/>
      <c r="G313" s="574"/>
      <c r="H313" s="574"/>
      <c r="I313" s="574"/>
      <c r="J313" s="574"/>
      <c r="K313" s="574"/>
      <c r="L313" s="574"/>
      <c r="M313" s="411"/>
      <c r="N313" s="567"/>
      <c r="O313" s="567"/>
      <c r="P313" s="567"/>
      <c r="Q313" s="687">
        <f t="shared" ref="Q313:X313" si="813">SUM(Q16:Q312)</f>
        <v>35198.028268669797</v>
      </c>
      <c r="R313" s="687">
        <f t="shared" si="813"/>
        <v>59446.629672463547</v>
      </c>
      <c r="S313" s="687">
        <f t="shared" si="813"/>
        <v>59294.069285074504</v>
      </c>
      <c r="T313" s="687">
        <f t="shared" si="813"/>
        <v>35745.414296896532</v>
      </c>
      <c r="U313" s="687">
        <f t="shared" si="813"/>
        <v>89651.803848196752</v>
      </c>
      <c r="V313" s="687">
        <f t="shared" si="813"/>
        <v>57347.591541674497</v>
      </c>
      <c r="W313" s="687">
        <f t="shared" si="813"/>
        <v>102361.49969568323</v>
      </c>
      <c r="X313" s="687">
        <f t="shared" si="813"/>
        <v>37791.708717259433</v>
      </c>
      <c r="Y313" s="409"/>
      <c r="Z313" s="683">
        <f t="shared" ref="Z313:AP313" si="814">SUM(Z16:Z312)</f>
        <v>22141.524160669785</v>
      </c>
      <c r="AA313" s="684">
        <f t="shared" si="814"/>
        <v>37666.897704463569</v>
      </c>
      <c r="AB313" s="684">
        <f t="shared" si="814"/>
        <v>39785.6183430745</v>
      </c>
      <c r="AC313" s="684">
        <f t="shared" si="814"/>
        <v>22808.072728896535</v>
      </c>
      <c r="AD313" s="684">
        <f t="shared" si="814"/>
        <v>69139.498912196737</v>
      </c>
      <c r="AE313" s="684">
        <f t="shared" si="814"/>
        <v>38931.538317674494</v>
      </c>
      <c r="AF313" s="684">
        <f t="shared" si="814"/>
        <v>82037.607099683228</v>
      </c>
      <c r="AG313" s="684">
        <f t="shared" si="814"/>
        <v>24274.271349259427</v>
      </c>
      <c r="AH313" s="682">
        <f t="shared" si="814"/>
        <v>0</v>
      </c>
      <c r="AI313" s="684">
        <f t="shared" si="814"/>
        <v>14173.382491629787</v>
      </c>
      <c r="AJ313" s="684">
        <f t="shared" si="814"/>
        <v>23468.591261743572</v>
      </c>
      <c r="AK313" s="684">
        <f t="shared" si="814"/>
        <v>25144.507392474505</v>
      </c>
      <c r="AL313" s="684">
        <f t="shared" si="814"/>
        <v>14471.648124856534</v>
      </c>
      <c r="AM313" s="684">
        <f t="shared" si="814"/>
        <v>41488.435046916733</v>
      </c>
      <c r="AN313" s="684">
        <f t="shared" si="814"/>
        <v>24722.350371674504</v>
      </c>
      <c r="AO313" s="684">
        <f t="shared" si="814"/>
        <v>49558.353351923208</v>
      </c>
      <c r="AP313" s="684">
        <f t="shared" si="814"/>
        <v>15294.810847419427</v>
      </c>
    </row>
    <row r="314" spans="1:42" s="384" customFormat="1">
      <c r="A314" s="191"/>
      <c r="B314" s="637"/>
      <c r="C314" s="636" t="s">
        <v>548</v>
      </c>
      <c r="D314" s="637"/>
      <c r="E314" s="702"/>
      <c r="F314" s="702"/>
      <c r="G314" s="702"/>
      <c r="H314" s="702"/>
      <c r="I314" s="702"/>
      <c r="J314" s="702"/>
      <c r="K314" s="702"/>
      <c r="L314" s="702"/>
      <c r="M314" s="705"/>
      <c r="N314" s="706"/>
      <c r="O314" s="706"/>
      <c r="P314" s="706"/>
      <c r="Q314" s="639"/>
      <c r="R314" s="639"/>
      <c r="S314" s="639"/>
      <c r="T314" s="639"/>
      <c r="U314" s="639"/>
      <c r="V314" s="639"/>
      <c r="W314" s="639"/>
      <c r="X314" s="639"/>
      <c r="Y314" s="703"/>
      <c r="Z314" s="329"/>
      <c r="AA314" s="329"/>
      <c r="AB314" s="329"/>
      <c r="AC314" s="329"/>
      <c r="AD314" s="329"/>
      <c r="AE314" s="329"/>
      <c r="AF314" s="329"/>
      <c r="AG314" s="329"/>
      <c r="AH314" s="329"/>
      <c r="AI314" s="329"/>
      <c r="AJ314" s="329"/>
      <c r="AK314" s="329"/>
      <c r="AL314" s="329"/>
      <c r="AM314" s="329"/>
      <c r="AN314" s="329"/>
      <c r="AO314" s="329"/>
      <c r="AP314" s="329"/>
    </row>
    <row r="315" spans="1:42" s="384" customFormat="1" ht="56.25">
      <c r="A315" s="191"/>
      <c r="B315" s="635" t="s">
        <v>133</v>
      </c>
      <c r="C315" s="636" t="s">
        <v>549</v>
      </c>
      <c r="D315" s="637"/>
      <c r="E315" s="702"/>
      <c r="F315" s="702"/>
      <c r="G315" s="702"/>
      <c r="H315" s="702"/>
      <c r="I315" s="702"/>
      <c r="J315" s="702"/>
      <c r="K315" s="702"/>
      <c r="L315" s="702"/>
      <c r="M315" s="706"/>
      <c r="N315" s="706"/>
      <c r="O315" s="706"/>
      <c r="P315" s="706"/>
      <c r="Q315" s="639"/>
      <c r="R315" s="639"/>
      <c r="S315" s="639"/>
      <c r="T315" s="639"/>
      <c r="U315" s="639"/>
      <c r="V315" s="639"/>
      <c r="W315" s="639"/>
      <c r="X315" s="639"/>
      <c r="Y315" s="703" t="s">
        <v>550</v>
      </c>
      <c r="Z315" s="329"/>
      <c r="AA315" s="329"/>
      <c r="AB315" s="329"/>
      <c r="AC315" s="329"/>
      <c r="AD315" s="329"/>
      <c r="AE315" s="329"/>
      <c r="AF315" s="329"/>
      <c r="AG315" s="329"/>
      <c r="AH315" s="329"/>
      <c r="AI315" s="364"/>
      <c r="AJ315" s="364"/>
      <c r="AK315" s="364"/>
      <c r="AL315" s="364"/>
      <c r="AM315" s="364"/>
      <c r="AN315" s="364"/>
      <c r="AO315" s="364"/>
      <c r="AP315" s="364"/>
    </row>
    <row r="316" spans="1:42" s="384" customFormat="1">
      <c r="A316" s="191"/>
      <c r="B316" s="689" t="s">
        <v>140</v>
      </c>
      <c r="C316" s="407" t="s">
        <v>551</v>
      </c>
      <c r="D316" s="689"/>
      <c r="E316" s="574"/>
      <c r="F316" s="574"/>
      <c r="G316" s="574"/>
      <c r="H316" s="574"/>
      <c r="I316" s="574"/>
      <c r="J316" s="574"/>
      <c r="K316" s="574"/>
      <c r="L316" s="574"/>
      <c r="M316" s="707"/>
      <c r="N316" s="707"/>
      <c r="O316" s="707"/>
      <c r="P316" s="707"/>
      <c r="Q316" s="402">
        <f t="shared" ref="Q316:X316" si="815">Q313-Q323-Q332</f>
        <v>3366.7301080000125</v>
      </c>
      <c r="R316" s="402">
        <f t="shared" si="815"/>
        <v>6959.2749679999797</v>
      </c>
      <c r="S316" s="402">
        <f t="shared" si="815"/>
        <v>8098.0229420000032</v>
      </c>
      <c r="T316" s="402">
        <f t="shared" si="815"/>
        <v>3223.3820679999953</v>
      </c>
      <c r="U316" s="402">
        <f t="shared" si="815"/>
        <v>8709.5829360000134</v>
      </c>
      <c r="V316" s="402">
        <f t="shared" si="815"/>
        <v>6787.9742240000032</v>
      </c>
      <c r="W316" s="402">
        <f t="shared" si="815"/>
        <v>9181.1705960000036</v>
      </c>
      <c r="X316" s="402">
        <f t="shared" si="815"/>
        <v>3139.9803680000059</v>
      </c>
      <c r="Y316" s="409"/>
      <c r="Z316" s="329"/>
      <c r="AA316" s="329"/>
      <c r="AB316" s="329"/>
      <c r="AC316" s="329"/>
      <c r="AD316" s="329"/>
      <c r="AE316" s="329"/>
      <c r="AF316" s="329"/>
      <c r="AG316" s="329"/>
      <c r="AH316" s="329"/>
      <c r="AI316" s="364"/>
      <c r="AJ316" s="364"/>
      <c r="AK316" s="364"/>
      <c r="AL316" s="364"/>
      <c r="AM316" s="364"/>
      <c r="AN316" s="364"/>
      <c r="AO316" s="364"/>
      <c r="AP316" s="364"/>
    </row>
    <row r="317" spans="1:42" s="384" customFormat="1">
      <c r="A317" s="191"/>
      <c r="B317" s="689" t="s">
        <v>552</v>
      </c>
      <c r="C317" s="407" t="s">
        <v>553</v>
      </c>
      <c r="D317" s="689"/>
      <c r="E317" s="574"/>
      <c r="F317" s="574"/>
      <c r="G317" s="574"/>
      <c r="H317" s="574"/>
      <c r="I317" s="574"/>
      <c r="J317" s="574"/>
      <c r="K317" s="574"/>
      <c r="L317" s="574"/>
      <c r="M317" s="708">
        <v>6.5000000000000002E-2</v>
      </c>
      <c r="N317" s="707"/>
      <c r="O317" s="707"/>
      <c r="P317" s="707"/>
      <c r="Q317" s="402">
        <f>Q316*$M$317</f>
        <v>218.83745702000081</v>
      </c>
      <c r="R317" s="402">
        <f t="shared" ref="R317" si="816">R316*$M$317</f>
        <v>452.35287291999867</v>
      </c>
      <c r="S317" s="402">
        <f t="shared" ref="S317:X317" si="817">S316*$M$317</f>
        <v>526.37149123000017</v>
      </c>
      <c r="T317" s="402">
        <f t="shared" si="817"/>
        <v>209.51983441999971</v>
      </c>
      <c r="U317" s="402">
        <f t="shared" si="817"/>
        <v>566.12289084000088</v>
      </c>
      <c r="V317" s="402">
        <f t="shared" si="817"/>
        <v>441.21832456000021</v>
      </c>
      <c r="W317" s="402">
        <f t="shared" si="817"/>
        <v>596.7760887400002</v>
      </c>
      <c r="X317" s="402">
        <f t="shared" si="817"/>
        <v>204.0987239200004</v>
      </c>
      <c r="Y317" s="409"/>
      <c r="Z317" s="329"/>
      <c r="AA317" s="329"/>
      <c r="AB317" s="329"/>
      <c r="AC317" s="329"/>
      <c r="AD317" s="329"/>
      <c r="AE317" s="329"/>
      <c r="AF317" s="329"/>
      <c r="AG317" s="329"/>
      <c r="AH317" s="329"/>
      <c r="AI317" s="364"/>
      <c r="AJ317" s="364"/>
      <c r="AK317" s="364"/>
      <c r="AL317" s="364"/>
      <c r="AM317" s="364"/>
      <c r="AN317" s="364"/>
      <c r="AO317" s="364"/>
      <c r="AP317" s="364"/>
    </row>
    <row r="318" spans="1:42" s="384" customFormat="1">
      <c r="A318" s="191"/>
      <c r="B318" s="689" t="s">
        <v>554</v>
      </c>
      <c r="C318" s="407" t="s">
        <v>555</v>
      </c>
      <c r="D318" s="689"/>
      <c r="E318" s="574"/>
      <c r="F318" s="574"/>
      <c r="G318" s="574"/>
      <c r="H318" s="574"/>
      <c r="I318" s="574"/>
      <c r="J318" s="574"/>
      <c r="K318" s="574"/>
      <c r="L318" s="574"/>
      <c r="M318" s="708">
        <v>0.1</v>
      </c>
      <c r="N318" s="707"/>
      <c r="O318" s="707"/>
      <c r="P318" s="707"/>
      <c r="Q318" s="402">
        <f>Q316*$M318</f>
        <v>336.67301080000129</v>
      </c>
      <c r="R318" s="402">
        <f t="shared" ref="R318" si="818">R316*$M318</f>
        <v>695.92749679999804</v>
      </c>
      <c r="S318" s="402">
        <f t="shared" ref="S318:X318" si="819">S316*$M318</f>
        <v>809.80229420000035</v>
      </c>
      <c r="T318" s="402">
        <f t="shared" si="819"/>
        <v>322.33820679999957</v>
      </c>
      <c r="U318" s="402">
        <f t="shared" si="819"/>
        <v>870.95829360000141</v>
      </c>
      <c r="V318" s="402">
        <f t="shared" si="819"/>
        <v>678.79742240000041</v>
      </c>
      <c r="W318" s="402">
        <f t="shared" si="819"/>
        <v>918.1170596000004</v>
      </c>
      <c r="X318" s="402">
        <f t="shared" si="819"/>
        <v>313.99803680000059</v>
      </c>
      <c r="Y318" s="409"/>
      <c r="Z318" s="329"/>
      <c r="AA318" s="329"/>
      <c r="AB318" s="329"/>
      <c r="AC318" s="329"/>
      <c r="AD318" s="329"/>
      <c r="AE318" s="329"/>
      <c r="AF318" s="329"/>
      <c r="AG318" s="329"/>
      <c r="AH318" s="329"/>
      <c r="AI318" s="364"/>
      <c r="AJ318" s="364"/>
      <c r="AK318" s="364"/>
      <c r="AL318" s="364"/>
      <c r="AM318" s="364"/>
      <c r="AN318" s="364"/>
      <c r="AO318" s="364"/>
      <c r="AP318" s="364"/>
    </row>
    <row r="319" spans="1:42" s="384" customFormat="1" ht="22.5">
      <c r="A319" s="191"/>
      <c r="B319" s="689" t="s">
        <v>556</v>
      </c>
      <c r="C319" s="407" t="s">
        <v>1857</v>
      </c>
      <c r="D319" s="689"/>
      <c r="E319" s="574"/>
      <c r="F319" s="574"/>
      <c r="G319" s="574"/>
      <c r="H319" s="574"/>
      <c r="I319" s="574"/>
      <c r="J319" s="574"/>
      <c r="K319" s="574"/>
      <c r="L319" s="574"/>
      <c r="M319" s="432"/>
      <c r="N319" s="707"/>
      <c r="O319" s="707"/>
      <c r="P319" s="707"/>
      <c r="Q319" s="402">
        <f>Q316*$M319</f>
        <v>0</v>
      </c>
      <c r="R319" s="402">
        <f t="shared" ref="R319" si="820">R316*$M319</f>
        <v>0</v>
      </c>
      <c r="S319" s="402">
        <f t="shared" ref="S319:X319" si="821">S316*$M319</f>
        <v>0</v>
      </c>
      <c r="T319" s="402">
        <f t="shared" si="821"/>
        <v>0</v>
      </c>
      <c r="U319" s="402">
        <f t="shared" si="821"/>
        <v>0</v>
      </c>
      <c r="V319" s="402">
        <f t="shared" si="821"/>
        <v>0</v>
      </c>
      <c r="W319" s="402">
        <f t="shared" si="821"/>
        <v>0</v>
      </c>
      <c r="X319" s="402">
        <f t="shared" si="821"/>
        <v>0</v>
      </c>
      <c r="Y319" s="409"/>
      <c r="Z319" s="329"/>
      <c r="AA319" s="329"/>
      <c r="AB319" s="329"/>
      <c r="AC319" s="329"/>
      <c r="AD319" s="329"/>
      <c r="AE319" s="329"/>
      <c r="AF319" s="329"/>
      <c r="AG319" s="329"/>
      <c r="AH319" s="329"/>
      <c r="AI319" s="364"/>
      <c r="AJ319" s="364"/>
      <c r="AK319" s="364"/>
      <c r="AL319" s="364"/>
      <c r="AM319" s="364"/>
      <c r="AN319" s="364"/>
      <c r="AO319" s="364"/>
      <c r="AP319" s="364"/>
    </row>
    <row r="320" spans="1:42" s="384" customFormat="1">
      <c r="A320" s="191"/>
      <c r="B320" s="689" t="s">
        <v>558</v>
      </c>
      <c r="C320" s="407" t="s">
        <v>559</v>
      </c>
      <c r="D320" s="689"/>
      <c r="E320" s="574"/>
      <c r="F320" s="574"/>
      <c r="G320" s="574"/>
      <c r="H320" s="574"/>
      <c r="I320" s="574"/>
      <c r="J320" s="574"/>
      <c r="K320" s="574"/>
      <c r="L320" s="574"/>
      <c r="M320" s="433">
        <v>3.4770000000000002E-2</v>
      </c>
      <c r="N320" s="707"/>
      <c r="O320" s="707"/>
      <c r="P320" s="707"/>
      <c r="Q320" s="402">
        <f t="shared" ref="Q320:X320" si="822">SUM(Q316:Q319)*$M320</f>
        <v>136.37630482126193</v>
      </c>
      <c r="R320" s="402">
        <f t="shared" si="822"/>
        <v>281.89969909252363</v>
      </c>
      <c r="S320" s="402">
        <f t="shared" si="822"/>
        <v>328.02702021274126</v>
      </c>
      <c r="T320" s="402">
        <f t="shared" si="822"/>
        <v>130.56969859757922</v>
      </c>
      <c r="U320" s="402">
        <f t="shared" si="822"/>
        <v>352.79951146769935</v>
      </c>
      <c r="V320" s="402">
        <f t="shared" si="822"/>
        <v>274.96081129027931</v>
      </c>
      <c r="W320" s="402">
        <f t="shared" si="822"/>
        <v>371.90213639070197</v>
      </c>
      <c r="X320" s="402">
        <f t="shared" si="822"/>
        <v>127.19134176559464</v>
      </c>
      <c r="Y320" s="409"/>
      <c r="Z320" s="329"/>
      <c r="AA320" s="329"/>
      <c r="AB320" s="329"/>
      <c r="AC320" s="329"/>
      <c r="AD320" s="329"/>
      <c r="AE320" s="329"/>
      <c r="AF320" s="329"/>
      <c r="AG320" s="329"/>
      <c r="AH320" s="329"/>
      <c r="AI320" s="364"/>
      <c r="AJ320" s="364"/>
      <c r="AK320" s="364"/>
      <c r="AL320" s="364"/>
      <c r="AM320" s="364"/>
      <c r="AN320" s="364"/>
      <c r="AO320" s="364"/>
      <c r="AP320" s="364"/>
    </row>
    <row r="321" spans="1:42" s="400" customFormat="1">
      <c r="A321" s="191"/>
      <c r="B321" s="689" t="s">
        <v>560</v>
      </c>
      <c r="C321" s="407" t="s">
        <v>561</v>
      </c>
      <c r="D321" s="689"/>
      <c r="E321" s="574"/>
      <c r="F321" s="574"/>
      <c r="G321" s="574"/>
      <c r="H321" s="574"/>
      <c r="I321" s="574"/>
      <c r="J321" s="574"/>
      <c r="K321" s="574"/>
      <c r="L321" s="574"/>
      <c r="M321" s="708"/>
      <c r="N321" s="707"/>
      <c r="O321" s="707"/>
      <c r="P321" s="707"/>
      <c r="Q321" s="402">
        <f t="shared" ref="Q321:X321" si="823">SUM(Q316:Q320)</f>
        <v>4058.6168806412766</v>
      </c>
      <c r="R321" s="402">
        <f t="shared" si="823"/>
        <v>8389.4550368125001</v>
      </c>
      <c r="S321" s="402">
        <f t="shared" si="823"/>
        <v>9762.2237476427454</v>
      </c>
      <c r="T321" s="402">
        <f t="shared" si="823"/>
        <v>3885.809807817574</v>
      </c>
      <c r="U321" s="402">
        <f t="shared" si="823"/>
        <v>10499.463631907714</v>
      </c>
      <c r="V321" s="402">
        <f t="shared" si="823"/>
        <v>8182.9507822502828</v>
      </c>
      <c r="W321" s="402">
        <f t="shared" si="823"/>
        <v>11067.965880730706</v>
      </c>
      <c r="X321" s="402">
        <f t="shared" si="823"/>
        <v>3785.2684704856015</v>
      </c>
      <c r="Y321" s="409"/>
      <c r="Z321" s="329"/>
      <c r="AA321" s="329"/>
      <c r="AB321" s="329"/>
      <c r="AC321" s="329"/>
      <c r="AD321" s="329"/>
      <c r="AE321" s="329"/>
      <c r="AF321" s="329"/>
      <c r="AG321" s="329"/>
      <c r="AH321" s="329"/>
      <c r="AI321" s="364"/>
      <c r="AJ321" s="364"/>
      <c r="AK321" s="364"/>
      <c r="AL321" s="364"/>
      <c r="AM321" s="364"/>
      <c r="AN321" s="364"/>
      <c r="AO321" s="364"/>
      <c r="AP321" s="364"/>
    </row>
    <row r="322" spans="1:42" s="384" customFormat="1" ht="22.5">
      <c r="A322" s="191"/>
      <c r="B322" s="635" t="s">
        <v>246</v>
      </c>
      <c r="C322" s="636" t="s">
        <v>562</v>
      </c>
      <c r="D322" s="637"/>
      <c r="E322" s="702"/>
      <c r="F322" s="702"/>
      <c r="G322" s="702"/>
      <c r="H322" s="702"/>
      <c r="I322" s="702"/>
      <c r="J322" s="702"/>
      <c r="K322" s="702"/>
      <c r="L322" s="702"/>
      <c r="M322" s="710"/>
      <c r="N322" s="706"/>
      <c r="O322" s="706"/>
      <c r="P322" s="706"/>
      <c r="Q322" s="639"/>
      <c r="R322" s="639"/>
      <c r="S322" s="639"/>
      <c r="T322" s="639"/>
      <c r="U322" s="639"/>
      <c r="V322" s="639"/>
      <c r="W322" s="639"/>
      <c r="X322" s="639"/>
      <c r="Y322" s="703"/>
      <c r="Z322" s="329"/>
      <c r="AA322" s="329"/>
      <c r="AB322" s="329"/>
      <c r="AC322" s="329"/>
      <c r="AD322" s="329"/>
      <c r="AE322" s="329"/>
      <c r="AF322" s="329"/>
      <c r="AG322" s="329"/>
      <c r="AH322" s="329"/>
      <c r="AI322" s="364"/>
      <c r="AJ322" s="364"/>
      <c r="AK322" s="364"/>
      <c r="AL322" s="364"/>
      <c r="AM322" s="364"/>
      <c r="AN322" s="364"/>
      <c r="AO322" s="364"/>
      <c r="AP322" s="364"/>
    </row>
    <row r="323" spans="1:42" s="384" customFormat="1" ht="45">
      <c r="A323" s="191"/>
      <c r="B323" s="689" t="s">
        <v>563</v>
      </c>
      <c r="C323" s="407" t="s">
        <v>551</v>
      </c>
      <c r="D323" s="689"/>
      <c r="E323" s="574"/>
      <c r="F323" s="574"/>
      <c r="G323" s="574"/>
      <c r="H323" s="574"/>
      <c r="I323" s="574"/>
      <c r="J323" s="574"/>
      <c r="K323" s="574"/>
      <c r="L323" s="574"/>
      <c r="M323" s="708"/>
      <c r="N323" s="707"/>
      <c r="O323" s="707"/>
      <c r="P323" s="707"/>
      <c r="Q323" s="402">
        <f t="shared" ref="Q323:X323" si="824">Z313</f>
        <v>22141.524160669785</v>
      </c>
      <c r="R323" s="402">
        <f t="shared" si="824"/>
        <v>37666.897704463569</v>
      </c>
      <c r="S323" s="402">
        <f t="shared" si="824"/>
        <v>39785.6183430745</v>
      </c>
      <c r="T323" s="402">
        <f t="shared" si="824"/>
        <v>22808.072728896535</v>
      </c>
      <c r="U323" s="402">
        <f t="shared" si="824"/>
        <v>69139.498912196737</v>
      </c>
      <c r="V323" s="402">
        <f t="shared" si="824"/>
        <v>38931.538317674494</v>
      </c>
      <c r="W323" s="402">
        <f t="shared" si="824"/>
        <v>82037.607099683228</v>
      </c>
      <c r="X323" s="402">
        <f t="shared" si="824"/>
        <v>24274.271349259427</v>
      </c>
      <c r="Y323" s="409" t="s">
        <v>564</v>
      </c>
      <c r="Z323" s="329"/>
      <c r="AA323" s="329"/>
      <c r="AB323" s="329"/>
      <c r="AC323" s="329"/>
      <c r="AD323" s="329"/>
      <c r="AE323" s="329"/>
      <c r="AF323" s="329"/>
      <c r="AG323" s="329"/>
      <c r="AH323" s="329"/>
      <c r="AI323" s="364"/>
      <c r="AJ323" s="364"/>
      <c r="AK323" s="364"/>
      <c r="AL323" s="364"/>
      <c r="AM323" s="364"/>
      <c r="AN323" s="364"/>
      <c r="AO323" s="364"/>
      <c r="AP323" s="364"/>
    </row>
    <row r="324" spans="1:42" s="384" customFormat="1">
      <c r="A324" s="191"/>
      <c r="B324" s="689" t="s">
        <v>210</v>
      </c>
      <c r="C324" s="407" t="s">
        <v>565</v>
      </c>
      <c r="D324" s="689"/>
      <c r="E324" s="574"/>
      <c r="F324" s="574"/>
      <c r="G324" s="574"/>
      <c r="H324" s="574"/>
      <c r="I324" s="574"/>
      <c r="J324" s="574"/>
      <c r="K324" s="574"/>
      <c r="L324" s="574"/>
      <c r="M324" s="708"/>
      <c r="N324" s="707"/>
      <c r="O324" s="707"/>
      <c r="P324" s="707"/>
      <c r="Q324" s="402">
        <f t="shared" ref="Q324:X324" si="825">AI313</f>
        <v>14173.382491629787</v>
      </c>
      <c r="R324" s="402">
        <f t="shared" si="825"/>
        <v>23468.591261743572</v>
      </c>
      <c r="S324" s="402">
        <f t="shared" si="825"/>
        <v>25144.507392474505</v>
      </c>
      <c r="T324" s="402">
        <f t="shared" si="825"/>
        <v>14471.648124856534</v>
      </c>
      <c r="U324" s="402">
        <f t="shared" si="825"/>
        <v>41488.435046916733</v>
      </c>
      <c r="V324" s="402">
        <f t="shared" si="825"/>
        <v>24722.350371674504</v>
      </c>
      <c r="W324" s="402">
        <f t="shared" si="825"/>
        <v>49558.353351923208</v>
      </c>
      <c r="X324" s="402">
        <f t="shared" si="825"/>
        <v>15294.810847419427</v>
      </c>
      <c r="Y324" s="409"/>
      <c r="Z324" s="329"/>
      <c r="AA324" s="329"/>
      <c r="AB324" s="329"/>
      <c r="AC324" s="329"/>
      <c r="AD324" s="329"/>
      <c r="AE324" s="329"/>
      <c r="AF324" s="329"/>
      <c r="AG324" s="329"/>
      <c r="AH324" s="329"/>
      <c r="AI324" s="364"/>
      <c r="AJ324" s="364"/>
      <c r="AK324" s="364"/>
      <c r="AL324" s="364"/>
      <c r="AM324" s="364"/>
      <c r="AN324" s="364"/>
      <c r="AO324" s="364"/>
      <c r="AP324" s="364"/>
    </row>
    <row r="325" spans="1:42" s="384" customFormat="1">
      <c r="A325" s="191"/>
      <c r="B325" s="689" t="s">
        <v>566</v>
      </c>
      <c r="C325" s="407" t="s">
        <v>567</v>
      </c>
      <c r="D325" s="689"/>
      <c r="E325" s="574"/>
      <c r="F325" s="574"/>
      <c r="G325" s="574"/>
      <c r="H325" s="574"/>
      <c r="I325" s="574"/>
      <c r="J325" s="574"/>
      <c r="K325" s="574"/>
      <c r="L325" s="574"/>
      <c r="M325" s="708">
        <v>0.1</v>
      </c>
      <c r="N325" s="707"/>
      <c r="O325" s="707"/>
      <c r="P325" s="707"/>
      <c r="Q325" s="402">
        <f>(Q323-Q324)*$M325</f>
        <v>796.81416690399988</v>
      </c>
      <c r="R325" s="402">
        <f t="shared" ref="R325" si="826">(R323-R324)*$M325</f>
        <v>1419.8306442719997</v>
      </c>
      <c r="S325" s="402">
        <f t="shared" ref="S325:X325" si="827">(S323-S324)*$M325</f>
        <v>1464.1110950599996</v>
      </c>
      <c r="T325" s="402">
        <f t="shared" si="827"/>
        <v>833.64246040400019</v>
      </c>
      <c r="U325" s="402">
        <f t="shared" si="827"/>
        <v>2765.1063865280007</v>
      </c>
      <c r="V325" s="402">
        <f t="shared" si="827"/>
        <v>1420.9187945999993</v>
      </c>
      <c r="W325" s="402">
        <f t="shared" si="827"/>
        <v>3247.9253747760022</v>
      </c>
      <c r="X325" s="402">
        <f t="shared" si="827"/>
        <v>897.946050184</v>
      </c>
      <c r="Y325" s="409"/>
      <c r="Z325" s="329"/>
      <c r="AA325" s="329"/>
      <c r="AB325" s="329"/>
      <c r="AC325" s="329"/>
      <c r="AD325" s="329"/>
      <c r="AE325" s="329"/>
      <c r="AF325" s="329"/>
      <c r="AG325" s="329"/>
      <c r="AH325" s="329"/>
      <c r="AI325" s="364"/>
      <c r="AJ325" s="364"/>
      <c r="AK325" s="364"/>
      <c r="AL325" s="364"/>
      <c r="AM325" s="364"/>
      <c r="AN325" s="364"/>
      <c r="AO325" s="364"/>
      <c r="AP325" s="364"/>
    </row>
    <row r="326" spans="1:42" s="384" customFormat="1">
      <c r="A326" s="191"/>
      <c r="B326" s="689" t="s">
        <v>568</v>
      </c>
      <c r="C326" s="407" t="s">
        <v>569</v>
      </c>
      <c r="D326" s="689"/>
      <c r="E326" s="574"/>
      <c r="F326" s="574"/>
      <c r="G326" s="574"/>
      <c r="H326" s="574"/>
      <c r="I326" s="574"/>
      <c r="J326" s="574"/>
      <c r="K326" s="574"/>
      <c r="L326" s="574"/>
      <c r="M326" s="708">
        <v>0.1</v>
      </c>
      <c r="N326" s="707"/>
      <c r="O326" s="707"/>
      <c r="P326" s="707"/>
      <c r="Q326" s="402">
        <f>Q324*$M326</f>
        <v>1417.3382491629789</v>
      </c>
      <c r="R326" s="402">
        <f t="shared" ref="R326" si="828">R324*$M326</f>
        <v>2346.8591261743572</v>
      </c>
      <c r="S326" s="402">
        <f t="shared" ref="S326:X326" si="829">S324*$M326</f>
        <v>2514.4507392474507</v>
      </c>
      <c r="T326" s="402">
        <f t="shared" si="829"/>
        <v>1447.1648124856536</v>
      </c>
      <c r="U326" s="402">
        <f t="shared" si="829"/>
        <v>4148.8435046916738</v>
      </c>
      <c r="V326" s="402">
        <f t="shared" si="829"/>
        <v>2472.2350371674506</v>
      </c>
      <c r="W326" s="402">
        <f t="shared" si="829"/>
        <v>4955.8353351923215</v>
      </c>
      <c r="X326" s="402">
        <f t="shared" si="829"/>
        <v>1529.4810847419428</v>
      </c>
      <c r="Y326" s="409"/>
      <c r="Z326" s="329"/>
      <c r="AA326" s="329"/>
      <c r="AB326" s="329"/>
      <c r="AC326" s="329"/>
      <c r="AD326" s="329"/>
      <c r="AE326" s="329"/>
      <c r="AF326" s="329"/>
      <c r="AG326" s="329"/>
      <c r="AH326" s="329"/>
      <c r="AI326" s="364"/>
      <c r="AJ326" s="364"/>
      <c r="AK326" s="364"/>
      <c r="AL326" s="364"/>
      <c r="AM326" s="364"/>
      <c r="AN326" s="364"/>
      <c r="AO326" s="364"/>
      <c r="AP326" s="364"/>
    </row>
    <row r="327" spans="1:42" s="384" customFormat="1" ht="22.5">
      <c r="A327" s="191"/>
      <c r="B327" s="689" t="s">
        <v>570</v>
      </c>
      <c r="C327" s="407" t="s">
        <v>571</v>
      </c>
      <c r="D327" s="689"/>
      <c r="E327" s="574"/>
      <c r="F327" s="574"/>
      <c r="G327" s="574"/>
      <c r="H327" s="574"/>
      <c r="I327" s="574"/>
      <c r="J327" s="574"/>
      <c r="K327" s="574"/>
      <c r="L327" s="574"/>
      <c r="M327" s="708">
        <v>0.1</v>
      </c>
      <c r="N327" s="707"/>
      <c r="O327" s="707"/>
      <c r="P327" s="707"/>
      <c r="Q327" s="402">
        <f>(Q323-Q324)*$M327</f>
        <v>796.81416690399988</v>
      </c>
      <c r="R327" s="402">
        <f t="shared" ref="R327" si="830">(R323-R324)*$M327</f>
        <v>1419.8306442719997</v>
      </c>
      <c r="S327" s="402">
        <f t="shared" ref="S327:X327" si="831">(S323-S324)*$M327</f>
        <v>1464.1110950599996</v>
      </c>
      <c r="T327" s="402">
        <f t="shared" si="831"/>
        <v>833.64246040400019</v>
      </c>
      <c r="U327" s="402">
        <f t="shared" si="831"/>
        <v>2765.1063865280007</v>
      </c>
      <c r="V327" s="402">
        <f t="shared" si="831"/>
        <v>1420.9187945999993</v>
      </c>
      <c r="W327" s="402">
        <f t="shared" si="831"/>
        <v>3247.9253747760022</v>
      </c>
      <c r="X327" s="402">
        <f t="shared" si="831"/>
        <v>897.946050184</v>
      </c>
      <c r="Y327" s="409" t="s">
        <v>572</v>
      </c>
      <c r="Z327" s="329"/>
      <c r="AA327" s="329"/>
      <c r="AB327" s="329"/>
      <c r="AC327" s="329"/>
      <c r="AD327" s="329"/>
      <c r="AE327" s="329"/>
      <c r="AF327" s="329"/>
      <c r="AG327" s="329"/>
      <c r="AH327" s="329"/>
      <c r="AI327" s="364"/>
      <c r="AJ327" s="364"/>
      <c r="AK327" s="364"/>
      <c r="AL327" s="364"/>
      <c r="AM327" s="364"/>
      <c r="AN327" s="364"/>
      <c r="AO327" s="364"/>
      <c r="AP327" s="364"/>
    </row>
    <row r="328" spans="1:42" s="384" customFormat="1" ht="22.5">
      <c r="A328" s="191"/>
      <c r="B328" s="689" t="s">
        <v>573</v>
      </c>
      <c r="C328" s="407" t="s">
        <v>1855</v>
      </c>
      <c r="D328" s="689"/>
      <c r="E328" s="574"/>
      <c r="F328" s="574"/>
      <c r="G328" s="574"/>
      <c r="H328" s="574"/>
      <c r="I328" s="574"/>
      <c r="J328" s="574"/>
      <c r="K328" s="574"/>
      <c r="L328" s="574"/>
      <c r="M328" s="708">
        <f>M319</f>
        <v>0</v>
      </c>
      <c r="N328" s="707"/>
      <c r="O328" s="707"/>
      <c r="P328" s="707"/>
      <c r="Q328" s="402">
        <f>Q323*$M328</f>
        <v>0</v>
      </c>
      <c r="R328" s="402">
        <f t="shared" ref="R328" si="832">R323*$M328</f>
        <v>0</v>
      </c>
      <c r="S328" s="402">
        <f t="shared" ref="S328:X328" si="833">S323*$M328</f>
        <v>0</v>
      </c>
      <c r="T328" s="402">
        <f t="shared" si="833"/>
        <v>0</v>
      </c>
      <c r="U328" s="402">
        <f t="shared" si="833"/>
        <v>0</v>
      </c>
      <c r="V328" s="402">
        <f t="shared" si="833"/>
        <v>0</v>
      </c>
      <c r="W328" s="402">
        <f t="shared" si="833"/>
        <v>0</v>
      </c>
      <c r="X328" s="402">
        <f t="shared" si="833"/>
        <v>0</v>
      </c>
      <c r="Y328" s="409"/>
      <c r="Z328" s="329"/>
      <c r="AA328" s="329"/>
      <c r="AB328" s="329"/>
      <c r="AC328" s="329"/>
      <c r="AD328" s="329"/>
      <c r="AE328" s="329"/>
      <c r="AF328" s="329"/>
      <c r="AG328" s="329"/>
      <c r="AH328" s="329"/>
      <c r="AI328" s="364"/>
      <c r="AJ328" s="364"/>
      <c r="AK328" s="364"/>
      <c r="AL328" s="364"/>
      <c r="AM328" s="364"/>
      <c r="AN328" s="364"/>
      <c r="AO328" s="364"/>
      <c r="AP328" s="364"/>
    </row>
    <row r="329" spans="1:42" s="384" customFormat="1">
      <c r="A329" s="191"/>
      <c r="B329" s="689" t="s">
        <v>575</v>
      </c>
      <c r="C329" s="407" t="s">
        <v>576</v>
      </c>
      <c r="D329" s="689"/>
      <c r="E329" s="574"/>
      <c r="F329" s="574"/>
      <c r="G329" s="574"/>
      <c r="H329" s="574"/>
      <c r="I329" s="574"/>
      <c r="J329" s="574"/>
      <c r="K329" s="574"/>
      <c r="L329" s="574"/>
      <c r="M329" s="711">
        <f>M320</f>
        <v>3.4770000000000002E-2</v>
      </c>
      <c r="N329" s="707"/>
      <c r="O329" s="707"/>
      <c r="P329" s="707"/>
      <c r="Q329" s="402">
        <f>(Q323+Q325+Q326+Q327+Q328)*$M329</f>
        <v>874.55210315638953</v>
      </c>
      <c r="R329" s="402">
        <f t="shared" ref="R329" si="834">(R323+R325+R326+R327+R328)*$M329</f>
        <v>1490.0133480039556</v>
      </c>
      <c r="S329" s="402">
        <f t="shared" ref="S329:X329" si="835">(S323+S325+S326+S327+S328)*$M329</f>
        <v>1572.5876875428064</v>
      </c>
      <c r="T329" s="402">
        <f t="shared" si="835"/>
        <v>901.32610601035299</v>
      </c>
      <c r="U329" s="402">
        <f t="shared" si="835"/>
        <v>2740.5211639543672</v>
      </c>
      <c r="V329" s="402">
        <f t="shared" si="835"/>
        <v>1538.4198925243386</v>
      </c>
      <c r="W329" s="402">
        <f t="shared" si="835"/>
        <v>3250.6227240225471</v>
      </c>
      <c r="X329" s="402">
        <f t="shared" si="835"/>
        <v>959.63964046002309</v>
      </c>
      <c r="Y329" s="409"/>
      <c r="Z329" s="329"/>
      <c r="AA329" s="329"/>
      <c r="AB329" s="329"/>
      <c r="AC329" s="329"/>
      <c r="AD329" s="329"/>
      <c r="AE329" s="329"/>
      <c r="AF329" s="329"/>
      <c r="AG329" s="329"/>
      <c r="AH329" s="329"/>
      <c r="AI329" s="364"/>
      <c r="AJ329" s="364"/>
      <c r="AK329" s="364"/>
      <c r="AL329" s="364"/>
      <c r="AM329" s="364"/>
      <c r="AN329" s="364"/>
      <c r="AO329" s="364"/>
      <c r="AP329" s="364"/>
    </row>
    <row r="330" spans="1:42" s="400" customFormat="1">
      <c r="A330" s="191"/>
      <c r="B330" s="689" t="s">
        <v>577</v>
      </c>
      <c r="C330" s="407" t="s">
        <v>578</v>
      </c>
      <c r="D330" s="689"/>
      <c r="E330" s="574"/>
      <c r="F330" s="574"/>
      <c r="G330" s="574"/>
      <c r="H330" s="574"/>
      <c r="I330" s="574"/>
      <c r="J330" s="574"/>
      <c r="K330" s="574"/>
      <c r="L330" s="574"/>
      <c r="M330" s="708"/>
      <c r="N330" s="707"/>
      <c r="O330" s="707"/>
      <c r="P330" s="707"/>
      <c r="Q330" s="402">
        <f>Q323+Q325+Q326+Q327+Q328+Q329</f>
        <v>26027.042846797158</v>
      </c>
      <c r="R330" s="402">
        <f t="shared" ref="R330" si="836">R323+R325+R326+R327+R328+R329</f>
        <v>44343.431467185881</v>
      </c>
      <c r="S330" s="402">
        <f t="shared" ref="S330:X330" si="837">S323+S325+S326+S327+S328+S329</f>
        <v>46800.878959984751</v>
      </c>
      <c r="T330" s="402">
        <f t="shared" si="837"/>
        <v>26823.848568200545</v>
      </c>
      <c r="U330" s="402">
        <f t="shared" si="837"/>
        <v>81559.076353898781</v>
      </c>
      <c r="V330" s="402">
        <f t="shared" si="837"/>
        <v>45784.030836566286</v>
      </c>
      <c r="W330" s="402">
        <f t="shared" si="837"/>
        <v>96739.915908450115</v>
      </c>
      <c r="X330" s="402">
        <f t="shared" si="837"/>
        <v>28559.284174829394</v>
      </c>
      <c r="Y330" s="409"/>
      <c r="Z330" s="329"/>
      <c r="AA330" s="329"/>
      <c r="AB330" s="329"/>
      <c r="AC330" s="329"/>
      <c r="AD330" s="329"/>
      <c r="AE330" s="329"/>
      <c r="AF330" s="329"/>
      <c r="AG330" s="329"/>
      <c r="AH330" s="329"/>
      <c r="AI330" s="364"/>
      <c r="AJ330" s="364"/>
      <c r="AK330" s="364"/>
      <c r="AL330" s="364"/>
      <c r="AM330" s="364"/>
      <c r="AN330" s="364"/>
      <c r="AO330" s="364"/>
      <c r="AP330" s="364"/>
    </row>
    <row r="331" spans="1:42" s="384" customFormat="1" ht="22.5">
      <c r="A331" s="191"/>
      <c r="B331" s="635" t="s">
        <v>136</v>
      </c>
      <c r="C331" s="636" t="s">
        <v>579</v>
      </c>
      <c r="D331" s="637"/>
      <c r="E331" s="702"/>
      <c r="F331" s="702"/>
      <c r="G331" s="702"/>
      <c r="H331" s="702"/>
      <c r="I331" s="702"/>
      <c r="J331" s="702"/>
      <c r="K331" s="702"/>
      <c r="L331" s="702"/>
      <c r="M331" s="710"/>
      <c r="N331" s="706"/>
      <c r="O331" s="706"/>
      <c r="P331" s="706"/>
      <c r="Q331" s="639"/>
      <c r="R331" s="639"/>
      <c r="S331" s="639"/>
      <c r="T331" s="639"/>
      <c r="U331" s="639"/>
      <c r="V331" s="639"/>
      <c r="W331" s="639"/>
      <c r="X331" s="639"/>
      <c r="Y331" s="703"/>
      <c r="Z331" s="329"/>
      <c r="AA331" s="329"/>
      <c r="AB331" s="329"/>
      <c r="AC331" s="329"/>
      <c r="AD331" s="329"/>
      <c r="AE331" s="329"/>
      <c r="AF331" s="329"/>
      <c r="AG331" s="329"/>
      <c r="AH331" s="329"/>
      <c r="AI331" s="364"/>
      <c r="AJ331" s="364"/>
      <c r="AK331" s="364"/>
      <c r="AL331" s="364"/>
      <c r="AM331" s="364"/>
      <c r="AN331" s="364"/>
      <c r="AO331" s="364"/>
      <c r="AP331" s="364"/>
    </row>
    <row r="332" spans="1:42" s="384" customFormat="1" ht="56.25">
      <c r="A332" s="191"/>
      <c r="B332" s="689" t="s">
        <v>580</v>
      </c>
      <c r="C332" s="407" t="s">
        <v>551</v>
      </c>
      <c r="D332" s="689"/>
      <c r="E332" s="574"/>
      <c r="F332" s="574"/>
      <c r="G332" s="574"/>
      <c r="H332" s="574"/>
      <c r="I332" s="574"/>
      <c r="J332" s="574"/>
      <c r="K332" s="574"/>
      <c r="L332" s="574"/>
      <c r="M332" s="708"/>
      <c r="N332" s="707"/>
      <c r="O332" s="707"/>
      <c r="P332" s="707"/>
      <c r="Q332" s="402">
        <f t="shared" ref="Q332:X332" si="838">Q103+Q115+Q189+Q164+Q135+Q167+Q168+Q299</f>
        <v>9689.7739999999994</v>
      </c>
      <c r="R332" s="402">
        <f t="shared" si="838"/>
        <v>14820.456999999999</v>
      </c>
      <c r="S332" s="402">
        <f t="shared" si="838"/>
        <v>11410.428</v>
      </c>
      <c r="T332" s="402">
        <f t="shared" si="838"/>
        <v>9713.9595000000008</v>
      </c>
      <c r="U332" s="402">
        <f t="shared" si="838"/>
        <v>11802.722000000002</v>
      </c>
      <c r="V332" s="402">
        <f t="shared" si="838"/>
        <v>11628.079</v>
      </c>
      <c r="W332" s="402">
        <f t="shared" si="838"/>
        <v>11142.722000000002</v>
      </c>
      <c r="X332" s="402">
        <f t="shared" si="838"/>
        <v>10377.457</v>
      </c>
      <c r="Y332" s="409" t="s">
        <v>581</v>
      </c>
      <c r="Z332" s="329"/>
      <c r="AA332" s="329"/>
      <c r="AB332" s="329"/>
      <c r="AC332" s="329"/>
      <c r="AD332" s="329"/>
      <c r="AE332" s="329"/>
      <c r="AF332" s="329"/>
      <c r="AG332" s="329"/>
      <c r="AH332" s="329"/>
      <c r="AI332" s="364"/>
      <c r="AJ332" s="364"/>
      <c r="AK332" s="364"/>
      <c r="AL332" s="364"/>
      <c r="AM332" s="364"/>
      <c r="AN332" s="364"/>
      <c r="AO332" s="364"/>
      <c r="AP332" s="364"/>
    </row>
    <row r="333" spans="1:42" s="384" customFormat="1">
      <c r="A333" s="191"/>
      <c r="B333" s="689" t="s">
        <v>582</v>
      </c>
      <c r="C333" s="407" t="s">
        <v>583</v>
      </c>
      <c r="D333" s="689"/>
      <c r="E333" s="574"/>
      <c r="F333" s="574"/>
      <c r="G333" s="574"/>
      <c r="H333" s="574"/>
      <c r="I333" s="574"/>
      <c r="J333" s="574"/>
      <c r="K333" s="574"/>
      <c r="L333" s="574"/>
      <c r="M333" s="708">
        <v>2.5000000000000001E-2</v>
      </c>
      <c r="N333" s="707"/>
      <c r="O333" s="707"/>
      <c r="P333" s="707"/>
      <c r="Q333" s="402">
        <f>Q332*$M$333</f>
        <v>242.24435</v>
      </c>
      <c r="R333" s="402">
        <f t="shared" ref="R333" si="839">R332*$M$333</f>
        <v>370.51142499999997</v>
      </c>
      <c r="S333" s="402">
        <f t="shared" ref="S333:X333" si="840">S332*$M$333</f>
        <v>285.26069999999999</v>
      </c>
      <c r="T333" s="402">
        <f t="shared" si="840"/>
        <v>242.84898750000002</v>
      </c>
      <c r="U333" s="402">
        <f t="shared" si="840"/>
        <v>295.06805000000003</v>
      </c>
      <c r="V333" s="402">
        <f t="shared" si="840"/>
        <v>290.701975</v>
      </c>
      <c r="W333" s="402">
        <f t="shared" si="840"/>
        <v>278.56805000000003</v>
      </c>
      <c r="X333" s="402">
        <f t="shared" si="840"/>
        <v>259.43642500000004</v>
      </c>
      <c r="Y333" s="409"/>
      <c r="Z333" s="329"/>
      <c r="AA333" s="329"/>
      <c r="AB333" s="329"/>
      <c r="AC333" s="329"/>
      <c r="AD333" s="329"/>
      <c r="AE333" s="329"/>
      <c r="AF333" s="329"/>
      <c r="AG333" s="329"/>
      <c r="AH333" s="329"/>
      <c r="AI333" s="364"/>
      <c r="AJ333" s="364"/>
      <c r="AK333" s="364"/>
      <c r="AL333" s="364"/>
      <c r="AM333" s="364"/>
      <c r="AN333" s="364"/>
      <c r="AO333" s="364"/>
      <c r="AP333" s="364"/>
    </row>
    <row r="334" spans="1:42" s="384" customFormat="1">
      <c r="A334" s="191"/>
      <c r="B334" s="689" t="s">
        <v>584</v>
      </c>
      <c r="C334" s="407" t="s">
        <v>585</v>
      </c>
      <c r="D334" s="689"/>
      <c r="E334" s="574"/>
      <c r="F334" s="574"/>
      <c r="G334" s="574"/>
      <c r="H334" s="574"/>
      <c r="I334" s="574"/>
      <c r="J334" s="574"/>
      <c r="K334" s="574"/>
      <c r="L334" s="574"/>
      <c r="M334" s="434">
        <f>M320</f>
        <v>3.4770000000000002E-2</v>
      </c>
      <c r="N334" s="707"/>
      <c r="O334" s="707"/>
      <c r="P334" s="707"/>
      <c r="Q334" s="402">
        <f>SUM(Q332:Q333)*$M$334</f>
        <v>345.33627802950002</v>
      </c>
      <c r="R334" s="402">
        <f t="shared" ref="R334" si="841">SUM(R332:R333)*$M$334</f>
        <v>528.18997213725004</v>
      </c>
      <c r="S334" s="402">
        <f t="shared" ref="S334:X334" si="842">SUM(S332:S333)*$M$334</f>
        <v>406.65909609900007</v>
      </c>
      <c r="T334" s="402">
        <f t="shared" si="842"/>
        <v>346.19823111037505</v>
      </c>
      <c r="U334" s="402">
        <f t="shared" si="842"/>
        <v>420.64016003850008</v>
      </c>
      <c r="V334" s="402">
        <f t="shared" si="842"/>
        <v>414.41601450075001</v>
      </c>
      <c r="W334" s="402">
        <f t="shared" si="842"/>
        <v>397.11825503850008</v>
      </c>
      <c r="X334" s="402">
        <f t="shared" si="842"/>
        <v>369.84478438725006</v>
      </c>
      <c r="Y334" s="409"/>
      <c r="Z334" s="329"/>
      <c r="AA334" s="329"/>
      <c r="AB334" s="329"/>
      <c r="AC334" s="329"/>
      <c r="AD334" s="329"/>
      <c r="AE334" s="329"/>
      <c r="AF334" s="329"/>
      <c r="AG334" s="329"/>
      <c r="AH334" s="329"/>
      <c r="AI334" s="364"/>
      <c r="AJ334" s="364"/>
      <c r="AK334" s="364"/>
      <c r="AL334" s="364"/>
      <c r="AM334" s="364"/>
      <c r="AN334" s="364"/>
      <c r="AO334" s="364"/>
      <c r="AP334" s="364"/>
    </row>
    <row r="335" spans="1:42" s="384" customFormat="1">
      <c r="A335" s="191"/>
      <c r="B335" s="689" t="s">
        <v>586</v>
      </c>
      <c r="C335" s="407" t="s">
        <v>587</v>
      </c>
      <c r="D335" s="689"/>
      <c r="E335" s="574"/>
      <c r="F335" s="574"/>
      <c r="G335" s="574"/>
      <c r="H335" s="574"/>
      <c r="I335" s="574"/>
      <c r="J335" s="574"/>
      <c r="K335" s="574"/>
      <c r="L335" s="574"/>
      <c r="M335" s="712"/>
      <c r="N335" s="707"/>
      <c r="O335" s="707"/>
      <c r="P335" s="707"/>
      <c r="Q335" s="402">
        <f>SUM(Q332:Q334)</f>
        <v>10277.3546280295</v>
      </c>
      <c r="R335" s="402">
        <f t="shared" ref="R335" si="843">SUM(R332:R334)</f>
        <v>15719.158397137249</v>
      </c>
      <c r="S335" s="402">
        <f t="shared" ref="S335:X335" si="844">SUM(S332:S334)</f>
        <v>12102.347796099</v>
      </c>
      <c r="T335" s="402">
        <f t="shared" si="844"/>
        <v>10303.006718610375</v>
      </c>
      <c r="U335" s="402">
        <f t="shared" si="844"/>
        <v>12518.430210038501</v>
      </c>
      <c r="V335" s="402">
        <f t="shared" si="844"/>
        <v>12333.19698950075</v>
      </c>
      <c r="W335" s="402">
        <f t="shared" si="844"/>
        <v>11818.408305038502</v>
      </c>
      <c r="X335" s="402">
        <f t="shared" si="844"/>
        <v>11006.738209387251</v>
      </c>
      <c r="Y335" s="409"/>
      <c r="Z335" s="329"/>
      <c r="AA335" s="329"/>
      <c r="AB335" s="329"/>
      <c r="AC335" s="329"/>
      <c r="AD335" s="329"/>
      <c r="AE335" s="329"/>
      <c r="AF335" s="329"/>
      <c r="AG335" s="329"/>
      <c r="AH335" s="329"/>
      <c r="AI335" s="364"/>
      <c r="AJ335" s="364"/>
      <c r="AK335" s="364"/>
      <c r="AL335" s="364"/>
      <c r="AM335" s="364"/>
      <c r="AN335" s="364"/>
      <c r="AO335" s="364"/>
      <c r="AP335" s="364"/>
    </row>
    <row r="336" spans="1:42" s="436" customFormat="1">
      <c r="A336" s="194"/>
      <c r="B336" s="685" t="s">
        <v>146</v>
      </c>
      <c r="C336" s="413" t="s">
        <v>588</v>
      </c>
      <c r="D336" s="685"/>
      <c r="E336" s="701"/>
      <c r="F336" s="701"/>
      <c r="G336" s="701"/>
      <c r="H336" s="701"/>
      <c r="I336" s="701"/>
      <c r="J336" s="701"/>
      <c r="K336" s="701"/>
      <c r="L336" s="701"/>
      <c r="M336" s="709"/>
      <c r="N336" s="709"/>
      <c r="O336" s="709"/>
      <c r="P336" s="709"/>
      <c r="Q336" s="687">
        <f>Q321+Q330+Q335</f>
        <v>40363.014355467931</v>
      </c>
      <c r="R336" s="687">
        <f t="shared" ref="R336" si="845">R321+R330+R335</f>
        <v>68452.044901135625</v>
      </c>
      <c r="S336" s="687">
        <f t="shared" ref="S336:X336" si="846">S321+S330+S335</f>
        <v>68665.450503726504</v>
      </c>
      <c r="T336" s="687">
        <f t="shared" si="846"/>
        <v>41012.665094628494</v>
      </c>
      <c r="U336" s="687">
        <f t="shared" si="846"/>
        <v>104576.97019584499</v>
      </c>
      <c r="V336" s="687">
        <f t="shared" si="846"/>
        <v>66300.178608317321</v>
      </c>
      <c r="W336" s="687">
        <f t="shared" si="846"/>
        <v>119626.29009421932</v>
      </c>
      <c r="X336" s="687">
        <f t="shared" si="846"/>
        <v>43351.290854702245</v>
      </c>
      <c r="Y336" s="404"/>
      <c r="Z336" s="442"/>
      <c r="AA336" s="442"/>
      <c r="AB336" s="442"/>
      <c r="AC336" s="442"/>
      <c r="AD336" s="442"/>
      <c r="AE336" s="442"/>
      <c r="AF336" s="442"/>
      <c r="AG336" s="442"/>
      <c r="AH336" s="442"/>
      <c r="AI336" s="443"/>
      <c r="AJ336" s="443"/>
      <c r="AK336" s="443"/>
      <c r="AL336" s="443"/>
      <c r="AM336" s="443"/>
      <c r="AN336" s="443"/>
      <c r="AO336" s="443"/>
      <c r="AP336" s="443"/>
    </row>
  </sheetData>
  <sheetProtection formatCells="0" formatColumns="0" formatRows="0" insertRows="0" autoFilter="0"/>
  <protectedRanges>
    <protectedRange sqref="A290:X290 A291:B291 D291:O291 A297 E297:L297 A294:M294 Z290:XFD290 Q291:XFD291 A295:XFD296 Q297:XFD297 Q294:XFD294 A292:XFD293 A298:XFD312" name="区域5" securityDescriptor=""/>
    <protectedRange sqref="E10:L17 E19:L312" name="区域1" securityDescriptor=""/>
    <protectedRange sqref="B8" name="区域2" securityDescriptor=""/>
    <protectedRange sqref="B9" name="区域3" securityDescriptor=""/>
    <protectedRange sqref="M319:M320" name="区域4" securityDescriptor=""/>
    <protectedRange sqref="P291" name="区域5_2" securityDescriptor=""/>
    <protectedRange sqref="C291" name="区域5_4" securityDescriptor=""/>
  </protectedRanges>
  <autoFilter ref="A13:AP336"/>
  <mergeCells count="25">
    <mergeCell ref="Z10:AP10"/>
    <mergeCell ref="Z11:AP11"/>
    <mergeCell ref="Z12:AG12"/>
    <mergeCell ref="AI12:AP12"/>
    <mergeCell ref="B10:B13"/>
    <mergeCell ref="C10:C13"/>
    <mergeCell ref="D10:D13"/>
    <mergeCell ref="M10:M11"/>
    <mergeCell ref="M12:M13"/>
    <mergeCell ref="N11:N12"/>
    <mergeCell ref="O11:O12"/>
    <mergeCell ref="P11:P12"/>
    <mergeCell ref="Y10:Y12"/>
    <mergeCell ref="B8:C8"/>
    <mergeCell ref="X8:Y8"/>
    <mergeCell ref="B9:Y9"/>
    <mergeCell ref="E10:L10"/>
    <mergeCell ref="N10:P10"/>
    <mergeCell ref="Q10:X10"/>
    <mergeCell ref="O2:Y2"/>
    <mergeCell ref="Z2:AP2"/>
    <mergeCell ref="O4:S4"/>
    <mergeCell ref="Z4:AP4"/>
    <mergeCell ref="O5:R5"/>
    <mergeCell ref="Z5:AP5"/>
  </mergeCells>
  <phoneticPr fontId="7" type="noConversion"/>
  <conditionalFormatting sqref="N283:N288 P302:P303">
    <cfRule type="cellIs" dxfId="33" priority="1" stopIfTrue="1" operator="equal">
      <formula>0</formula>
    </cfRule>
  </conditionalFormatting>
  <printOptions horizontalCentered="1"/>
  <pageMargins left="0.39370078740157483" right="0.19685039370078741" top="0.39370078740157483" bottom="0.39370078740157483" header="0.19685039370078741" footer="0.19685039370078741"/>
  <pageSetup paperSize="9" scale="58" firstPageNumber="4294963191" fitToHeight="0" orientation="landscape" blackAndWhite="1" r:id="rId1"/>
  <headerFooter alignWithMargins="0">
    <oddFooter>&amp;C第 &amp;P 页，共 &amp;N 页</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13"/>
    <pageSetUpPr fitToPage="1"/>
  </sheetPr>
  <dimension ref="A1:AC339"/>
  <sheetViews>
    <sheetView view="pageBreakPreview" zoomScaleNormal="100" zoomScaleSheetLayoutView="100" workbookViewId="0">
      <pane xSplit="3" ySplit="13" topLeftCell="D293" activePane="bottomRight" state="frozen"/>
      <selection activeCell="J6" sqref="J6"/>
      <selection pane="topRight" activeCell="J6" sqref="J6"/>
      <selection pane="bottomLeft" activeCell="J6" sqref="J6"/>
      <selection pane="bottomRight" activeCell="Q298" sqref="Q298"/>
    </sheetView>
  </sheetViews>
  <sheetFormatPr defaultColWidth="9" defaultRowHeight="11.25"/>
  <cols>
    <col min="1" max="1" width="4.125" style="449" bestFit="1" customWidth="1"/>
    <col min="2" max="2" width="30.625" style="453" customWidth="1"/>
    <col min="3" max="3" width="4.125" style="449" bestFit="1" customWidth="1"/>
    <col min="4" max="4" width="6.125" style="565" bestFit="1" customWidth="1"/>
    <col min="5" max="6" width="6.875" style="565" bestFit="1" customWidth="1"/>
    <col min="7" max="8" width="6.125" style="565" bestFit="1" customWidth="1"/>
    <col min="9" max="9" width="10.375" style="565" customWidth="1"/>
    <col min="10" max="10" width="8.375" style="565" bestFit="1" customWidth="1"/>
    <col min="11" max="11" width="6.75" style="565" customWidth="1"/>
    <col min="12" max="12" width="7.5" style="565" bestFit="1" customWidth="1"/>
    <col min="13" max="13" width="10" style="449" bestFit="1" customWidth="1"/>
    <col min="14" max="15" width="10.875" style="449" bestFit="1" customWidth="1"/>
    <col min="16" max="17" width="10" style="449" bestFit="1" customWidth="1"/>
    <col min="18" max="18" width="14.125" style="449" customWidth="1"/>
    <col min="19" max="20" width="12" style="449" customWidth="1"/>
    <col min="21" max="21" width="12.625" style="449" customWidth="1"/>
    <col min="22" max="22" width="12.125" style="449" customWidth="1"/>
    <col min="23" max="23" width="12.25" style="449" customWidth="1"/>
    <col min="24" max="29" width="11.875" style="449" customWidth="1"/>
    <col min="30" max="16384" width="9" style="449"/>
  </cols>
  <sheetData>
    <row r="1" spans="1:29" hidden="1"/>
    <row r="2" spans="1:29" hidden="1">
      <c r="A2" s="299"/>
      <c r="B2" s="356" t="s">
        <v>189</v>
      </c>
      <c r="C2" s="357"/>
      <c r="D2" s="698">
        <v>2</v>
      </c>
      <c r="E2" s="698">
        <v>3</v>
      </c>
      <c r="F2" s="698">
        <v>3</v>
      </c>
      <c r="G2" s="697">
        <v>1</v>
      </c>
      <c r="H2" s="698">
        <v>2</v>
      </c>
      <c r="K2" s="846"/>
      <c r="L2" s="846"/>
      <c r="M2" s="846"/>
      <c r="N2" s="846"/>
      <c r="O2" s="846"/>
      <c r="P2" s="846"/>
      <c r="Q2" s="846"/>
      <c r="R2" s="846"/>
      <c r="S2" s="847"/>
      <c r="T2" s="847"/>
      <c r="U2" s="847"/>
      <c r="V2" s="847"/>
      <c r="W2" s="847"/>
      <c r="X2" s="847"/>
      <c r="Y2" s="847"/>
      <c r="Z2" s="847"/>
      <c r="AA2" s="847"/>
      <c r="AB2" s="847"/>
      <c r="AC2" s="847"/>
    </row>
    <row r="3" spans="1:29" hidden="1">
      <c r="A3" s="299"/>
      <c r="B3" s="356" t="s">
        <v>190</v>
      </c>
      <c r="C3" s="357"/>
      <c r="D3" s="698">
        <v>0</v>
      </c>
      <c r="E3" s="698">
        <v>0</v>
      </c>
      <c r="F3" s="698">
        <v>0</v>
      </c>
      <c r="G3" s="697">
        <v>0</v>
      </c>
      <c r="H3" s="698">
        <v>0</v>
      </c>
      <c r="M3" s="359"/>
      <c r="N3" s="359"/>
      <c r="O3" s="295"/>
      <c r="P3" s="295"/>
      <c r="Q3" s="295"/>
      <c r="R3" s="359"/>
      <c r="S3" s="359"/>
      <c r="T3" s="359"/>
      <c r="U3" s="359"/>
      <c r="V3" s="359"/>
      <c r="W3" s="359"/>
      <c r="X3" s="359"/>
      <c r="Y3" s="359"/>
      <c r="Z3" s="359"/>
      <c r="AA3" s="359"/>
      <c r="AB3" s="359"/>
      <c r="AC3" s="359"/>
    </row>
    <row r="4" spans="1:29" hidden="1">
      <c r="A4" s="299"/>
      <c r="B4" s="356" t="s">
        <v>191</v>
      </c>
      <c r="C4" s="357"/>
      <c r="D4" s="698">
        <v>2</v>
      </c>
      <c r="E4" s="698">
        <v>2</v>
      </c>
      <c r="F4" s="698">
        <v>2</v>
      </c>
      <c r="G4" s="697">
        <v>1</v>
      </c>
      <c r="H4" s="698">
        <v>2</v>
      </c>
      <c r="K4" s="846"/>
      <c r="L4" s="846"/>
      <c r="M4" s="846"/>
      <c r="N4" s="846"/>
      <c r="O4" s="846"/>
      <c r="P4" s="386"/>
      <c r="Q4" s="386"/>
      <c r="R4" s="359"/>
      <c r="S4" s="847"/>
      <c r="T4" s="847"/>
      <c r="U4" s="847"/>
      <c r="V4" s="847"/>
      <c r="W4" s="847"/>
      <c r="X4" s="847"/>
      <c r="Y4" s="847"/>
      <c r="Z4" s="847"/>
      <c r="AA4" s="847"/>
      <c r="AB4" s="847"/>
      <c r="AC4" s="847"/>
    </row>
    <row r="5" spans="1:29" hidden="1">
      <c r="A5" s="299"/>
      <c r="B5" s="356" t="s">
        <v>192</v>
      </c>
      <c r="C5" s="357"/>
      <c r="D5" s="698">
        <v>0</v>
      </c>
      <c r="E5" s="698">
        <v>0</v>
      </c>
      <c r="F5" s="698">
        <v>0</v>
      </c>
      <c r="G5" s="697">
        <v>0</v>
      </c>
      <c r="H5" s="698">
        <v>0</v>
      </c>
      <c r="K5" s="846"/>
      <c r="L5" s="846"/>
      <c r="M5" s="846"/>
      <c r="N5" s="846"/>
      <c r="O5" s="295"/>
      <c r="P5" s="295"/>
      <c r="Q5" s="295"/>
      <c r="R5" s="359"/>
      <c r="S5" s="847"/>
      <c r="T5" s="847"/>
      <c r="U5" s="847"/>
      <c r="V5" s="847"/>
      <c r="W5" s="847"/>
      <c r="X5" s="847"/>
      <c r="Y5" s="847"/>
      <c r="Z5" s="847"/>
      <c r="AA5" s="847"/>
      <c r="AB5" s="847"/>
      <c r="AC5" s="847"/>
    </row>
    <row r="6" spans="1:29" hidden="1">
      <c r="A6" s="299"/>
      <c r="B6" s="356" t="s">
        <v>193</v>
      </c>
      <c r="C6" s="357"/>
      <c r="D6" s="698">
        <v>0</v>
      </c>
      <c r="E6" s="698">
        <v>1</v>
      </c>
      <c r="F6" s="698">
        <v>0</v>
      </c>
      <c r="G6" s="697">
        <v>0</v>
      </c>
      <c r="H6" s="698">
        <v>0</v>
      </c>
      <c r="M6" s="359"/>
      <c r="N6" s="359"/>
      <c r="O6" s="295"/>
      <c r="P6" s="295"/>
      <c r="Q6" s="295"/>
      <c r="R6" s="359"/>
      <c r="S6" s="359"/>
      <c r="T6" s="359"/>
      <c r="U6" s="359"/>
      <c r="V6" s="359"/>
      <c r="W6" s="359"/>
      <c r="X6" s="359"/>
      <c r="Y6" s="359"/>
      <c r="Z6" s="359"/>
      <c r="AA6" s="359"/>
      <c r="AB6" s="359"/>
      <c r="AC6" s="359"/>
    </row>
    <row r="7" spans="1:29" hidden="1">
      <c r="A7" s="299"/>
      <c r="B7" s="356" t="s">
        <v>194</v>
      </c>
      <c r="C7" s="357"/>
      <c r="D7" s="698">
        <v>0</v>
      </c>
      <c r="E7" s="698">
        <v>0</v>
      </c>
      <c r="F7" s="698">
        <v>1</v>
      </c>
      <c r="G7" s="697">
        <v>0</v>
      </c>
      <c r="H7" s="698">
        <v>0</v>
      </c>
      <c r="M7" s="295"/>
      <c r="N7" s="295"/>
      <c r="O7" s="295"/>
      <c r="P7" s="295"/>
      <c r="Q7" s="295"/>
      <c r="R7" s="359"/>
      <c r="S7" s="359"/>
      <c r="T7" s="359"/>
      <c r="U7" s="359"/>
      <c r="V7" s="359"/>
      <c r="W7" s="359"/>
      <c r="X7" s="359"/>
      <c r="Y7" s="359"/>
      <c r="Z7" s="359"/>
      <c r="AA7" s="359"/>
      <c r="AB7" s="359"/>
      <c r="AC7" s="359"/>
    </row>
    <row r="8" spans="1:29">
      <c r="A8" s="848" t="s">
        <v>589</v>
      </c>
      <c r="B8" s="862"/>
      <c r="Q8" s="850" t="s">
        <v>196</v>
      </c>
      <c r="R8" s="851"/>
    </row>
    <row r="9" spans="1:29" ht="33.75" customHeight="1">
      <c r="A9" s="852" t="s">
        <v>1861</v>
      </c>
      <c r="B9" s="852"/>
      <c r="C9" s="852"/>
      <c r="D9" s="852"/>
      <c r="E9" s="852"/>
      <c r="F9" s="852"/>
      <c r="G9" s="852"/>
      <c r="H9" s="852"/>
      <c r="I9" s="852"/>
      <c r="J9" s="852"/>
      <c r="K9" s="852"/>
      <c r="L9" s="852"/>
      <c r="M9" s="852"/>
      <c r="N9" s="852"/>
      <c r="O9" s="852"/>
      <c r="P9" s="852"/>
      <c r="Q9" s="852"/>
      <c r="R9" s="852"/>
      <c r="S9" s="360"/>
      <c r="T9" s="360"/>
      <c r="U9" s="360"/>
      <c r="V9" s="360"/>
      <c r="W9" s="360"/>
      <c r="X9" s="360"/>
      <c r="Y9" s="360"/>
      <c r="Z9" s="360"/>
      <c r="AA9" s="360"/>
      <c r="AB9" s="360"/>
      <c r="AC9" s="360"/>
    </row>
    <row r="10" spans="1:29" s="452" customFormat="1">
      <c r="A10" s="861" t="s">
        <v>54</v>
      </c>
      <c r="B10" s="861" t="s">
        <v>197</v>
      </c>
      <c r="C10" s="861" t="s">
        <v>198</v>
      </c>
      <c r="D10" s="855" t="s">
        <v>199</v>
      </c>
      <c r="E10" s="855"/>
      <c r="F10" s="855"/>
      <c r="G10" s="855"/>
      <c r="H10" s="855"/>
      <c r="I10" s="856" t="s">
        <v>200</v>
      </c>
      <c r="J10" s="856" t="s">
        <v>201</v>
      </c>
      <c r="K10" s="856"/>
      <c r="L10" s="856"/>
      <c r="M10" s="857" t="s">
        <v>202</v>
      </c>
      <c r="N10" s="857"/>
      <c r="O10" s="857"/>
      <c r="P10" s="857"/>
      <c r="Q10" s="857"/>
      <c r="R10" s="856" t="s">
        <v>57</v>
      </c>
      <c r="S10" s="858"/>
      <c r="T10" s="858"/>
      <c r="U10" s="858"/>
      <c r="V10" s="858"/>
      <c r="W10" s="858"/>
      <c r="X10" s="858"/>
      <c r="Y10" s="858"/>
      <c r="Z10" s="858"/>
      <c r="AA10" s="858"/>
      <c r="AB10" s="858"/>
      <c r="AC10" s="858"/>
    </row>
    <row r="11" spans="1:29" s="452" customFormat="1" ht="11.25" customHeight="1">
      <c r="A11" s="861"/>
      <c r="B11" s="861"/>
      <c r="C11" s="861"/>
      <c r="D11" s="686" t="s">
        <v>166</v>
      </c>
      <c r="E11" s="686" t="s">
        <v>167</v>
      </c>
      <c r="F11" s="686" t="s">
        <v>168</v>
      </c>
      <c r="G11" s="439" t="s">
        <v>169</v>
      </c>
      <c r="H11" s="686" t="s">
        <v>170</v>
      </c>
      <c r="I11" s="856"/>
      <c r="J11" s="856" t="s">
        <v>203</v>
      </c>
      <c r="K11" s="856" t="s">
        <v>204</v>
      </c>
      <c r="L11" s="856" t="s">
        <v>205</v>
      </c>
      <c r="M11" s="687" t="str">
        <f t="shared" ref="M11:Q12" si="0">D11</f>
        <v>G户型</v>
      </c>
      <c r="N11" s="687" t="str">
        <f t="shared" si="0"/>
        <v>J户型</v>
      </c>
      <c r="O11" s="687" t="str">
        <f t="shared" si="0"/>
        <v>K户型</v>
      </c>
      <c r="P11" s="687" t="str">
        <f t="shared" si="0"/>
        <v>A1户型</v>
      </c>
      <c r="Q11" s="687" t="str">
        <f t="shared" si="0"/>
        <v>G1户型</v>
      </c>
      <c r="R11" s="856"/>
      <c r="S11" s="859"/>
      <c r="T11" s="859"/>
      <c r="U11" s="859"/>
      <c r="V11" s="859"/>
      <c r="W11" s="859"/>
      <c r="X11" s="859"/>
      <c r="Y11" s="859"/>
      <c r="Z11" s="859"/>
      <c r="AA11" s="859"/>
      <c r="AB11" s="859"/>
      <c r="AC11" s="859"/>
    </row>
    <row r="12" spans="1:29" s="452" customFormat="1" ht="15" customHeight="1">
      <c r="A12" s="861"/>
      <c r="B12" s="861"/>
      <c r="C12" s="861"/>
      <c r="D12" s="690" t="s">
        <v>131</v>
      </c>
      <c r="E12" s="690" t="s">
        <v>131</v>
      </c>
      <c r="F12" s="690" t="s">
        <v>131</v>
      </c>
      <c r="G12" s="690" t="s">
        <v>131</v>
      </c>
      <c r="H12" s="690" t="s">
        <v>131</v>
      </c>
      <c r="I12" s="856" t="s">
        <v>206</v>
      </c>
      <c r="J12" s="856"/>
      <c r="K12" s="856"/>
      <c r="L12" s="856"/>
      <c r="M12" s="687" t="str">
        <f t="shared" si="0"/>
        <v>1#</v>
      </c>
      <c r="N12" s="687" t="str">
        <f t="shared" si="0"/>
        <v>1#</v>
      </c>
      <c r="O12" s="687" t="str">
        <f t="shared" si="0"/>
        <v>1#</v>
      </c>
      <c r="P12" s="687" t="str">
        <f t="shared" si="0"/>
        <v>1#</v>
      </c>
      <c r="Q12" s="687" t="str">
        <f t="shared" si="0"/>
        <v>1#</v>
      </c>
      <c r="R12" s="856"/>
      <c r="S12" s="860" t="s">
        <v>207</v>
      </c>
      <c r="T12" s="856"/>
      <c r="U12" s="856"/>
      <c r="V12" s="856"/>
      <c r="W12" s="856"/>
      <c r="X12" s="681"/>
      <c r="Y12" s="856" t="s">
        <v>208</v>
      </c>
      <c r="Z12" s="856"/>
      <c r="AA12" s="856"/>
      <c r="AB12" s="856"/>
      <c r="AC12" s="856"/>
    </row>
    <row r="13" spans="1:29" s="452" customFormat="1" ht="19.5" customHeight="1">
      <c r="A13" s="861"/>
      <c r="B13" s="861"/>
      <c r="C13" s="861"/>
      <c r="D13" s="686" t="s">
        <v>209</v>
      </c>
      <c r="E13" s="686" t="s">
        <v>210</v>
      </c>
      <c r="F13" s="686" t="s">
        <v>211</v>
      </c>
      <c r="G13" s="686" t="s">
        <v>212</v>
      </c>
      <c r="H13" s="686" t="s">
        <v>213</v>
      </c>
      <c r="I13" s="856"/>
      <c r="J13" s="684" t="s">
        <v>217</v>
      </c>
      <c r="K13" s="684" t="s">
        <v>218</v>
      </c>
      <c r="L13" s="684" t="s">
        <v>219</v>
      </c>
      <c r="M13" s="687" t="s">
        <v>220</v>
      </c>
      <c r="N13" s="687" t="s">
        <v>221</v>
      </c>
      <c r="O13" s="687" t="s">
        <v>222</v>
      </c>
      <c r="P13" s="687" t="s">
        <v>223</v>
      </c>
      <c r="Q13" s="687" t="s">
        <v>224</v>
      </c>
      <c r="R13" s="684"/>
      <c r="S13" s="454" t="s">
        <v>209</v>
      </c>
      <c r="T13" s="435" t="s">
        <v>210</v>
      </c>
      <c r="U13" s="435" t="s">
        <v>211</v>
      </c>
      <c r="V13" s="435" t="s">
        <v>212</v>
      </c>
      <c r="W13" s="435" t="s">
        <v>213</v>
      </c>
      <c r="X13" s="361"/>
      <c r="Y13" s="435" t="s">
        <v>209</v>
      </c>
      <c r="Z13" s="435" t="s">
        <v>210</v>
      </c>
      <c r="AA13" s="435" t="s">
        <v>211</v>
      </c>
      <c r="AB13" s="435" t="s">
        <v>212</v>
      </c>
      <c r="AC13" s="435" t="s">
        <v>213</v>
      </c>
    </row>
    <row r="14" spans="1:29">
      <c r="A14" s="635" t="s">
        <v>58</v>
      </c>
      <c r="B14" s="636" t="s">
        <v>228</v>
      </c>
      <c r="C14" s="637"/>
      <c r="D14" s="714"/>
      <c r="E14" s="714"/>
      <c r="F14" s="714"/>
      <c r="G14" s="714"/>
      <c r="H14" s="714"/>
      <c r="I14" s="713"/>
      <c r="J14" s="713"/>
      <c r="K14" s="713"/>
      <c r="L14" s="713"/>
      <c r="M14" s="639"/>
      <c r="N14" s="639"/>
      <c r="O14" s="639"/>
      <c r="P14" s="639"/>
      <c r="Q14" s="639"/>
      <c r="R14" s="640" t="s">
        <v>1864</v>
      </c>
      <c r="S14" s="444"/>
      <c r="T14" s="437"/>
      <c r="U14" s="437"/>
      <c r="V14" s="437"/>
      <c r="W14" s="437"/>
      <c r="X14" s="361"/>
      <c r="Y14" s="404"/>
      <c r="Z14" s="404"/>
      <c r="AA14" s="404"/>
      <c r="AB14" s="404"/>
      <c r="AC14" s="404"/>
    </row>
    <row r="15" spans="1:29">
      <c r="A15" s="635" t="s">
        <v>133</v>
      </c>
      <c r="B15" s="636" t="s">
        <v>229</v>
      </c>
      <c r="C15" s="637"/>
      <c r="D15" s="714"/>
      <c r="E15" s="714"/>
      <c r="F15" s="714"/>
      <c r="G15" s="714"/>
      <c r="H15" s="714"/>
      <c r="I15" s="713"/>
      <c r="J15" s="713"/>
      <c r="K15" s="713"/>
      <c r="L15" s="713"/>
      <c r="M15" s="639"/>
      <c r="N15" s="639"/>
      <c r="O15" s="639"/>
      <c r="P15" s="639"/>
      <c r="Q15" s="639"/>
      <c r="R15" s="640" t="s">
        <v>1864</v>
      </c>
      <c r="S15" s="455"/>
      <c r="T15" s="403"/>
      <c r="U15" s="403"/>
      <c r="V15" s="403"/>
      <c r="W15" s="403"/>
      <c r="X15" s="338"/>
      <c r="Y15" s="409"/>
      <c r="Z15" s="409"/>
      <c r="AA15" s="409"/>
      <c r="AB15" s="409"/>
      <c r="AC15" s="409"/>
    </row>
    <row r="16" spans="1:29" ht="22.5">
      <c r="A16" s="689">
        <v>1</v>
      </c>
      <c r="B16" s="407" t="s">
        <v>230</v>
      </c>
      <c r="C16" s="408" t="s">
        <v>231</v>
      </c>
      <c r="D16" s="566"/>
      <c r="E16" s="566"/>
      <c r="F16" s="566"/>
      <c r="G16" s="566"/>
      <c r="H16" s="566"/>
      <c r="I16" s="567">
        <f>J16+J16*K16%+L16</f>
        <v>84.64</v>
      </c>
      <c r="J16" s="567">
        <v>20</v>
      </c>
      <c r="K16" s="567">
        <v>10</v>
      </c>
      <c r="L16" s="567">
        <v>62.64</v>
      </c>
      <c r="M16" s="402">
        <f t="shared" ref="M16:Q17" si="1">D16*$I16</f>
        <v>0</v>
      </c>
      <c r="N16" s="402">
        <f t="shared" si="1"/>
        <v>0</v>
      </c>
      <c r="O16" s="402">
        <f t="shared" si="1"/>
        <v>0</v>
      </c>
      <c r="P16" s="402">
        <f t="shared" si="1"/>
        <v>0</v>
      </c>
      <c r="Q16" s="402">
        <f t="shared" si="1"/>
        <v>0</v>
      </c>
      <c r="R16" s="409"/>
      <c r="S16" s="455"/>
      <c r="T16" s="403"/>
      <c r="U16" s="403"/>
      <c r="V16" s="403"/>
      <c r="W16" s="403"/>
      <c r="X16" s="338"/>
      <c r="Y16" s="409"/>
      <c r="Z16" s="409"/>
      <c r="AA16" s="409"/>
      <c r="AB16" s="409"/>
      <c r="AC16" s="409"/>
    </row>
    <row r="17" spans="1:29" ht="22.5">
      <c r="A17" s="689">
        <v>2</v>
      </c>
      <c r="B17" s="407" t="s">
        <v>232</v>
      </c>
      <c r="C17" s="408" t="s">
        <v>231</v>
      </c>
      <c r="D17" s="566"/>
      <c r="E17" s="566"/>
      <c r="F17" s="566"/>
      <c r="G17" s="566"/>
      <c r="H17" s="566"/>
      <c r="I17" s="567">
        <f t="shared" ref="I17" si="2">J17+J17*K17%+L17</f>
        <v>93.5</v>
      </c>
      <c r="J17" s="567">
        <v>20</v>
      </c>
      <c r="K17" s="567">
        <v>10</v>
      </c>
      <c r="L17" s="567">
        <v>71.5</v>
      </c>
      <c r="M17" s="402">
        <f t="shared" si="1"/>
        <v>0</v>
      </c>
      <c r="N17" s="402">
        <f t="shared" si="1"/>
        <v>0</v>
      </c>
      <c r="O17" s="402">
        <f t="shared" si="1"/>
        <v>0</v>
      </c>
      <c r="P17" s="402">
        <f t="shared" si="1"/>
        <v>0</v>
      </c>
      <c r="Q17" s="402">
        <f t="shared" si="1"/>
        <v>0</v>
      </c>
      <c r="R17" s="409"/>
      <c r="S17" s="455"/>
      <c r="T17" s="403"/>
      <c r="U17" s="403"/>
      <c r="V17" s="403"/>
      <c r="W17" s="403"/>
      <c r="X17" s="338"/>
      <c r="Y17" s="409"/>
      <c r="Z17" s="409"/>
      <c r="AA17" s="409"/>
      <c r="AB17" s="409"/>
      <c r="AC17" s="409"/>
    </row>
    <row r="18" spans="1:29">
      <c r="A18" s="689" t="s">
        <v>233</v>
      </c>
      <c r="B18" s="407" t="s">
        <v>234</v>
      </c>
      <c r="C18" s="408" t="s">
        <v>235</v>
      </c>
      <c r="D18" s="715"/>
      <c r="E18" s="715"/>
      <c r="F18" s="715"/>
      <c r="G18" s="715"/>
      <c r="H18" s="715"/>
      <c r="I18" s="567">
        <f t="shared" ref="I18:I53" si="3">J18+J18*K18%+L18</f>
        <v>79</v>
      </c>
      <c r="J18" s="567">
        <v>40</v>
      </c>
      <c r="K18" s="567">
        <v>10</v>
      </c>
      <c r="L18" s="567">
        <v>35</v>
      </c>
      <c r="M18" s="402">
        <f t="shared" ref="M18" si="4">D18*$I18</f>
        <v>0</v>
      </c>
      <c r="N18" s="402">
        <f t="shared" ref="N18" si="5">E18*$I18</f>
        <v>0</v>
      </c>
      <c r="O18" s="402">
        <f t="shared" ref="O18" si="6">F18*$I18</f>
        <v>0</v>
      </c>
      <c r="P18" s="402">
        <f t="shared" ref="P18" si="7">G18*$I18</f>
        <v>0</v>
      </c>
      <c r="Q18" s="402">
        <f t="shared" ref="Q18" si="8">H18*$I18</f>
        <v>0</v>
      </c>
      <c r="R18" s="409"/>
      <c r="S18" s="455"/>
      <c r="T18" s="403"/>
      <c r="U18" s="403"/>
      <c r="V18" s="403"/>
      <c r="W18" s="403"/>
      <c r="X18" s="338"/>
      <c r="Y18" s="409"/>
      <c r="Z18" s="409"/>
      <c r="AA18" s="409"/>
      <c r="AB18" s="409"/>
      <c r="AC18" s="409"/>
    </row>
    <row r="19" spans="1:29">
      <c r="A19" s="689">
        <v>3</v>
      </c>
      <c r="B19" s="407" t="s">
        <v>236</v>
      </c>
      <c r="C19" s="408" t="s">
        <v>235</v>
      </c>
      <c r="D19" s="566"/>
      <c r="E19" s="566"/>
      <c r="F19" s="566"/>
      <c r="G19" s="566"/>
      <c r="H19" s="566"/>
      <c r="I19" s="567">
        <f t="shared" si="3"/>
        <v>15.25</v>
      </c>
      <c r="J19" s="567">
        <v>5</v>
      </c>
      <c r="K19" s="567">
        <v>9</v>
      </c>
      <c r="L19" s="567">
        <v>9.8000000000000007</v>
      </c>
      <c r="M19" s="402">
        <f t="shared" ref="M19:M53" si="9">D19*$I19</f>
        <v>0</v>
      </c>
      <c r="N19" s="402">
        <f t="shared" ref="N19:N53" si="10">E19*$I19</f>
        <v>0</v>
      </c>
      <c r="O19" s="402">
        <f t="shared" ref="O19:O53" si="11">F19*$I19</f>
        <v>0</v>
      </c>
      <c r="P19" s="402">
        <f t="shared" ref="P19:P53" si="12">G19*$I19</f>
        <v>0</v>
      </c>
      <c r="Q19" s="402">
        <f t="shared" ref="Q19:Q53" si="13">H19*$I19</f>
        <v>0</v>
      </c>
      <c r="R19" s="409"/>
      <c r="S19" s="455"/>
      <c r="T19" s="403"/>
      <c r="U19" s="403"/>
      <c r="V19" s="403"/>
      <c r="W19" s="403"/>
      <c r="X19" s="338"/>
      <c r="Y19" s="409"/>
      <c r="Z19" s="409"/>
      <c r="AA19" s="409"/>
      <c r="AB19" s="409"/>
      <c r="AC19" s="409"/>
    </row>
    <row r="20" spans="1:29">
      <c r="A20" s="689">
        <v>4</v>
      </c>
      <c r="B20" s="407" t="s">
        <v>237</v>
      </c>
      <c r="C20" s="408" t="s">
        <v>235</v>
      </c>
      <c r="D20" s="566"/>
      <c r="E20" s="566"/>
      <c r="F20" s="566"/>
      <c r="G20" s="566"/>
      <c r="H20" s="566"/>
      <c r="I20" s="567">
        <f t="shared" si="3"/>
        <v>14.205000000000002</v>
      </c>
      <c r="J20" s="567">
        <v>4.5</v>
      </c>
      <c r="K20" s="567">
        <v>9</v>
      </c>
      <c r="L20" s="567">
        <v>9.3000000000000007</v>
      </c>
      <c r="M20" s="402">
        <f t="shared" si="9"/>
        <v>0</v>
      </c>
      <c r="N20" s="402">
        <f t="shared" si="10"/>
        <v>0</v>
      </c>
      <c r="O20" s="402">
        <f t="shared" si="11"/>
        <v>0</v>
      </c>
      <c r="P20" s="402">
        <f t="shared" si="12"/>
        <v>0</v>
      </c>
      <c r="Q20" s="402">
        <f t="shared" si="13"/>
        <v>0</v>
      </c>
      <c r="R20" s="409"/>
      <c r="S20" s="455"/>
      <c r="T20" s="403"/>
      <c r="U20" s="403"/>
      <c r="V20" s="403"/>
      <c r="W20" s="403"/>
      <c r="X20" s="338"/>
      <c r="Y20" s="409"/>
      <c r="Z20" s="409"/>
      <c r="AA20" s="409"/>
      <c r="AB20" s="409"/>
      <c r="AC20" s="409"/>
    </row>
    <row r="21" spans="1:29">
      <c r="A21" s="689">
        <v>5</v>
      </c>
      <c r="B21" s="407" t="s">
        <v>238</v>
      </c>
      <c r="C21" s="408" t="s">
        <v>235</v>
      </c>
      <c r="D21" s="566"/>
      <c r="E21" s="566"/>
      <c r="F21" s="566"/>
      <c r="G21" s="566"/>
      <c r="H21" s="566"/>
      <c r="I21" s="567">
        <f t="shared" si="3"/>
        <v>13.11</v>
      </c>
      <c r="J21" s="567">
        <v>4</v>
      </c>
      <c r="K21" s="567">
        <v>9</v>
      </c>
      <c r="L21" s="567">
        <v>8.75</v>
      </c>
      <c r="M21" s="402">
        <f t="shared" si="9"/>
        <v>0</v>
      </c>
      <c r="N21" s="402">
        <f t="shared" si="10"/>
        <v>0</v>
      </c>
      <c r="O21" s="402">
        <f t="shared" si="11"/>
        <v>0</v>
      </c>
      <c r="P21" s="402">
        <f t="shared" si="12"/>
        <v>0</v>
      </c>
      <c r="Q21" s="402">
        <f t="shared" si="13"/>
        <v>0</v>
      </c>
      <c r="R21" s="409"/>
      <c r="S21" s="455"/>
      <c r="T21" s="403"/>
      <c r="U21" s="403"/>
      <c r="V21" s="403"/>
      <c r="W21" s="403"/>
      <c r="X21" s="338"/>
      <c r="Y21" s="409"/>
      <c r="Z21" s="409"/>
      <c r="AA21" s="409"/>
      <c r="AB21" s="409"/>
      <c r="AC21" s="409"/>
    </row>
    <row r="22" spans="1:29">
      <c r="A22" s="689">
        <v>6</v>
      </c>
      <c r="B22" s="409" t="s">
        <v>239</v>
      </c>
      <c r="C22" s="402" t="s">
        <v>235</v>
      </c>
      <c r="D22" s="700"/>
      <c r="E22" s="566"/>
      <c r="F22" s="566"/>
      <c r="G22" s="566"/>
      <c r="H22" s="700"/>
      <c r="I22" s="567">
        <f t="shared" si="3"/>
        <v>13.11</v>
      </c>
      <c r="J22" s="567">
        <v>4</v>
      </c>
      <c r="K22" s="567">
        <v>9</v>
      </c>
      <c r="L22" s="567">
        <v>8.75</v>
      </c>
      <c r="M22" s="402">
        <f t="shared" si="9"/>
        <v>0</v>
      </c>
      <c r="N22" s="402">
        <f t="shared" si="10"/>
        <v>0</v>
      </c>
      <c r="O22" s="402">
        <f t="shared" si="11"/>
        <v>0</v>
      </c>
      <c r="P22" s="402">
        <f t="shared" si="12"/>
        <v>0</v>
      </c>
      <c r="Q22" s="402">
        <f t="shared" si="13"/>
        <v>0</v>
      </c>
      <c r="R22" s="409"/>
      <c r="S22" s="455"/>
      <c r="T22" s="403"/>
      <c r="U22" s="403"/>
      <c r="V22" s="403"/>
      <c r="W22" s="403"/>
      <c r="X22" s="338"/>
      <c r="Y22" s="409"/>
      <c r="Z22" s="409"/>
      <c r="AA22" s="409"/>
      <c r="AB22" s="409"/>
      <c r="AC22" s="409"/>
    </row>
    <row r="23" spans="1:29">
      <c r="A23" s="689">
        <v>7</v>
      </c>
      <c r="B23" s="407" t="s">
        <v>240</v>
      </c>
      <c r="C23" s="408" t="s">
        <v>235</v>
      </c>
      <c r="D23" s="566"/>
      <c r="E23" s="566"/>
      <c r="F23" s="566"/>
      <c r="G23" s="566"/>
      <c r="H23" s="566"/>
      <c r="I23" s="567">
        <f t="shared" si="3"/>
        <v>12.025</v>
      </c>
      <c r="J23" s="567">
        <v>3.5</v>
      </c>
      <c r="K23" s="567">
        <v>9</v>
      </c>
      <c r="L23" s="567">
        <v>8.2100000000000009</v>
      </c>
      <c r="M23" s="402">
        <f t="shared" si="9"/>
        <v>0</v>
      </c>
      <c r="N23" s="402">
        <f t="shared" si="10"/>
        <v>0</v>
      </c>
      <c r="O23" s="402">
        <f t="shared" si="11"/>
        <v>0</v>
      </c>
      <c r="P23" s="402">
        <f t="shared" si="12"/>
        <v>0</v>
      </c>
      <c r="Q23" s="402">
        <f t="shared" si="13"/>
        <v>0</v>
      </c>
      <c r="R23" s="409"/>
      <c r="S23" s="455"/>
      <c r="T23" s="403"/>
      <c r="U23" s="403"/>
      <c r="V23" s="403"/>
      <c r="W23" s="403"/>
      <c r="X23" s="338"/>
      <c r="Y23" s="409"/>
      <c r="Z23" s="409"/>
      <c r="AA23" s="409"/>
      <c r="AB23" s="409"/>
      <c r="AC23" s="409"/>
    </row>
    <row r="24" spans="1:29">
      <c r="A24" s="689">
        <v>8</v>
      </c>
      <c r="B24" s="407" t="s">
        <v>241</v>
      </c>
      <c r="C24" s="408" t="s">
        <v>235</v>
      </c>
      <c r="D24" s="566"/>
      <c r="E24" s="566"/>
      <c r="F24" s="566"/>
      <c r="G24" s="566"/>
      <c r="H24" s="566"/>
      <c r="I24" s="567">
        <f t="shared" si="3"/>
        <v>12.025</v>
      </c>
      <c r="J24" s="567">
        <v>3.5</v>
      </c>
      <c r="K24" s="567">
        <v>9</v>
      </c>
      <c r="L24" s="567">
        <v>8.2100000000000009</v>
      </c>
      <c r="M24" s="402">
        <f t="shared" si="9"/>
        <v>0</v>
      </c>
      <c r="N24" s="402">
        <f t="shared" si="10"/>
        <v>0</v>
      </c>
      <c r="O24" s="402">
        <f t="shared" si="11"/>
        <v>0</v>
      </c>
      <c r="P24" s="402">
        <f t="shared" si="12"/>
        <v>0</v>
      </c>
      <c r="Q24" s="402">
        <f t="shared" si="13"/>
        <v>0</v>
      </c>
      <c r="R24" s="409"/>
      <c r="S24" s="455"/>
      <c r="T24" s="403"/>
      <c r="U24" s="403"/>
      <c r="V24" s="403"/>
      <c r="W24" s="403"/>
      <c r="X24" s="338"/>
      <c r="Y24" s="409"/>
      <c r="Z24" s="409"/>
      <c r="AA24" s="409"/>
      <c r="AB24" s="409"/>
      <c r="AC24" s="409"/>
    </row>
    <row r="25" spans="1:29">
      <c r="A25" s="689">
        <v>9</v>
      </c>
      <c r="B25" s="407" t="s">
        <v>242</v>
      </c>
      <c r="C25" s="408" t="s">
        <v>235</v>
      </c>
      <c r="D25" s="566"/>
      <c r="E25" s="566"/>
      <c r="F25" s="566"/>
      <c r="G25" s="566"/>
      <c r="H25" s="566"/>
      <c r="I25" s="567">
        <f t="shared" si="3"/>
        <v>13.11</v>
      </c>
      <c r="J25" s="567">
        <v>4</v>
      </c>
      <c r="K25" s="567">
        <v>9</v>
      </c>
      <c r="L25" s="567">
        <v>8.75</v>
      </c>
      <c r="M25" s="402">
        <f t="shared" si="9"/>
        <v>0</v>
      </c>
      <c r="N25" s="402">
        <f t="shared" si="10"/>
        <v>0</v>
      </c>
      <c r="O25" s="402">
        <f t="shared" si="11"/>
        <v>0</v>
      </c>
      <c r="P25" s="402">
        <f t="shared" si="12"/>
        <v>0</v>
      </c>
      <c r="Q25" s="402">
        <f t="shared" si="13"/>
        <v>0</v>
      </c>
      <c r="R25" s="409"/>
      <c r="S25" s="455"/>
      <c r="T25" s="403"/>
      <c r="U25" s="403"/>
      <c r="V25" s="403"/>
      <c r="W25" s="403"/>
      <c r="X25" s="338"/>
      <c r="Y25" s="409"/>
      <c r="Z25" s="409"/>
      <c r="AA25" s="409"/>
      <c r="AB25" s="409"/>
      <c r="AC25" s="409"/>
    </row>
    <row r="26" spans="1:29" ht="22.5">
      <c r="A26" s="689">
        <v>10</v>
      </c>
      <c r="B26" s="407" t="s">
        <v>243</v>
      </c>
      <c r="C26" s="408" t="s">
        <v>231</v>
      </c>
      <c r="D26" s="566">
        <f>'G单元 '!$E$18+19.34*(0.256+0.124)+18.5*0.07</f>
        <v>36.164200000000001</v>
      </c>
      <c r="E26" s="566">
        <f>J单元!$E$18+(15.24+9.14)*(0.256+0.124)+(14.4+8.3)*0.07+(3+1.3+1.2)*0.15</f>
        <v>48.468400000000003</v>
      </c>
      <c r="F26" s="566">
        <f>'K单元 '!E18+21.15*(0.256+0.124)+20.35*0.07</f>
        <v>51.121499999999997</v>
      </c>
      <c r="G26" s="566">
        <f>'A1单元 '!E18+15.94*(0.256+0.124)+15.1*0.07</f>
        <v>28.054199999999998</v>
      </c>
      <c r="H26" s="566">
        <f>'G单元 '!$E$18+19.34*(0.256+0.124)+18.5*0.07</f>
        <v>36.164200000000001</v>
      </c>
      <c r="I26" s="567">
        <f t="shared" si="3"/>
        <v>21.428709999999999</v>
      </c>
      <c r="J26" s="567">
        <f>'附件4-8甲供材料清单'!N123</f>
        <v>2.2087100000000004</v>
      </c>
      <c r="K26" s="567"/>
      <c r="L26" s="567">
        <v>19.22</v>
      </c>
      <c r="M26" s="402">
        <f t="shared" si="9"/>
        <v>774.95215418199996</v>
      </c>
      <c r="N26" s="402">
        <f t="shared" si="10"/>
        <v>1038.615287764</v>
      </c>
      <c r="O26" s="402">
        <f t="shared" si="11"/>
        <v>1095.4677982649998</v>
      </c>
      <c r="P26" s="402">
        <f t="shared" si="12"/>
        <v>601.16531608199989</v>
      </c>
      <c r="Q26" s="402">
        <f t="shared" si="13"/>
        <v>774.95215418199996</v>
      </c>
      <c r="R26" s="409" t="s">
        <v>244</v>
      </c>
      <c r="S26" s="455">
        <f t="shared" ref="S26:W27" si="14">M26</f>
        <v>774.95215418199996</v>
      </c>
      <c r="T26" s="403">
        <f t="shared" si="14"/>
        <v>1038.615287764</v>
      </c>
      <c r="U26" s="403">
        <f t="shared" si="14"/>
        <v>1095.4677982649998</v>
      </c>
      <c r="V26" s="403">
        <f t="shared" si="14"/>
        <v>601.16531608199989</v>
      </c>
      <c r="W26" s="403">
        <f t="shared" si="14"/>
        <v>774.95215418199996</v>
      </c>
      <c r="X26" s="323"/>
      <c r="Y26" s="403">
        <f t="shared" ref="Y26:AC27" si="15">D26*$J26*(1+$K26%)</f>
        <v>79.876230182000015</v>
      </c>
      <c r="Z26" s="403">
        <f t="shared" si="15"/>
        <v>107.05263976400002</v>
      </c>
      <c r="AA26" s="403">
        <f t="shared" si="15"/>
        <v>112.91256826500002</v>
      </c>
      <c r="AB26" s="403">
        <f t="shared" si="15"/>
        <v>61.963592082000005</v>
      </c>
      <c r="AC26" s="403">
        <f t="shared" si="15"/>
        <v>79.876230182000015</v>
      </c>
    </row>
    <row r="27" spans="1:29" ht="22.5">
      <c r="A27" s="689" t="s">
        <v>233</v>
      </c>
      <c r="B27" s="407" t="s">
        <v>245</v>
      </c>
      <c r="C27" s="408" t="s">
        <v>231</v>
      </c>
      <c r="D27" s="568"/>
      <c r="E27" s="566"/>
      <c r="F27" s="566"/>
      <c r="G27" s="566"/>
      <c r="H27" s="568"/>
      <c r="I27" s="567">
        <f t="shared" si="3"/>
        <v>23.988709999999998</v>
      </c>
      <c r="J27" s="567">
        <f>J26</f>
        <v>2.2087100000000004</v>
      </c>
      <c r="K27" s="567"/>
      <c r="L27" s="567">
        <f>19.22+2.56</f>
        <v>21.779999999999998</v>
      </c>
      <c r="M27" s="402">
        <f t="shared" si="9"/>
        <v>0</v>
      </c>
      <c r="N27" s="402">
        <f t="shared" si="10"/>
        <v>0</v>
      </c>
      <c r="O27" s="402">
        <f t="shared" si="11"/>
        <v>0</v>
      </c>
      <c r="P27" s="402">
        <f t="shared" si="12"/>
        <v>0</v>
      </c>
      <c r="Q27" s="402">
        <f t="shared" si="13"/>
        <v>0</v>
      </c>
      <c r="R27" s="409" t="s">
        <v>244</v>
      </c>
      <c r="S27" s="455">
        <f t="shared" si="14"/>
        <v>0</v>
      </c>
      <c r="T27" s="403">
        <f t="shared" si="14"/>
        <v>0</v>
      </c>
      <c r="U27" s="403">
        <f t="shared" si="14"/>
        <v>0</v>
      </c>
      <c r="V27" s="403">
        <f t="shared" si="14"/>
        <v>0</v>
      </c>
      <c r="W27" s="403">
        <f t="shared" si="14"/>
        <v>0</v>
      </c>
      <c r="X27" s="323"/>
      <c r="Y27" s="403">
        <f t="shared" si="15"/>
        <v>0</v>
      </c>
      <c r="Z27" s="403">
        <f t="shared" si="15"/>
        <v>0</v>
      </c>
      <c r="AA27" s="403">
        <f t="shared" si="15"/>
        <v>0</v>
      </c>
      <c r="AB27" s="403">
        <f t="shared" si="15"/>
        <v>0</v>
      </c>
      <c r="AC27" s="403">
        <f t="shared" si="15"/>
        <v>0</v>
      </c>
    </row>
    <row r="28" spans="1:29">
      <c r="A28" s="635" t="s">
        <v>246</v>
      </c>
      <c r="B28" s="636" t="s">
        <v>247</v>
      </c>
      <c r="C28" s="641"/>
      <c r="D28" s="714"/>
      <c r="E28" s="714"/>
      <c r="F28" s="714"/>
      <c r="G28" s="714"/>
      <c r="H28" s="714"/>
      <c r="I28" s="713"/>
      <c r="J28" s="713"/>
      <c r="K28" s="713"/>
      <c r="L28" s="713"/>
      <c r="M28" s="639"/>
      <c r="N28" s="639"/>
      <c r="O28" s="639"/>
      <c r="P28" s="639"/>
      <c r="Q28" s="639"/>
      <c r="R28" s="640" t="s">
        <v>1864</v>
      </c>
      <c r="S28" s="455"/>
      <c r="T28" s="403"/>
      <c r="U28" s="403"/>
      <c r="V28" s="403"/>
      <c r="W28" s="403"/>
      <c r="X28" s="323"/>
      <c r="Y28" s="423"/>
      <c r="Z28" s="423"/>
      <c r="AA28" s="423"/>
      <c r="AB28" s="423"/>
      <c r="AC28" s="423"/>
    </row>
    <row r="29" spans="1:29" ht="22.5">
      <c r="A29" s="689">
        <v>1</v>
      </c>
      <c r="B29" s="407" t="s">
        <v>248</v>
      </c>
      <c r="C29" s="408" t="s">
        <v>231</v>
      </c>
      <c r="D29" s="566">
        <f>'G单元 '!$E$18</f>
        <v>27.52</v>
      </c>
      <c r="E29" s="566">
        <f>J单元!$E$18</f>
        <v>36.79</v>
      </c>
      <c r="F29" s="566">
        <f>'K单元 '!E18</f>
        <v>41.66</v>
      </c>
      <c r="G29" s="566">
        <f>'A1单元 '!E18</f>
        <v>20.94</v>
      </c>
      <c r="H29" s="566">
        <f>'G单元 '!$E$18</f>
        <v>27.52</v>
      </c>
      <c r="I29" s="567">
        <f t="shared" si="3"/>
        <v>137.26249999999999</v>
      </c>
      <c r="J29" s="567">
        <f>'附件4-8甲供材料清单'!M7</f>
        <v>78.124999999999986</v>
      </c>
      <c r="K29" s="567">
        <v>14</v>
      </c>
      <c r="L29" s="567">
        <v>48.2</v>
      </c>
      <c r="M29" s="402">
        <f t="shared" si="9"/>
        <v>3777.4639999999995</v>
      </c>
      <c r="N29" s="402">
        <f t="shared" si="10"/>
        <v>5049.8873749999993</v>
      </c>
      <c r="O29" s="402">
        <f t="shared" si="11"/>
        <v>5718.3557499999988</v>
      </c>
      <c r="P29" s="402">
        <f t="shared" si="12"/>
        <v>2874.27675</v>
      </c>
      <c r="Q29" s="402">
        <f t="shared" si="13"/>
        <v>3777.4639999999995</v>
      </c>
      <c r="R29" s="409" t="s">
        <v>244</v>
      </c>
      <c r="S29" s="455">
        <f t="shared" ref="S29:W30" si="16">M29</f>
        <v>3777.4639999999995</v>
      </c>
      <c r="T29" s="403">
        <f t="shared" si="16"/>
        <v>5049.8873749999993</v>
      </c>
      <c r="U29" s="403">
        <f t="shared" si="16"/>
        <v>5718.3557499999988</v>
      </c>
      <c r="V29" s="403">
        <f t="shared" si="16"/>
        <v>2874.27675</v>
      </c>
      <c r="W29" s="403">
        <f t="shared" si="16"/>
        <v>3777.4639999999995</v>
      </c>
      <c r="X29" s="323"/>
      <c r="Y29" s="403">
        <f t="shared" ref="Y29:AC30" si="17">D29*$J29*(1+$K29%)</f>
        <v>2450.9999999999995</v>
      </c>
      <c r="Z29" s="403">
        <f t="shared" si="17"/>
        <v>3276.609375</v>
      </c>
      <c r="AA29" s="403">
        <f t="shared" si="17"/>
        <v>3710.3437499999995</v>
      </c>
      <c r="AB29" s="403">
        <f t="shared" si="17"/>
        <v>1864.96875</v>
      </c>
      <c r="AC29" s="403">
        <f t="shared" si="17"/>
        <v>2450.9999999999995</v>
      </c>
    </row>
    <row r="30" spans="1:29" ht="33.75">
      <c r="A30" s="689">
        <v>2</v>
      </c>
      <c r="B30" s="407" t="s">
        <v>250</v>
      </c>
      <c r="C30" s="408" t="s">
        <v>235</v>
      </c>
      <c r="D30" s="566"/>
      <c r="E30" s="566"/>
      <c r="F30" s="566"/>
      <c r="G30" s="566"/>
      <c r="H30" s="566"/>
      <c r="I30" s="567">
        <f t="shared" si="3"/>
        <v>24.23</v>
      </c>
      <c r="J30" s="567">
        <f>'附件4-8甲供材料清单'!M9</f>
        <v>15</v>
      </c>
      <c r="K30" s="567">
        <v>5</v>
      </c>
      <c r="L30" s="567">
        <v>8.48</v>
      </c>
      <c r="M30" s="402">
        <f t="shared" si="9"/>
        <v>0</v>
      </c>
      <c r="N30" s="402">
        <f t="shared" si="10"/>
        <v>0</v>
      </c>
      <c r="O30" s="402">
        <f t="shared" si="11"/>
        <v>0</v>
      </c>
      <c r="P30" s="402">
        <f t="shared" si="12"/>
        <v>0</v>
      </c>
      <c r="Q30" s="402">
        <f t="shared" si="13"/>
        <v>0</v>
      </c>
      <c r="R30" s="409" t="s">
        <v>244</v>
      </c>
      <c r="S30" s="455">
        <f t="shared" si="16"/>
        <v>0</v>
      </c>
      <c r="T30" s="403">
        <f t="shared" si="16"/>
        <v>0</v>
      </c>
      <c r="U30" s="403">
        <f t="shared" si="16"/>
        <v>0</v>
      </c>
      <c r="V30" s="403">
        <f t="shared" si="16"/>
        <v>0</v>
      </c>
      <c r="W30" s="403">
        <f t="shared" si="16"/>
        <v>0</v>
      </c>
      <c r="X30" s="323"/>
      <c r="Y30" s="403">
        <f t="shared" si="17"/>
        <v>0</v>
      </c>
      <c r="Z30" s="403">
        <f t="shared" si="17"/>
        <v>0</v>
      </c>
      <c r="AA30" s="403">
        <f t="shared" si="17"/>
        <v>0</v>
      </c>
      <c r="AB30" s="403">
        <f t="shared" si="17"/>
        <v>0</v>
      </c>
      <c r="AC30" s="403">
        <f t="shared" si="17"/>
        <v>0</v>
      </c>
    </row>
    <row r="31" spans="1:29">
      <c r="A31" s="689">
        <v>3</v>
      </c>
      <c r="B31" s="407" t="s">
        <v>251</v>
      </c>
      <c r="C31" s="408" t="s">
        <v>231</v>
      </c>
      <c r="D31" s="566"/>
      <c r="E31" s="566"/>
      <c r="F31" s="566"/>
      <c r="G31" s="566"/>
      <c r="H31" s="566"/>
      <c r="I31" s="567">
        <f t="shared" si="3"/>
        <v>411.6</v>
      </c>
      <c r="J31" s="411">
        <v>300</v>
      </c>
      <c r="K31" s="411">
        <v>3</v>
      </c>
      <c r="L31" s="567">
        <v>102.6</v>
      </c>
      <c r="M31" s="402">
        <f t="shared" si="9"/>
        <v>0</v>
      </c>
      <c r="N31" s="402">
        <f t="shared" si="10"/>
        <v>0</v>
      </c>
      <c r="O31" s="402">
        <f t="shared" si="11"/>
        <v>0</v>
      </c>
      <c r="P31" s="402">
        <f t="shared" si="12"/>
        <v>0</v>
      </c>
      <c r="Q31" s="402">
        <f t="shared" si="13"/>
        <v>0</v>
      </c>
      <c r="R31" s="409"/>
      <c r="S31" s="455"/>
      <c r="T31" s="403"/>
      <c r="U31" s="403"/>
      <c r="V31" s="403"/>
      <c r="W31" s="403"/>
      <c r="X31" s="323"/>
      <c r="Y31" s="423"/>
      <c r="Z31" s="423"/>
      <c r="AA31" s="423"/>
      <c r="AB31" s="423"/>
      <c r="AC31" s="423"/>
    </row>
    <row r="32" spans="1:29">
      <c r="A32" s="689">
        <v>4</v>
      </c>
      <c r="B32" s="407" t="s">
        <v>252</v>
      </c>
      <c r="C32" s="408" t="s">
        <v>231</v>
      </c>
      <c r="D32" s="566">
        <f>'G单元 '!$L$17*0.047+'G单元 '!$L$22*(0.047+0.056)+'G单元 '!$J$6*0.231*'G单元 '!$J$17+'G单元 '!$G$6*0.14*'G单元 '!$G$17+'G单元 '!$H$6*0.12*'G单元 '!$H$17</f>
        <v>0.76960000000000006</v>
      </c>
      <c r="E32" s="566">
        <f>J单元!$L$17*0.047+J单元!$L$22*(0.047+0.056)+J单元!$J$6*0.231*J单元!$J$17+J单元!$G$6*0.14*J单元!$G$17+J单元!$H$6*0.12*J单元!$H$17</f>
        <v>1.2899100000000001</v>
      </c>
      <c r="F32" s="566">
        <f>'K单元 '!$L$17*0.047+'K单元 '!$L$22*(0.047+0.056)+'K单元 '!$J$6*0.231*'K单元 '!$J$17+'K单元 '!$G$6*0.14*'K单元 '!$G$17+'K单元 '!$H$6*0.12*'K单元 '!$H$17</f>
        <v>0.94989999999999997</v>
      </c>
      <c r="G32" s="566">
        <f>'A1单元 '!$L$17*0.047+'A1单元 '!$L$22*(0.047+0.056)+'A1单元 '!$J$6*0.231*'A1单元 '!$J$17+'A1单元 '!$G$6*0.14*'A1单元 '!$G$17+'A1单元 '!$H$6*0.12*'A1单元 '!$H$17</f>
        <v>0.52446000000000004</v>
      </c>
      <c r="H32" s="566">
        <f>'G单元 '!$L$17*0.047+'G单元 '!$L$22*(0.047+0.056)+'G单元 '!$J$6*0.231*'G单元 '!$J$17+'G单元 '!$G$6*0.14*'G单元 '!$G$17+'G单元 '!$H$6*0.12*'G单元 '!$H$17</f>
        <v>0.76960000000000006</v>
      </c>
      <c r="I32" s="567">
        <f t="shared" si="3"/>
        <v>449.4</v>
      </c>
      <c r="J32" s="411">
        <v>300</v>
      </c>
      <c r="K32" s="411">
        <v>3</v>
      </c>
      <c r="L32" s="567">
        <v>140.4</v>
      </c>
      <c r="M32" s="402">
        <f t="shared" si="9"/>
        <v>345.85824000000002</v>
      </c>
      <c r="N32" s="402">
        <f t="shared" si="10"/>
        <v>579.68555400000002</v>
      </c>
      <c r="O32" s="402">
        <f t="shared" si="11"/>
        <v>426.88505999999995</v>
      </c>
      <c r="P32" s="402">
        <f t="shared" si="12"/>
        <v>235.69232400000001</v>
      </c>
      <c r="Q32" s="402">
        <f t="shared" si="13"/>
        <v>345.85824000000002</v>
      </c>
      <c r="R32" s="409"/>
      <c r="S32" s="455"/>
      <c r="T32" s="403"/>
      <c r="U32" s="403"/>
      <c r="V32" s="403"/>
      <c r="W32" s="403"/>
      <c r="X32" s="323"/>
      <c r="Y32" s="423"/>
      <c r="Z32" s="423"/>
      <c r="AA32" s="423"/>
      <c r="AB32" s="423"/>
      <c r="AC32" s="423"/>
    </row>
    <row r="33" spans="1:29">
      <c r="A33" s="689">
        <v>5</v>
      </c>
      <c r="B33" s="407" t="s">
        <v>253</v>
      </c>
      <c r="C33" s="408" t="s">
        <v>231</v>
      </c>
      <c r="D33" s="566">
        <f>'G单元 '!$H$6*0.19</f>
        <v>0.16036</v>
      </c>
      <c r="E33" s="566">
        <f>J单元!$H$6*0.19</f>
        <v>0.16036</v>
      </c>
      <c r="F33" s="566">
        <f>'K单元 '!$H$6*0.19</f>
        <v>0.18886</v>
      </c>
      <c r="G33" s="566">
        <v>0</v>
      </c>
      <c r="H33" s="566">
        <f>'G单元 '!$H$6*0.19</f>
        <v>0.16036</v>
      </c>
      <c r="I33" s="567">
        <f t="shared" si="3"/>
        <v>514.20000000000005</v>
      </c>
      <c r="J33" s="411">
        <v>300</v>
      </c>
      <c r="K33" s="411">
        <v>3</v>
      </c>
      <c r="L33" s="567">
        <v>205.2</v>
      </c>
      <c r="M33" s="402">
        <f t="shared" si="9"/>
        <v>82.457112000000009</v>
      </c>
      <c r="N33" s="402">
        <f t="shared" si="10"/>
        <v>82.457112000000009</v>
      </c>
      <c r="O33" s="402">
        <f t="shared" si="11"/>
        <v>97.111812000000015</v>
      </c>
      <c r="P33" s="402">
        <f t="shared" si="12"/>
        <v>0</v>
      </c>
      <c r="Q33" s="402">
        <f t="shared" si="13"/>
        <v>82.457112000000009</v>
      </c>
      <c r="R33" s="409"/>
      <c r="S33" s="455"/>
      <c r="T33" s="403"/>
      <c r="U33" s="403"/>
      <c r="V33" s="403"/>
      <c r="W33" s="403"/>
      <c r="X33" s="323"/>
      <c r="Y33" s="423"/>
      <c r="Z33" s="423"/>
      <c r="AA33" s="423"/>
      <c r="AB33" s="423"/>
      <c r="AC33" s="423"/>
    </row>
    <row r="34" spans="1:29" ht="33.75">
      <c r="A34" s="689" t="s">
        <v>233</v>
      </c>
      <c r="B34" s="407" t="s">
        <v>254</v>
      </c>
      <c r="C34" s="408" t="s">
        <v>231</v>
      </c>
      <c r="D34" s="566"/>
      <c r="E34" s="566"/>
      <c r="F34" s="566"/>
      <c r="G34" s="566"/>
      <c r="H34" s="566"/>
      <c r="I34" s="567">
        <f t="shared" si="3"/>
        <v>578.54239999999993</v>
      </c>
      <c r="J34" s="567">
        <f>'附件4-8甲供材料清单'!K143</f>
        <v>462.08</v>
      </c>
      <c r="K34" s="567">
        <v>3</v>
      </c>
      <c r="L34" s="567">
        <v>102.6</v>
      </c>
      <c r="M34" s="402">
        <f t="shared" si="9"/>
        <v>0</v>
      </c>
      <c r="N34" s="402">
        <f t="shared" si="10"/>
        <v>0</v>
      </c>
      <c r="O34" s="402">
        <f t="shared" si="11"/>
        <v>0</v>
      </c>
      <c r="P34" s="402">
        <f t="shared" si="12"/>
        <v>0</v>
      </c>
      <c r="Q34" s="402">
        <f t="shared" si="13"/>
        <v>0</v>
      </c>
      <c r="R34" s="409" t="s">
        <v>244</v>
      </c>
      <c r="S34" s="455">
        <f t="shared" ref="S34:W40" si="18">M34</f>
        <v>0</v>
      </c>
      <c r="T34" s="403">
        <f t="shared" si="18"/>
        <v>0</v>
      </c>
      <c r="U34" s="403">
        <f t="shared" si="18"/>
        <v>0</v>
      </c>
      <c r="V34" s="403">
        <f t="shared" si="18"/>
        <v>0</v>
      </c>
      <c r="W34" s="403">
        <f t="shared" si="18"/>
        <v>0</v>
      </c>
      <c r="X34" s="323"/>
      <c r="Y34" s="403">
        <f t="shared" ref="Y34:AC40" si="19">D34*$J34*(1+$K34%)</f>
        <v>0</v>
      </c>
      <c r="Z34" s="403">
        <f t="shared" si="19"/>
        <v>0</v>
      </c>
      <c r="AA34" s="403">
        <f t="shared" si="19"/>
        <v>0</v>
      </c>
      <c r="AB34" s="403">
        <f t="shared" si="19"/>
        <v>0</v>
      </c>
      <c r="AC34" s="403">
        <f t="shared" si="19"/>
        <v>0</v>
      </c>
    </row>
    <row r="35" spans="1:29" ht="33.75">
      <c r="A35" s="689" t="s">
        <v>233</v>
      </c>
      <c r="B35" s="407" t="s">
        <v>255</v>
      </c>
      <c r="C35" s="408" t="s">
        <v>231</v>
      </c>
      <c r="D35" s="566"/>
      <c r="E35" s="566"/>
      <c r="F35" s="566"/>
      <c r="G35" s="566"/>
      <c r="H35" s="566"/>
      <c r="I35" s="567">
        <f t="shared" si="3"/>
        <v>616.3424</v>
      </c>
      <c r="J35" s="567">
        <f>'附件4-8甲供材料清单'!K143</f>
        <v>462.08</v>
      </c>
      <c r="K35" s="567">
        <v>3</v>
      </c>
      <c r="L35" s="567">
        <v>140.4</v>
      </c>
      <c r="M35" s="402">
        <f t="shared" si="9"/>
        <v>0</v>
      </c>
      <c r="N35" s="402">
        <f t="shared" si="10"/>
        <v>0</v>
      </c>
      <c r="O35" s="402">
        <f t="shared" si="11"/>
        <v>0</v>
      </c>
      <c r="P35" s="402">
        <f t="shared" si="12"/>
        <v>0</v>
      </c>
      <c r="Q35" s="402">
        <f t="shared" si="13"/>
        <v>0</v>
      </c>
      <c r="R35" s="409" t="s">
        <v>244</v>
      </c>
      <c r="S35" s="455">
        <f t="shared" si="18"/>
        <v>0</v>
      </c>
      <c r="T35" s="403">
        <f t="shared" si="18"/>
        <v>0</v>
      </c>
      <c r="U35" s="403">
        <f t="shared" si="18"/>
        <v>0</v>
      </c>
      <c r="V35" s="403">
        <f t="shared" si="18"/>
        <v>0</v>
      </c>
      <c r="W35" s="403">
        <f t="shared" si="18"/>
        <v>0</v>
      </c>
      <c r="X35" s="323"/>
      <c r="Y35" s="403">
        <f t="shared" si="19"/>
        <v>0</v>
      </c>
      <c r="Z35" s="403">
        <f t="shared" si="19"/>
        <v>0</v>
      </c>
      <c r="AA35" s="403">
        <f t="shared" si="19"/>
        <v>0</v>
      </c>
      <c r="AB35" s="403">
        <f t="shared" si="19"/>
        <v>0</v>
      </c>
      <c r="AC35" s="403">
        <f t="shared" si="19"/>
        <v>0</v>
      </c>
    </row>
    <row r="36" spans="1:29" ht="33.75">
      <c r="A36" s="689" t="s">
        <v>233</v>
      </c>
      <c r="B36" s="407" t="s">
        <v>256</v>
      </c>
      <c r="C36" s="408" t="s">
        <v>231</v>
      </c>
      <c r="D36" s="566"/>
      <c r="E36" s="566"/>
      <c r="F36" s="566"/>
      <c r="G36" s="566"/>
      <c r="H36" s="566"/>
      <c r="I36" s="567">
        <f t="shared" si="3"/>
        <v>681.14239999999995</v>
      </c>
      <c r="J36" s="567">
        <f>'附件4-8甲供材料清单'!K143</f>
        <v>462.08</v>
      </c>
      <c r="K36" s="567">
        <v>3</v>
      </c>
      <c r="L36" s="567">
        <v>205.2</v>
      </c>
      <c r="M36" s="402">
        <f t="shared" si="9"/>
        <v>0</v>
      </c>
      <c r="N36" s="402">
        <f t="shared" si="10"/>
        <v>0</v>
      </c>
      <c r="O36" s="402">
        <f t="shared" si="11"/>
        <v>0</v>
      </c>
      <c r="P36" s="402">
        <f t="shared" si="12"/>
        <v>0</v>
      </c>
      <c r="Q36" s="402">
        <f t="shared" si="13"/>
        <v>0</v>
      </c>
      <c r="R36" s="409" t="s">
        <v>244</v>
      </c>
      <c r="S36" s="455">
        <f t="shared" si="18"/>
        <v>0</v>
      </c>
      <c r="T36" s="403">
        <f t="shared" si="18"/>
        <v>0</v>
      </c>
      <c r="U36" s="403">
        <f t="shared" si="18"/>
        <v>0</v>
      </c>
      <c r="V36" s="403">
        <f t="shared" si="18"/>
        <v>0</v>
      </c>
      <c r="W36" s="403">
        <f t="shared" si="18"/>
        <v>0</v>
      </c>
      <c r="X36" s="323"/>
      <c r="Y36" s="403">
        <f t="shared" si="19"/>
        <v>0</v>
      </c>
      <c r="Z36" s="403">
        <f t="shared" si="19"/>
        <v>0</v>
      </c>
      <c r="AA36" s="403">
        <f t="shared" si="19"/>
        <v>0</v>
      </c>
      <c r="AB36" s="403">
        <f t="shared" si="19"/>
        <v>0</v>
      </c>
      <c r="AC36" s="403">
        <f t="shared" si="19"/>
        <v>0</v>
      </c>
    </row>
    <row r="37" spans="1:29" ht="22.5">
      <c r="A37" s="689" t="s">
        <v>233</v>
      </c>
      <c r="B37" s="407" t="s">
        <v>257</v>
      </c>
      <c r="C37" s="408" t="s">
        <v>231</v>
      </c>
      <c r="D37" s="566"/>
      <c r="E37" s="566"/>
      <c r="F37" s="566"/>
      <c r="G37" s="566"/>
      <c r="H37" s="566"/>
      <c r="I37" s="567">
        <f t="shared" si="3"/>
        <v>578.54239999999993</v>
      </c>
      <c r="J37" s="411">
        <f>'附件4-8甲供材料清单'!K143</f>
        <v>462.08</v>
      </c>
      <c r="K37" s="567">
        <v>3</v>
      </c>
      <c r="L37" s="567">
        <v>102.6</v>
      </c>
      <c r="M37" s="402">
        <f t="shared" si="9"/>
        <v>0</v>
      </c>
      <c r="N37" s="402">
        <f t="shared" si="10"/>
        <v>0</v>
      </c>
      <c r="O37" s="402">
        <f t="shared" si="11"/>
        <v>0</v>
      </c>
      <c r="P37" s="402">
        <f t="shared" si="12"/>
        <v>0</v>
      </c>
      <c r="Q37" s="402">
        <f t="shared" si="13"/>
        <v>0</v>
      </c>
      <c r="R37" s="409" t="s">
        <v>244</v>
      </c>
      <c r="S37" s="455">
        <f t="shared" si="18"/>
        <v>0</v>
      </c>
      <c r="T37" s="403">
        <f t="shared" si="18"/>
        <v>0</v>
      </c>
      <c r="U37" s="403">
        <f t="shared" si="18"/>
        <v>0</v>
      </c>
      <c r="V37" s="403">
        <f t="shared" si="18"/>
        <v>0</v>
      </c>
      <c r="W37" s="403">
        <f t="shared" si="18"/>
        <v>0</v>
      </c>
      <c r="X37" s="323"/>
      <c r="Y37" s="403">
        <f t="shared" si="19"/>
        <v>0</v>
      </c>
      <c r="Z37" s="403">
        <f t="shared" si="19"/>
        <v>0</v>
      </c>
      <c r="AA37" s="403">
        <f t="shared" si="19"/>
        <v>0</v>
      </c>
      <c r="AB37" s="403">
        <f t="shared" si="19"/>
        <v>0</v>
      </c>
      <c r="AC37" s="403">
        <f t="shared" si="19"/>
        <v>0</v>
      </c>
    </row>
    <row r="38" spans="1:29" ht="33.75">
      <c r="A38" s="689" t="s">
        <v>233</v>
      </c>
      <c r="B38" s="407" t="s">
        <v>258</v>
      </c>
      <c r="C38" s="408" t="s">
        <v>231</v>
      </c>
      <c r="D38" s="566"/>
      <c r="E38" s="566"/>
      <c r="F38" s="566"/>
      <c r="G38" s="566"/>
      <c r="H38" s="566"/>
      <c r="I38" s="567">
        <f t="shared" si="3"/>
        <v>133.28749999999999</v>
      </c>
      <c r="J38" s="411">
        <f>J29</f>
        <v>78.124999999999986</v>
      </c>
      <c r="K38" s="567">
        <v>2</v>
      </c>
      <c r="L38" s="567">
        <v>53.6</v>
      </c>
      <c r="M38" s="402">
        <f t="shared" si="9"/>
        <v>0</v>
      </c>
      <c r="N38" s="402">
        <f t="shared" si="10"/>
        <v>0</v>
      </c>
      <c r="O38" s="402">
        <f t="shared" si="11"/>
        <v>0</v>
      </c>
      <c r="P38" s="402">
        <f t="shared" si="12"/>
        <v>0</v>
      </c>
      <c r="Q38" s="402">
        <f t="shared" si="13"/>
        <v>0</v>
      </c>
      <c r="R38" s="403" t="s">
        <v>244</v>
      </c>
      <c r="S38" s="455">
        <f t="shared" si="18"/>
        <v>0</v>
      </c>
      <c r="T38" s="403">
        <f t="shared" si="18"/>
        <v>0</v>
      </c>
      <c r="U38" s="403">
        <f t="shared" si="18"/>
        <v>0</v>
      </c>
      <c r="V38" s="403">
        <f t="shared" si="18"/>
        <v>0</v>
      </c>
      <c r="W38" s="403">
        <f t="shared" si="18"/>
        <v>0</v>
      </c>
      <c r="X38" s="323"/>
      <c r="Y38" s="403">
        <f t="shared" si="19"/>
        <v>0</v>
      </c>
      <c r="Z38" s="403">
        <f t="shared" si="19"/>
        <v>0</v>
      </c>
      <c r="AA38" s="403">
        <f t="shared" si="19"/>
        <v>0</v>
      </c>
      <c r="AB38" s="403">
        <f t="shared" si="19"/>
        <v>0</v>
      </c>
      <c r="AC38" s="403">
        <f t="shared" si="19"/>
        <v>0</v>
      </c>
    </row>
    <row r="39" spans="1:29" ht="22.5">
      <c r="A39" s="689" t="s">
        <v>233</v>
      </c>
      <c r="B39" s="407" t="s">
        <v>259</v>
      </c>
      <c r="C39" s="408" t="s">
        <v>231</v>
      </c>
      <c r="D39" s="566"/>
      <c r="E39" s="566"/>
      <c r="F39" s="566"/>
      <c r="G39" s="566"/>
      <c r="H39" s="566"/>
      <c r="I39" s="567">
        <f t="shared" si="3"/>
        <v>143.82499999999999</v>
      </c>
      <c r="J39" s="411">
        <f>'附件4-8甲供材料清单'!M8</f>
        <v>93.749999999999986</v>
      </c>
      <c r="K39" s="567">
        <v>2</v>
      </c>
      <c r="L39" s="567">
        <v>48.2</v>
      </c>
      <c r="M39" s="402">
        <f t="shared" si="9"/>
        <v>0</v>
      </c>
      <c r="N39" s="402">
        <f t="shared" si="10"/>
        <v>0</v>
      </c>
      <c r="O39" s="402">
        <f t="shared" si="11"/>
        <v>0</v>
      </c>
      <c r="P39" s="402">
        <f t="shared" si="12"/>
        <v>0</v>
      </c>
      <c r="Q39" s="402">
        <f t="shared" si="13"/>
        <v>0</v>
      </c>
      <c r="R39" s="409" t="s">
        <v>244</v>
      </c>
      <c r="S39" s="455">
        <f t="shared" si="18"/>
        <v>0</v>
      </c>
      <c r="T39" s="403">
        <f t="shared" si="18"/>
        <v>0</v>
      </c>
      <c r="U39" s="403">
        <f t="shared" si="18"/>
        <v>0</v>
      </c>
      <c r="V39" s="403">
        <f t="shared" si="18"/>
        <v>0</v>
      </c>
      <c r="W39" s="403">
        <f t="shared" si="18"/>
        <v>0</v>
      </c>
      <c r="X39" s="323"/>
      <c r="Y39" s="403">
        <f t="shared" si="19"/>
        <v>0</v>
      </c>
      <c r="Z39" s="403">
        <f t="shared" si="19"/>
        <v>0</v>
      </c>
      <c r="AA39" s="403">
        <f t="shared" si="19"/>
        <v>0</v>
      </c>
      <c r="AB39" s="403">
        <f t="shared" si="19"/>
        <v>0</v>
      </c>
      <c r="AC39" s="403">
        <f t="shared" si="19"/>
        <v>0</v>
      </c>
    </row>
    <row r="40" spans="1:29" ht="33.75">
      <c r="A40" s="689" t="s">
        <v>233</v>
      </c>
      <c r="B40" s="407" t="s">
        <v>260</v>
      </c>
      <c r="C40" s="408" t="s">
        <v>231</v>
      </c>
      <c r="D40" s="566"/>
      <c r="E40" s="566"/>
      <c r="F40" s="566"/>
      <c r="G40" s="566"/>
      <c r="H40" s="566"/>
      <c r="I40" s="567">
        <f t="shared" si="3"/>
        <v>213</v>
      </c>
      <c r="J40" s="411">
        <f>'附件4-8甲供材料清单'!M10</f>
        <v>99.999999999999986</v>
      </c>
      <c r="K40" s="567">
        <v>5</v>
      </c>
      <c r="L40" s="567">
        <v>108</v>
      </c>
      <c r="M40" s="402">
        <f t="shared" si="9"/>
        <v>0</v>
      </c>
      <c r="N40" s="402">
        <f t="shared" si="10"/>
        <v>0</v>
      </c>
      <c r="O40" s="402">
        <f t="shared" si="11"/>
        <v>0</v>
      </c>
      <c r="P40" s="402">
        <f t="shared" si="12"/>
        <v>0</v>
      </c>
      <c r="Q40" s="402">
        <f t="shared" si="13"/>
        <v>0</v>
      </c>
      <c r="R40" s="409" t="s">
        <v>244</v>
      </c>
      <c r="S40" s="455">
        <f t="shared" si="18"/>
        <v>0</v>
      </c>
      <c r="T40" s="403">
        <f t="shared" si="18"/>
        <v>0</v>
      </c>
      <c r="U40" s="403">
        <f t="shared" si="18"/>
        <v>0</v>
      </c>
      <c r="V40" s="403">
        <f t="shared" si="18"/>
        <v>0</v>
      </c>
      <c r="W40" s="403">
        <f t="shared" si="18"/>
        <v>0</v>
      </c>
      <c r="X40" s="323"/>
      <c r="Y40" s="403">
        <f t="shared" si="19"/>
        <v>0</v>
      </c>
      <c r="Z40" s="403">
        <f t="shared" si="19"/>
        <v>0</v>
      </c>
      <c r="AA40" s="403">
        <f t="shared" si="19"/>
        <v>0</v>
      </c>
      <c r="AB40" s="403">
        <f t="shared" si="19"/>
        <v>0</v>
      </c>
      <c r="AC40" s="403">
        <f t="shared" si="19"/>
        <v>0</v>
      </c>
    </row>
    <row r="41" spans="1:29">
      <c r="A41" s="635" t="s">
        <v>136</v>
      </c>
      <c r="B41" s="636" t="s">
        <v>261</v>
      </c>
      <c r="C41" s="642"/>
      <c r="D41" s="714"/>
      <c r="E41" s="714"/>
      <c r="F41" s="714"/>
      <c r="G41" s="714"/>
      <c r="H41" s="714"/>
      <c r="I41" s="713"/>
      <c r="J41" s="648"/>
      <c r="K41" s="648"/>
      <c r="L41" s="648"/>
      <c r="M41" s="639"/>
      <c r="N41" s="639"/>
      <c r="O41" s="639"/>
      <c r="P41" s="639"/>
      <c r="Q41" s="639"/>
      <c r="R41" s="640" t="s">
        <v>1864</v>
      </c>
      <c r="S41" s="444"/>
      <c r="T41" s="437"/>
      <c r="U41" s="437"/>
      <c r="V41" s="437"/>
      <c r="W41" s="437"/>
      <c r="X41" s="362"/>
      <c r="Y41" s="446"/>
      <c r="Z41" s="446"/>
      <c r="AA41" s="446"/>
      <c r="AB41" s="446"/>
      <c r="AC41" s="446"/>
    </row>
    <row r="42" spans="1:29" ht="22.5">
      <c r="A42" s="689">
        <v>1</v>
      </c>
      <c r="B42" s="407" t="s">
        <v>262</v>
      </c>
      <c r="C42" s="408" t="s">
        <v>231</v>
      </c>
      <c r="D42" s="566">
        <f>'G单元 '!$S$18+(3.01+7.83)*0.1</f>
        <v>40.307176000000013</v>
      </c>
      <c r="E42" s="566">
        <f>J单元!$S$18</f>
        <v>60.959757999999994</v>
      </c>
      <c r="F42" s="566">
        <f>'K单元 '!$S$18</f>
        <v>59.904544000000016</v>
      </c>
      <c r="G42" s="566">
        <f>'A1单元 '!$T$18</f>
        <v>15.186</v>
      </c>
      <c r="H42" s="566">
        <f>'G单元 '!$S$18+(3.01+7.83)*0.1</f>
        <v>40.307176000000013</v>
      </c>
      <c r="I42" s="567">
        <f t="shared" si="3"/>
        <v>21.428709999999999</v>
      </c>
      <c r="J42" s="567">
        <f>'附件4-8甲供材料清单'!N125</f>
        <v>2.2087100000000004</v>
      </c>
      <c r="K42" s="567"/>
      <c r="L42" s="567">
        <v>19.22</v>
      </c>
      <c r="M42" s="402">
        <f t="shared" si="9"/>
        <v>863.73078542296025</v>
      </c>
      <c r="N42" s="402">
        <f t="shared" si="10"/>
        <v>1306.2889758521799</v>
      </c>
      <c r="O42" s="402">
        <f t="shared" si="11"/>
        <v>1283.6771010582402</v>
      </c>
      <c r="P42" s="402">
        <f t="shared" si="12"/>
        <v>325.41639005999997</v>
      </c>
      <c r="Q42" s="402">
        <f t="shared" si="13"/>
        <v>863.73078542296025</v>
      </c>
      <c r="R42" s="409" t="s">
        <v>244</v>
      </c>
      <c r="S42" s="455">
        <f t="shared" ref="S42:W44" si="20">M42</f>
        <v>863.73078542296025</v>
      </c>
      <c r="T42" s="403">
        <f t="shared" si="20"/>
        <v>1306.2889758521799</v>
      </c>
      <c r="U42" s="403">
        <f t="shared" si="20"/>
        <v>1283.6771010582402</v>
      </c>
      <c r="V42" s="403">
        <f t="shared" si="20"/>
        <v>325.41639005999997</v>
      </c>
      <c r="W42" s="403">
        <f t="shared" si="20"/>
        <v>863.73078542296025</v>
      </c>
      <c r="X42" s="323"/>
      <c r="Y42" s="403">
        <f t="shared" ref="Y42:AC44" si="21">D42*$J42*(1+$K42%)</f>
        <v>89.026862702960045</v>
      </c>
      <c r="Z42" s="403">
        <f t="shared" si="21"/>
        <v>134.64242709218001</v>
      </c>
      <c r="AA42" s="403">
        <f t="shared" si="21"/>
        <v>132.31176537824007</v>
      </c>
      <c r="AB42" s="403">
        <f t="shared" si="21"/>
        <v>33.541470060000009</v>
      </c>
      <c r="AC42" s="403">
        <f t="shared" si="21"/>
        <v>89.026862702960045</v>
      </c>
    </row>
    <row r="43" spans="1:29" ht="33.75">
      <c r="A43" s="689" t="s">
        <v>233</v>
      </c>
      <c r="B43" s="407" t="s">
        <v>263</v>
      </c>
      <c r="C43" s="408" t="s">
        <v>231</v>
      </c>
      <c r="D43" s="566"/>
      <c r="E43" s="566"/>
      <c r="F43" s="566"/>
      <c r="G43" s="566"/>
      <c r="H43" s="566"/>
      <c r="I43" s="567">
        <f t="shared" si="3"/>
        <v>23.988709999999998</v>
      </c>
      <c r="J43" s="567">
        <f>J42</f>
        <v>2.2087100000000004</v>
      </c>
      <c r="K43" s="567"/>
      <c r="L43" s="567">
        <f>19.22+2.56</f>
        <v>21.779999999999998</v>
      </c>
      <c r="M43" s="402">
        <f t="shared" si="9"/>
        <v>0</v>
      </c>
      <c r="N43" s="402">
        <f t="shared" si="10"/>
        <v>0</v>
      </c>
      <c r="O43" s="402">
        <f t="shared" si="11"/>
        <v>0</v>
      </c>
      <c r="P43" s="402">
        <f t="shared" si="12"/>
        <v>0</v>
      </c>
      <c r="Q43" s="402">
        <f t="shared" si="13"/>
        <v>0</v>
      </c>
      <c r="R43" s="409" t="s">
        <v>244</v>
      </c>
      <c r="S43" s="455">
        <f t="shared" si="20"/>
        <v>0</v>
      </c>
      <c r="T43" s="403">
        <f t="shared" si="20"/>
        <v>0</v>
      </c>
      <c r="U43" s="403">
        <f t="shared" si="20"/>
        <v>0</v>
      </c>
      <c r="V43" s="403">
        <f t="shared" si="20"/>
        <v>0</v>
      </c>
      <c r="W43" s="403">
        <f t="shared" si="20"/>
        <v>0</v>
      </c>
      <c r="X43" s="323"/>
      <c r="Y43" s="403">
        <f t="shared" si="21"/>
        <v>0</v>
      </c>
      <c r="Z43" s="403">
        <f t="shared" si="21"/>
        <v>0</v>
      </c>
      <c r="AA43" s="403">
        <f t="shared" si="21"/>
        <v>0</v>
      </c>
      <c r="AB43" s="403">
        <f t="shared" si="21"/>
        <v>0</v>
      </c>
      <c r="AC43" s="403">
        <f t="shared" si="21"/>
        <v>0</v>
      </c>
    </row>
    <row r="44" spans="1:29" ht="22.5">
      <c r="A44" s="689">
        <v>2</v>
      </c>
      <c r="B44" s="407" t="s">
        <v>264</v>
      </c>
      <c r="C44" s="408" t="s">
        <v>231</v>
      </c>
      <c r="D44" s="566"/>
      <c r="E44" s="566"/>
      <c r="F44" s="566"/>
      <c r="G44" s="566"/>
      <c r="H44" s="566"/>
      <c r="I44" s="567">
        <f t="shared" si="3"/>
        <v>32.799999999999997</v>
      </c>
      <c r="J44" s="567">
        <f>'附件4-8甲供材料清单'!K121</f>
        <v>8</v>
      </c>
      <c r="K44" s="567">
        <v>10</v>
      </c>
      <c r="L44" s="567">
        <v>24</v>
      </c>
      <c r="M44" s="402">
        <f t="shared" si="9"/>
        <v>0</v>
      </c>
      <c r="N44" s="402">
        <f t="shared" si="10"/>
        <v>0</v>
      </c>
      <c r="O44" s="402">
        <f t="shared" si="11"/>
        <v>0</v>
      </c>
      <c r="P44" s="402">
        <f t="shared" si="12"/>
        <v>0</v>
      </c>
      <c r="Q44" s="402">
        <f t="shared" si="13"/>
        <v>0</v>
      </c>
      <c r="R44" s="409" t="s">
        <v>244</v>
      </c>
      <c r="S44" s="455">
        <f t="shared" si="20"/>
        <v>0</v>
      </c>
      <c r="T44" s="403">
        <f t="shared" si="20"/>
        <v>0</v>
      </c>
      <c r="U44" s="403">
        <f t="shared" si="20"/>
        <v>0</v>
      </c>
      <c r="V44" s="403">
        <f t="shared" si="20"/>
        <v>0</v>
      </c>
      <c r="W44" s="403">
        <f t="shared" si="20"/>
        <v>0</v>
      </c>
      <c r="X44" s="323"/>
      <c r="Y44" s="403">
        <f t="shared" si="21"/>
        <v>0</v>
      </c>
      <c r="Z44" s="403">
        <f t="shared" si="21"/>
        <v>0</v>
      </c>
      <c r="AA44" s="403">
        <f t="shared" si="21"/>
        <v>0</v>
      </c>
      <c r="AB44" s="403">
        <f t="shared" si="21"/>
        <v>0</v>
      </c>
      <c r="AC44" s="403">
        <f t="shared" si="21"/>
        <v>0</v>
      </c>
    </row>
    <row r="45" spans="1:29" ht="22.5">
      <c r="A45" s="689" t="s">
        <v>233</v>
      </c>
      <c r="B45" s="407" t="s">
        <v>265</v>
      </c>
      <c r="C45" s="408" t="s">
        <v>235</v>
      </c>
      <c r="D45" s="566"/>
      <c r="E45" s="566"/>
      <c r="F45" s="566"/>
      <c r="G45" s="566"/>
      <c r="H45" s="566"/>
      <c r="I45" s="567">
        <f t="shared" si="3"/>
        <v>105.575</v>
      </c>
      <c r="J45" s="567">
        <v>65.25</v>
      </c>
      <c r="K45" s="567">
        <v>10</v>
      </c>
      <c r="L45" s="567">
        <v>33.799999999999997</v>
      </c>
      <c r="M45" s="402">
        <f t="shared" si="9"/>
        <v>0</v>
      </c>
      <c r="N45" s="402">
        <f t="shared" si="10"/>
        <v>0</v>
      </c>
      <c r="O45" s="402">
        <f t="shared" si="11"/>
        <v>0</v>
      </c>
      <c r="P45" s="402">
        <f t="shared" si="12"/>
        <v>0</v>
      </c>
      <c r="Q45" s="402">
        <f t="shared" si="13"/>
        <v>0</v>
      </c>
      <c r="R45" s="409" t="s">
        <v>266</v>
      </c>
      <c r="S45" s="455"/>
      <c r="T45" s="403"/>
      <c r="U45" s="403"/>
      <c r="V45" s="403"/>
      <c r="W45" s="403"/>
      <c r="X45" s="323"/>
      <c r="Y45" s="423"/>
      <c r="Z45" s="423"/>
      <c r="AA45" s="423"/>
      <c r="AB45" s="423"/>
      <c r="AC45" s="423"/>
    </row>
    <row r="46" spans="1:29" ht="22.5">
      <c r="A46" s="689" t="s">
        <v>267</v>
      </c>
      <c r="B46" s="407" t="s">
        <v>268</v>
      </c>
      <c r="C46" s="689" t="s">
        <v>235</v>
      </c>
      <c r="D46" s="566"/>
      <c r="E46" s="566"/>
      <c r="F46" s="566"/>
      <c r="G46" s="566"/>
      <c r="H46" s="566"/>
      <c r="I46" s="567">
        <f t="shared" si="3"/>
        <v>68.099999999999994</v>
      </c>
      <c r="J46" s="567">
        <v>42</v>
      </c>
      <c r="K46" s="567">
        <v>5</v>
      </c>
      <c r="L46" s="567">
        <v>24</v>
      </c>
      <c r="M46" s="402">
        <f t="shared" si="9"/>
        <v>0</v>
      </c>
      <c r="N46" s="402">
        <f t="shared" si="10"/>
        <v>0</v>
      </c>
      <c r="O46" s="402">
        <f t="shared" si="11"/>
        <v>0</v>
      </c>
      <c r="P46" s="402">
        <f t="shared" si="12"/>
        <v>0</v>
      </c>
      <c r="Q46" s="402">
        <f t="shared" si="13"/>
        <v>0</v>
      </c>
      <c r="R46" s="409" t="s">
        <v>244</v>
      </c>
      <c r="S46" s="455">
        <f t="shared" ref="S46:W52" si="22">M46</f>
        <v>0</v>
      </c>
      <c r="T46" s="403">
        <f t="shared" si="22"/>
        <v>0</v>
      </c>
      <c r="U46" s="403">
        <f t="shared" si="22"/>
        <v>0</v>
      </c>
      <c r="V46" s="403">
        <f t="shared" si="22"/>
        <v>0</v>
      </c>
      <c r="W46" s="403">
        <f t="shared" si="22"/>
        <v>0</v>
      </c>
      <c r="X46" s="323"/>
      <c r="Y46" s="403">
        <f t="shared" ref="Y46:AC52" si="23">D46*$J46*(1+$K46%)</f>
        <v>0</v>
      </c>
      <c r="Z46" s="403">
        <f t="shared" si="23"/>
        <v>0</v>
      </c>
      <c r="AA46" s="403">
        <f t="shared" si="23"/>
        <v>0</v>
      </c>
      <c r="AB46" s="403">
        <f t="shared" si="23"/>
        <v>0</v>
      </c>
      <c r="AC46" s="403">
        <f t="shared" si="23"/>
        <v>0</v>
      </c>
    </row>
    <row r="47" spans="1:29" ht="22.5">
      <c r="A47" s="689" t="s">
        <v>267</v>
      </c>
      <c r="B47" s="407" t="s">
        <v>269</v>
      </c>
      <c r="C47" s="689" t="s">
        <v>270</v>
      </c>
      <c r="D47" s="566"/>
      <c r="E47" s="566"/>
      <c r="F47" s="566"/>
      <c r="G47" s="566"/>
      <c r="H47" s="566"/>
      <c r="I47" s="567">
        <f t="shared" si="3"/>
        <v>34.659999999999997</v>
      </c>
      <c r="J47" s="567">
        <v>22</v>
      </c>
      <c r="K47" s="567">
        <v>3</v>
      </c>
      <c r="L47" s="567">
        <v>12</v>
      </c>
      <c r="M47" s="402">
        <f t="shared" si="9"/>
        <v>0</v>
      </c>
      <c r="N47" s="402">
        <f t="shared" si="10"/>
        <v>0</v>
      </c>
      <c r="O47" s="402">
        <f t="shared" si="11"/>
        <v>0</v>
      </c>
      <c r="P47" s="402">
        <f t="shared" si="12"/>
        <v>0</v>
      </c>
      <c r="Q47" s="402">
        <f t="shared" si="13"/>
        <v>0</v>
      </c>
      <c r="R47" s="409" t="s">
        <v>244</v>
      </c>
      <c r="S47" s="455">
        <f t="shared" si="22"/>
        <v>0</v>
      </c>
      <c r="T47" s="403">
        <f t="shared" si="22"/>
        <v>0</v>
      </c>
      <c r="U47" s="403">
        <f t="shared" si="22"/>
        <v>0</v>
      </c>
      <c r="V47" s="403">
        <f t="shared" si="22"/>
        <v>0</v>
      </c>
      <c r="W47" s="403">
        <f t="shared" si="22"/>
        <v>0</v>
      </c>
      <c r="X47" s="323"/>
      <c r="Y47" s="403">
        <f t="shared" si="23"/>
        <v>0</v>
      </c>
      <c r="Z47" s="403">
        <f t="shared" si="23"/>
        <v>0</v>
      </c>
      <c r="AA47" s="403">
        <f t="shared" si="23"/>
        <v>0</v>
      </c>
      <c r="AB47" s="403">
        <f t="shared" si="23"/>
        <v>0</v>
      </c>
      <c r="AC47" s="403">
        <f t="shared" si="23"/>
        <v>0</v>
      </c>
    </row>
    <row r="48" spans="1:29" ht="22.5">
      <c r="A48" s="689">
        <v>4</v>
      </c>
      <c r="B48" s="407" t="s">
        <v>271</v>
      </c>
      <c r="C48" s="408" t="s">
        <v>235</v>
      </c>
      <c r="D48" s="566">
        <f>'G单元 '!$T$18</f>
        <v>16.828000000000003</v>
      </c>
      <c r="E48" s="566">
        <f>J单元!$T$18</f>
        <v>26.744</v>
      </c>
      <c r="F48" s="566">
        <f>'K单元 '!T18</f>
        <v>26.672000000000001</v>
      </c>
      <c r="G48" s="566">
        <f>'A1单元 '!$T$18</f>
        <v>15.186</v>
      </c>
      <c r="H48" s="566">
        <f>'G单元 '!$T$18</f>
        <v>16.828000000000003</v>
      </c>
      <c r="I48" s="567">
        <f t="shared" si="3"/>
        <v>25.310000000000002</v>
      </c>
      <c r="J48" s="567">
        <f>'附件4-8甲供材料清单'!M11</f>
        <v>15</v>
      </c>
      <c r="K48" s="567">
        <v>5</v>
      </c>
      <c r="L48" s="567">
        <v>9.56</v>
      </c>
      <c r="M48" s="402">
        <f t="shared" si="9"/>
        <v>425.9166800000001</v>
      </c>
      <c r="N48" s="402">
        <f t="shared" si="10"/>
        <v>676.89064000000008</v>
      </c>
      <c r="O48" s="402">
        <f t="shared" si="11"/>
        <v>675.06832000000009</v>
      </c>
      <c r="P48" s="402">
        <f t="shared" si="12"/>
        <v>384.35766000000001</v>
      </c>
      <c r="Q48" s="402">
        <f t="shared" si="13"/>
        <v>425.9166800000001</v>
      </c>
      <c r="R48" s="409" t="s">
        <v>244</v>
      </c>
      <c r="S48" s="455">
        <f t="shared" si="22"/>
        <v>425.9166800000001</v>
      </c>
      <c r="T48" s="403">
        <f t="shared" si="22"/>
        <v>676.89064000000008</v>
      </c>
      <c r="U48" s="403">
        <f t="shared" si="22"/>
        <v>675.06832000000009</v>
      </c>
      <c r="V48" s="403">
        <f t="shared" si="22"/>
        <v>384.35766000000001</v>
      </c>
      <c r="W48" s="403">
        <f t="shared" si="22"/>
        <v>425.9166800000001</v>
      </c>
      <c r="X48" s="323"/>
      <c r="Y48" s="403">
        <f t="shared" si="23"/>
        <v>265.04100000000005</v>
      </c>
      <c r="Z48" s="403">
        <f t="shared" si="23"/>
        <v>421.21799999999996</v>
      </c>
      <c r="AA48" s="403">
        <f t="shared" si="23"/>
        <v>420.084</v>
      </c>
      <c r="AB48" s="403">
        <f t="shared" si="23"/>
        <v>239.17949999999999</v>
      </c>
      <c r="AC48" s="403">
        <f t="shared" si="23"/>
        <v>265.04100000000005</v>
      </c>
    </row>
    <row r="49" spans="1:29" ht="22.5">
      <c r="A49" s="689">
        <v>5</v>
      </c>
      <c r="B49" s="407" t="s">
        <v>272</v>
      </c>
      <c r="C49" s="408" t="s">
        <v>231</v>
      </c>
      <c r="D49" s="566">
        <f>'G单元 '!$U$36</f>
        <v>0</v>
      </c>
      <c r="E49" s="566">
        <f>J单元!$U$36</f>
        <v>0.14099999999999999</v>
      </c>
      <c r="F49" s="566">
        <f>'K单元 '!$U$36</f>
        <v>0.56040000000000001</v>
      </c>
      <c r="G49" s="566">
        <f>'A1单元 '!$U$36</f>
        <v>0</v>
      </c>
      <c r="H49" s="566">
        <f>'G单元 '!$U$36</f>
        <v>0</v>
      </c>
      <c r="I49" s="567">
        <f t="shared" si="3"/>
        <v>486.39</v>
      </c>
      <c r="J49" s="567">
        <f>'附件4-8甲供材料清单'!K156</f>
        <v>373</v>
      </c>
      <c r="K49" s="567">
        <v>3</v>
      </c>
      <c r="L49" s="567">
        <v>102.2</v>
      </c>
      <c r="M49" s="402">
        <f t="shared" si="9"/>
        <v>0</v>
      </c>
      <c r="N49" s="402">
        <f t="shared" si="10"/>
        <v>68.580989999999986</v>
      </c>
      <c r="O49" s="402">
        <f t="shared" si="11"/>
        <v>272.57295599999998</v>
      </c>
      <c r="P49" s="402">
        <f t="shared" si="12"/>
        <v>0</v>
      </c>
      <c r="Q49" s="402">
        <f t="shared" si="13"/>
        <v>0</v>
      </c>
      <c r="R49" s="409" t="s">
        <v>244</v>
      </c>
      <c r="S49" s="455">
        <f t="shared" si="22"/>
        <v>0</v>
      </c>
      <c r="T49" s="403">
        <f t="shared" si="22"/>
        <v>68.580989999999986</v>
      </c>
      <c r="U49" s="403">
        <f t="shared" si="22"/>
        <v>272.57295599999998</v>
      </c>
      <c r="V49" s="403">
        <f t="shared" si="22"/>
        <v>0</v>
      </c>
      <c r="W49" s="403">
        <f t="shared" si="22"/>
        <v>0</v>
      </c>
      <c r="X49" s="323"/>
      <c r="Y49" s="403">
        <f t="shared" si="23"/>
        <v>0</v>
      </c>
      <c r="Z49" s="403">
        <f t="shared" si="23"/>
        <v>54.170789999999997</v>
      </c>
      <c r="AA49" s="403">
        <f t="shared" si="23"/>
        <v>215.30007600000002</v>
      </c>
      <c r="AB49" s="403">
        <f t="shared" si="23"/>
        <v>0</v>
      </c>
      <c r="AC49" s="403">
        <f t="shared" si="23"/>
        <v>0</v>
      </c>
    </row>
    <row r="50" spans="1:29" ht="22.5">
      <c r="A50" s="689">
        <v>6</v>
      </c>
      <c r="B50" s="407" t="s">
        <v>273</v>
      </c>
      <c r="C50" s="408" t="s">
        <v>231</v>
      </c>
      <c r="D50" s="566"/>
      <c r="E50" s="566"/>
      <c r="F50" s="566"/>
      <c r="G50" s="566"/>
      <c r="H50" s="566"/>
      <c r="I50" s="567">
        <f t="shared" si="3"/>
        <v>463.71</v>
      </c>
      <c r="J50" s="567">
        <f>'附件4-8甲供材料清单'!K156</f>
        <v>373</v>
      </c>
      <c r="K50" s="567">
        <v>3</v>
      </c>
      <c r="L50" s="567">
        <v>79.52</v>
      </c>
      <c r="M50" s="402">
        <f t="shared" si="9"/>
        <v>0</v>
      </c>
      <c r="N50" s="402">
        <f t="shared" si="10"/>
        <v>0</v>
      </c>
      <c r="O50" s="402">
        <f t="shared" si="11"/>
        <v>0</v>
      </c>
      <c r="P50" s="402">
        <f t="shared" si="12"/>
        <v>0</v>
      </c>
      <c r="Q50" s="402">
        <f t="shared" si="13"/>
        <v>0</v>
      </c>
      <c r="R50" s="409" t="s">
        <v>244</v>
      </c>
      <c r="S50" s="455">
        <f t="shared" si="22"/>
        <v>0</v>
      </c>
      <c r="T50" s="403">
        <f t="shared" si="22"/>
        <v>0</v>
      </c>
      <c r="U50" s="403">
        <f t="shared" si="22"/>
        <v>0</v>
      </c>
      <c r="V50" s="403">
        <f t="shared" si="22"/>
        <v>0</v>
      </c>
      <c r="W50" s="403">
        <f t="shared" si="22"/>
        <v>0</v>
      </c>
      <c r="X50" s="323"/>
      <c r="Y50" s="403">
        <f t="shared" si="23"/>
        <v>0</v>
      </c>
      <c r="Z50" s="403">
        <f t="shared" si="23"/>
        <v>0</v>
      </c>
      <c r="AA50" s="403">
        <f t="shared" si="23"/>
        <v>0</v>
      </c>
      <c r="AB50" s="403">
        <f t="shared" si="23"/>
        <v>0</v>
      </c>
      <c r="AC50" s="403">
        <f t="shared" si="23"/>
        <v>0</v>
      </c>
    </row>
    <row r="51" spans="1:29" ht="22.5">
      <c r="A51" s="689">
        <v>7</v>
      </c>
      <c r="B51" s="407" t="s">
        <v>274</v>
      </c>
      <c r="C51" s="408" t="s">
        <v>235</v>
      </c>
      <c r="D51" s="566"/>
      <c r="E51" s="566"/>
      <c r="F51" s="566"/>
      <c r="G51" s="566"/>
      <c r="H51" s="566"/>
      <c r="I51" s="567">
        <f t="shared" si="3"/>
        <v>30</v>
      </c>
      <c r="J51" s="567">
        <f>'附件4-8甲供材料清单'!K157</f>
        <v>30</v>
      </c>
      <c r="K51" s="567"/>
      <c r="L51" s="567"/>
      <c r="M51" s="402">
        <f t="shared" si="9"/>
        <v>0</v>
      </c>
      <c r="N51" s="402">
        <f t="shared" si="10"/>
        <v>0</v>
      </c>
      <c r="O51" s="402">
        <f t="shared" si="11"/>
        <v>0</v>
      </c>
      <c r="P51" s="402">
        <f t="shared" si="12"/>
        <v>0</v>
      </c>
      <c r="Q51" s="402">
        <f t="shared" si="13"/>
        <v>0</v>
      </c>
      <c r="R51" s="409" t="s">
        <v>244</v>
      </c>
      <c r="S51" s="455">
        <f t="shared" si="22"/>
        <v>0</v>
      </c>
      <c r="T51" s="403">
        <f t="shared" si="22"/>
        <v>0</v>
      </c>
      <c r="U51" s="403">
        <f t="shared" si="22"/>
        <v>0</v>
      </c>
      <c r="V51" s="403">
        <f t="shared" si="22"/>
        <v>0</v>
      </c>
      <c r="W51" s="403">
        <f t="shared" si="22"/>
        <v>0</v>
      </c>
      <c r="X51" s="323"/>
      <c r="Y51" s="403">
        <f t="shared" si="23"/>
        <v>0</v>
      </c>
      <c r="Z51" s="403">
        <f t="shared" si="23"/>
        <v>0</v>
      </c>
      <c r="AA51" s="403">
        <f t="shared" si="23"/>
        <v>0</v>
      </c>
      <c r="AB51" s="403">
        <f t="shared" si="23"/>
        <v>0</v>
      </c>
      <c r="AC51" s="403">
        <f t="shared" si="23"/>
        <v>0</v>
      </c>
    </row>
    <row r="52" spans="1:29" ht="22.5">
      <c r="A52" s="689">
        <v>8</v>
      </c>
      <c r="B52" s="407" t="s">
        <v>275</v>
      </c>
      <c r="C52" s="408" t="s">
        <v>235</v>
      </c>
      <c r="D52" s="566"/>
      <c r="E52" s="566"/>
      <c r="F52" s="566"/>
      <c r="G52" s="566"/>
      <c r="H52" s="566"/>
      <c r="I52" s="567">
        <f t="shared" si="3"/>
        <v>193.86</v>
      </c>
      <c r="J52" s="567">
        <f>'附件4-8甲供材料清单'!K166</f>
        <v>162</v>
      </c>
      <c r="K52" s="567">
        <v>1</v>
      </c>
      <c r="L52" s="567">
        <v>30.24</v>
      </c>
      <c r="M52" s="402">
        <f t="shared" si="9"/>
        <v>0</v>
      </c>
      <c r="N52" s="402">
        <f t="shared" si="10"/>
        <v>0</v>
      </c>
      <c r="O52" s="402">
        <f t="shared" si="11"/>
        <v>0</v>
      </c>
      <c r="P52" s="402">
        <f t="shared" si="12"/>
        <v>0</v>
      </c>
      <c r="Q52" s="402">
        <f t="shared" si="13"/>
        <v>0</v>
      </c>
      <c r="R52" s="409" t="s">
        <v>244</v>
      </c>
      <c r="S52" s="455">
        <f t="shared" si="22"/>
        <v>0</v>
      </c>
      <c r="T52" s="403">
        <f t="shared" si="22"/>
        <v>0</v>
      </c>
      <c r="U52" s="403">
        <f t="shared" si="22"/>
        <v>0</v>
      </c>
      <c r="V52" s="403">
        <f t="shared" si="22"/>
        <v>0</v>
      </c>
      <c r="W52" s="403">
        <f t="shared" si="22"/>
        <v>0</v>
      </c>
      <c r="X52" s="323"/>
      <c r="Y52" s="403">
        <f t="shared" si="23"/>
        <v>0</v>
      </c>
      <c r="Z52" s="403">
        <f t="shared" si="23"/>
        <v>0</v>
      </c>
      <c r="AA52" s="403">
        <f t="shared" si="23"/>
        <v>0</v>
      </c>
      <c r="AB52" s="403">
        <f t="shared" si="23"/>
        <v>0</v>
      </c>
      <c r="AC52" s="403">
        <f t="shared" si="23"/>
        <v>0</v>
      </c>
    </row>
    <row r="53" spans="1:29">
      <c r="A53" s="689">
        <v>9</v>
      </c>
      <c r="B53" s="407" t="s">
        <v>276</v>
      </c>
      <c r="C53" s="412" t="s">
        <v>231</v>
      </c>
      <c r="D53" s="566"/>
      <c r="E53" s="566"/>
      <c r="F53" s="566"/>
      <c r="G53" s="566"/>
      <c r="H53" s="566"/>
      <c r="I53" s="567">
        <f t="shared" si="3"/>
        <v>358.84</v>
      </c>
      <c r="J53" s="567">
        <v>260</v>
      </c>
      <c r="K53" s="567">
        <v>2</v>
      </c>
      <c r="L53" s="567">
        <v>93.64</v>
      </c>
      <c r="M53" s="402">
        <f t="shared" si="9"/>
        <v>0</v>
      </c>
      <c r="N53" s="402">
        <f t="shared" si="10"/>
        <v>0</v>
      </c>
      <c r="O53" s="402">
        <f t="shared" si="11"/>
        <v>0</v>
      </c>
      <c r="P53" s="402">
        <f t="shared" si="12"/>
        <v>0</v>
      </c>
      <c r="Q53" s="402">
        <f t="shared" si="13"/>
        <v>0</v>
      </c>
      <c r="R53" s="409"/>
      <c r="S53" s="455"/>
      <c r="T53" s="403"/>
      <c r="U53" s="403"/>
      <c r="V53" s="403"/>
      <c r="W53" s="403"/>
      <c r="X53" s="323"/>
      <c r="Y53" s="403"/>
      <c r="Z53" s="403"/>
      <c r="AA53" s="403"/>
      <c r="AB53" s="403"/>
      <c r="AC53" s="403"/>
    </row>
    <row r="54" spans="1:29">
      <c r="A54" s="689" t="s">
        <v>278</v>
      </c>
      <c r="B54" s="407" t="s">
        <v>279</v>
      </c>
      <c r="C54" s="412"/>
      <c r="D54" s="566"/>
      <c r="E54" s="566"/>
      <c r="F54" s="566"/>
      <c r="G54" s="566"/>
      <c r="H54" s="566"/>
      <c r="I54" s="567"/>
      <c r="J54" s="567"/>
      <c r="K54" s="567"/>
      <c r="L54" s="567"/>
      <c r="M54" s="402"/>
      <c r="N54" s="402"/>
      <c r="O54" s="402"/>
      <c r="P54" s="402"/>
      <c r="Q54" s="402"/>
      <c r="R54" s="409"/>
      <c r="S54" s="455"/>
      <c r="T54" s="403"/>
      <c r="U54" s="403"/>
      <c r="V54" s="403"/>
      <c r="W54" s="403"/>
      <c r="X54" s="323"/>
      <c r="Y54" s="403"/>
      <c r="Z54" s="403"/>
      <c r="AA54" s="403"/>
      <c r="AB54" s="403"/>
      <c r="AC54" s="403"/>
    </row>
    <row r="55" spans="1:29" ht="22.5">
      <c r="A55" s="689" t="s">
        <v>278</v>
      </c>
      <c r="B55" s="414" t="s">
        <v>280</v>
      </c>
      <c r="C55" s="408" t="s">
        <v>231</v>
      </c>
      <c r="D55" s="566"/>
      <c r="E55" s="566"/>
      <c r="F55" s="566"/>
      <c r="G55" s="566"/>
      <c r="H55" s="566"/>
      <c r="I55" s="567">
        <f t="shared" ref="I55" si="24">J55+J55*K55%+L55</f>
        <v>1089.97</v>
      </c>
      <c r="J55" s="567">
        <f>'附件4-8甲供材料清单'!$K$158</f>
        <v>959</v>
      </c>
      <c r="K55" s="567">
        <v>3</v>
      </c>
      <c r="L55" s="567">
        <v>102.2</v>
      </c>
      <c r="M55" s="402">
        <f t="shared" ref="M55:Q57" si="25">D55*$I55</f>
        <v>0</v>
      </c>
      <c r="N55" s="402">
        <f t="shared" si="25"/>
        <v>0</v>
      </c>
      <c r="O55" s="402">
        <f t="shared" si="25"/>
        <v>0</v>
      </c>
      <c r="P55" s="402">
        <f t="shared" si="25"/>
        <v>0</v>
      </c>
      <c r="Q55" s="402">
        <f t="shared" si="25"/>
        <v>0</v>
      </c>
      <c r="R55" s="409" t="s">
        <v>244</v>
      </c>
      <c r="S55" s="455">
        <f t="shared" ref="S55:W57" si="26">M55</f>
        <v>0</v>
      </c>
      <c r="T55" s="403">
        <f t="shared" si="26"/>
        <v>0</v>
      </c>
      <c r="U55" s="403">
        <f t="shared" si="26"/>
        <v>0</v>
      </c>
      <c r="V55" s="403">
        <f t="shared" si="26"/>
        <v>0</v>
      </c>
      <c r="W55" s="403">
        <f t="shared" si="26"/>
        <v>0</v>
      </c>
      <c r="X55" s="323"/>
      <c r="Y55" s="403">
        <f t="shared" ref="Y55:AC57" si="27">D55*$J55*(1+$K55%)</f>
        <v>0</v>
      </c>
      <c r="Z55" s="403">
        <f t="shared" si="27"/>
        <v>0</v>
      </c>
      <c r="AA55" s="403">
        <f t="shared" si="27"/>
        <v>0</v>
      </c>
      <c r="AB55" s="403">
        <f t="shared" si="27"/>
        <v>0</v>
      </c>
      <c r="AC55" s="403">
        <f t="shared" si="27"/>
        <v>0</v>
      </c>
    </row>
    <row r="56" spans="1:29" ht="22.5">
      <c r="A56" s="689" t="s">
        <v>278</v>
      </c>
      <c r="B56" s="414" t="s">
        <v>281</v>
      </c>
      <c r="C56" s="408" t="s">
        <v>231</v>
      </c>
      <c r="D56" s="566"/>
      <c r="E56" s="566"/>
      <c r="F56" s="566"/>
      <c r="G56" s="566"/>
      <c r="H56" s="566"/>
      <c r="I56" s="567">
        <f>J56+J56*K56%+L56</f>
        <v>1067.29</v>
      </c>
      <c r="J56" s="567">
        <f>'附件4-8甲供材料清单'!$K$158</f>
        <v>959</v>
      </c>
      <c r="K56" s="567">
        <v>3</v>
      </c>
      <c r="L56" s="567">
        <v>79.52</v>
      </c>
      <c r="M56" s="402">
        <f t="shared" si="25"/>
        <v>0</v>
      </c>
      <c r="N56" s="402">
        <f t="shared" si="25"/>
        <v>0</v>
      </c>
      <c r="O56" s="402">
        <f t="shared" si="25"/>
        <v>0</v>
      </c>
      <c r="P56" s="402">
        <f t="shared" si="25"/>
        <v>0</v>
      </c>
      <c r="Q56" s="402">
        <f t="shared" si="25"/>
        <v>0</v>
      </c>
      <c r="R56" s="409" t="s">
        <v>244</v>
      </c>
      <c r="S56" s="455">
        <f t="shared" si="26"/>
        <v>0</v>
      </c>
      <c r="T56" s="403">
        <f t="shared" si="26"/>
        <v>0</v>
      </c>
      <c r="U56" s="403">
        <f t="shared" si="26"/>
        <v>0</v>
      </c>
      <c r="V56" s="403">
        <f t="shared" si="26"/>
        <v>0</v>
      </c>
      <c r="W56" s="403">
        <f t="shared" si="26"/>
        <v>0</v>
      </c>
      <c r="X56" s="323"/>
      <c r="Y56" s="403">
        <f t="shared" si="27"/>
        <v>0</v>
      </c>
      <c r="Z56" s="403">
        <f t="shared" si="27"/>
        <v>0</v>
      </c>
      <c r="AA56" s="403">
        <f t="shared" si="27"/>
        <v>0</v>
      </c>
      <c r="AB56" s="403">
        <f t="shared" si="27"/>
        <v>0</v>
      </c>
      <c r="AC56" s="403">
        <f t="shared" si="27"/>
        <v>0</v>
      </c>
    </row>
    <row r="57" spans="1:29" ht="22.5">
      <c r="A57" s="689" t="s">
        <v>278</v>
      </c>
      <c r="B57" s="414" t="s">
        <v>282</v>
      </c>
      <c r="C57" s="408" t="s">
        <v>235</v>
      </c>
      <c r="D57" s="566"/>
      <c r="E57" s="566"/>
      <c r="F57" s="566"/>
      <c r="G57" s="566"/>
      <c r="H57" s="566"/>
      <c r="I57" s="567">
        <f>J57+J57*K57%+L57</f>
        <v>44</v>
      </c>
      <c r="J57" s="567">
        <f>'附件4-8甲供材料清单'!$K$159</f>
        <v>44</v>
      </c>
      <c r="K57" s="567"/>
      <c r="L57" s="567"/>
      <c r="M57" s="402">
        <f t="shared" si="25"/>
        <v>0</v>
      </c>
      <c r="N57" s="402">
        <f t="shared" si="25"/>
        <v>0</v>
      </c>
      <c r="O57" s="402">
        <f t="shared" si="25"/>
        <v>0</v>
      </c>
      <c r="P57" s="402">
        <f t="shared" si="25"/>
        <v>0</v>
      </c>
      <c r="Q57" s="402">
        <f t="shared" si="25"/>
        <v>0</v>
      </c>
      <c r="R57" s="409" t="s">
        <v>244</v>
      </c>
      <c r="S57" s="455">
        <f t="shared" si="26"/>
        <v>0</v>
      </c>
      <c r="T57" s="403">
        <f t="shared" si="26"/>
        <v>0</v>
      </c>
      <c r="U57" s="403">
        <f t="shared" si="26"/>
        <v>0</v>
      </c>
      <c r="V57" s="403">
        <f t="shared" si="26"/>
        <v>0</v>
      </c>
      <c r="W57" s="403">
        <f t="shared" si="26"/>
        <v>0</v>
      </c>
      <c r="X57" s="323"/>
      <c r="Y57" s="403">
        <f t="shared" si="27"/>
        <v>0</v>
      </c>
      <c r="Z57" s="403">
        <f t="shared" si="27"/>
        <v>0</v>
      </c>
      <c r="AA57" s="403">
        <f t="shared" si="27"/>
        <v>0</v>
      </c>
      <c r="AB57" s="403">
        <f t="shared" si="27"/>
        <v>0</v>
      </c>
      <c r="AC57" s="403">
        <f t="shared" si="27"/>
        <v>0</v>
      </c>
    </row>
    <row r="58" spans="1:29" s="451" customFormat="1">
      <c r="A58" s="644" t="s">
        <v>60</v>
      </c>
      <c r="B58" s="636" t="s">
        <v>283</v>
      </c>
      <c r="C58" s="642"/>
      <c r="D58" s="647"/>
      <c r="E58" s="647"/>
      <c r="F58" s="647"/>
      <c r="G58" s="647"/>
      <c r="H58" s="647"/>
      <c r="I58" s="648"/>
      <c r="J58" s="648"/>
      <c r="K58" s="648"/>
      <c r="L58" s="648"/>
      <c r="M58" s="645"/>
      <c r="N58" s="645"/>
      <c r="O58" s="645"/>
      <c r="P58" s="645"/>
      <c r="Q58" s="645"/>
      <c r="R58" s="640" t="s">
        <v>1864</v>
      </c>
      <c r="S58" s="444"/>
      <c r="T58" s="437"/>
      <c r="U58" s="437"/>
      <c r="V58" s="437"/>
      <c r="W58" s="437"/>
      <c r="X58" s="362"/>
      <c r="Y58" s="437"/>
      <c r="Z58" s="437"/>
      <c r="AA58" s="437"/>
      <c r="AB58" s="437"/>
      <c r="AC58" s="437"/>
    </row>
    <row r="59" spans="1:29" s="451" customFormat="1">
      <c r="A59" s="635" t="s">
        <v>133</v>
      </c>
      <c r="B59" s="636" t="s">
        <v>229</v>
      </c>
      <c r="C59" s="642"/>
      <c r="D59" s="647"/>
      <c r="E59" s="647"/>
      <c r="F59" s="647"/>
      <c r="G59" s="647"/>
      <c r="H59" s="647"/>
      <c r="I59" s="648"/>
      <c r="J59" s="648"/>
      <c r="K59" s="648"/>
      <c r="L59" s="648"/>
      <c r="M59" s="645"/>
      <c r="N59" s="645"/>
      <c r="O59" s="645"/>
      <c r="P59" s="645"/>
      <c r="Q59" s="645"/>
      <c r="R59" s="640" t="s">
        <v>1864</v>
      </c>
      <c r="S59" s="444"/>
      <c r="T59" s="437"/>
      <c r="U59" s="437"/>
      <c r="V59" s="437"/>
      <c r="W59" s="437"/>
      <c r="X59" s="362"/>
      <c r="Y59" s="446"/>
      <c r="Z59" s="446"/>
      <c r="AA59" s="446"/>
      <c r="AB59" s="446"/>
      <c r="AC59" s="446"/>
    </row>
    <row r="60" spans="1:29" ht="22.5">
      <c r="A60" s="689">
        <v>1</v>
      </c>
      <c r="B60" s="407" t="s">
        <v>284</v>
      </c>
      <c r="C60" s="408" t="s">
        <v>231</v>
      </c>
      <c r="D60" s="566"/>
      <c r="E60" s="566"/>
      <c r="F60" s="566"/>
      <c r="G60" s="566"/>
      <c r="H60" s="566"/>
      <c r="I60" s="567">
        <f t="shared" ref="I60:I79" si="28">J60+J60*K60%+L60</f>
        <v>84.64</v>
      </c>
      <c r="J60" s="567">
        <v>20</v>
      </c>
      <c r="K60" s="567">
        <v>10</v>
      </c>
      <c r="L60" s="567">
        <v>62.64</v>
      </c>
      <c r="M60" s="402">
        <f t="shared" ref="M60:M79" si="29">D60*$I60</f>
        <v>0</v>
      </c>
      <c r="N60" s="402">
        <f t="shared" ref="N60:N79" si="30">E60*$I60</f>
        <v>0</v>
      </c>
      <c r="O60" s="402">
        <f t="shared" ref="O60:O79" si="31">F60*$I60</f>
        <v>0</v>
      </c>
      <c r="P60" s="402">
        <f t="shared" ref="P60:P79" si="32">G60*$I60</f>
        <v>0</v>
      </c>
      <c r="Q60" s="402">
        <f t="shared" ref="Q60:Q79" si="33">H60*$I60</f>
        <v>0</v>
      </c>
      <c r="R60" s="409"/>
      <c r="S60" s="455"/>
      <c r="T60" s="403"/>
      <c r="U60" s="403"/>
      <c r="V60" s="403"/>
      <c r="W60" s="403"/>
      <c r="X60" s="323"/>
      <c r="Y60" s="423"/>
      <c r="Z60" s="423"/>
      <c r="AA60" s="423"/>
      <c r="AB60" s="423"/>
      <c r="AC60" s="423"/>
    </row>
    <row r="61" spans="1:29">
      <c r="A61" s="689">
        <v>2</v>
      </c>
      <c r="B61" s="407" t="s">
        <v>240</v>
      </c>
      <c r="C61" s="408" t="s">
        <v>235</v>
      </c>
      <c r="D61" s="566"/>
      <c r="E61" s="566"/>
      <c r="F61" s="566"/>
      <c r="G61" s="566"/>
      <c r="H61" s="566"/>
      <c r="I61" s="567">
        <f t="shared" si="28"/>
        <v>12.025</v>
      </c>
      <c r="J61" s="567">
        <v>3.5</v>
      </c>
      <c r="K61" s="567">
        <v>9</v>
      </c>
      <c r="L61" s="567">
        <v>8.2100000000000009</v>
      </c>
      <c r="M61" s="402">
        <f t="shared" si="29"/>
        <v>0</v>
      </c>
      <c r="N61" s="402">
        <f t="shared" si="30"/>
        <v>0</v>
      </c>
      <c r="O61" s="402">
        <f t="shared" si="31"/>
        <v>0</v>
      </c>
      <c r="P61" s="402">
        <f t="shared" si="32"/>
        <v>0</v>
      </c>
      <c r="Q61" s="402">
        <f t="shared" si="33"/>
        <v>0</v>
      </c>
      <c r="R61" s="409"/>
      <c r="S61" s="455"/>
      <c r="T61" s="403"/>
      <c r="U61" s="403"/>
      <c r="V61" s="403"/>
      <c r="W61" s="403"/>
      <c r="X61" s="323"/>
      <c r="Y61" s="423"/>
      <c r="Z61" s="423"/>
      <c r="AA61" s="423"/>
      <c r="AB61" s="423"/>
      <c r="AC61" s="423"/>
    </row>
    <row r="62" spans="1:29">
      <c r="A62" s="689">
        <v>3</v>
      </c>
      <c r="B62" s="407" t="s">
        <v>285</v>
      </c>
      <c r="C62" s="408" t="s">
        <v>235</v>
      </c>
      <c r="D62" s="566">
        <f>'G单元 '!$D$24+'G单元 '!$D$29</f>
        <v>31.9</v>
      </c>
      <c r="E62" s="566">
        <f>J单元!$D$24+J单元!$D$29+J单元!$D$34</f>
        <v>47.09</v>
      </c>
      <c r="F62" s="566">
        <f>'K单元 '!$D$24+'K单元 '!$D$29+'K单元 '!$D$34</f>
        <v>38.43</v>
      </c>
      <c r="G62" s="566">
        <f>'A1单元 '!$D$24</f>
        <v>16.3</v>
      </c>
      <c r="H62" s="566">
        <f>'G单元 '!$D$24+'G单元 '!$D$29</f>
        <v>31.9</v>
      </c>
      <c r="I62" s="567">
        <f t="shared" si="28"/>
        <v>13.11</v>
      </c>
      <c r="J62" s="567">
        <v>4</v>
      </c>
      <c r="K62" s="567">
        <v>9</v>
      </c>
      <c r="L62" s="567">
        <v>8.75</v>
      </c>
      <c r="M62" s="402">
        <f t="shared" si="29"/>
        <v>418.20899999999995</v>
      </c>
      <c r="N62" s="402">
        <f t="shared" si="30"/>
        <v>617.34990000000005</v>
      </c>
      <c r="O62" s="402">
        <f t="shared" si="31"/>
        <v>503.81729999999999</v>
      </c>
      <c r="P62" s="402">
        <f t="shared" si="32"/>
        <v>213.69300000000001</v>
      </c>
      <c r="Q62" s="402">
        <f t="shared" si="33"/>
        <v>418.20899999999995</v>
      </c>
      <c r="R62" s="409"/>
      <c r="S62" s="455"/>
      <c r="T62" s="403"/>
      <c r="U62" s="403"/>
      <c r="V62" s="403"/>
      <c r="W62" s="403"/>
      <c r="X62" s="323"/>
      <c r="Y62" s="423"/>
      <c r="Z62" s="423"/>
      <c r="AA62" s="423"/>
      <c r="AB62" s="423"/>
      <c r="AC62" s="423"/>
    </row>
    <row r="63" spans="1:29" ht="33.75">
      <c r="A63" s="689">
        <v>4</v>
      </c>
      <c r="B63" s="407" t="s">
        <v>286</v>
      </c>
      <c r="C63" s="408" t="s">
        <v>231</v>
      </c>
      <c r="D63" s="566">
        <f>'G单元 '!$E$36+D62*0.1-(3.01+7.83)*0.1</f>
        <v>36.295999999999992</v>
      </c>
      <c r="E63" s="566">
        <f>J单元!$E$36+E62*0.1-(20.44+15.68+3.4)*0.1+1.25*0.15</f>
        <v>53.044499999999999</v>
      </c>
      <c r="F63" s="566">
        <f>'K单元 '!$E$36+F62*0.1-(14.21+5.48+3.48)*0.1+1.2*0.13</f>
        <v>45.782000000000011</v>
      </c>
      <c r="G63" s="566">
        <f>'A1单元 '!E36+'A1单元 '!D24*0.1-4.45*0.1</f>
        <v>18.334999999999997</v>
      </c>
      <c r="H63" s="566">
        <f>'G单元 '!$E$36+H62*0.1-(3.01+7.83)*0.1</f>
        <v>36.295999999999992</v>
      </c>
      <c r="I63" s="567">
        <f t="shared" si="28"/>
        <v>21.428709999999999</v>
      </c>
      <c r="J63" s="567">
        <f>'附件4-8甲供材料清单'!N123</f>
        <v>2.2087100000000004</v>
      </c>
      <c r="K63" s="567"/>
      <c r="L63" s="567">
        <v>19.22</v>
      </c>
      <c r="M63" s="402">
        <f t="shared" si="29"/>
        <v>777.77645815999983</v>
      </c>
      <c r="N63" s="402">
        <f t="shared" si="30"/>
        <v>1136.6752075949998</v>
      </c>
      <c r="O63" s="402">
        <f t="shared" si="31"/>
        <v>981.04920122000021</v>
      </c>
      <c r="P63" s="402">
        <f t="shared" si="32"/>
        <v>392.89539784999994</v>
      </c>
      <c r="Q63" s="402">
        <f t="shared" si="33"/>
        <v>777.77645815999983</v>
      </c>
      <c r="R63" s="409" t="s">
        <v>244</v>
      </c>
      <c r="S63" s="455">
        <f t="shared" ref="S63:W64" si="34">M63</f>
        <v>777.77645815999983</v>
      </c>
      <c r="T63" s="403">
        <f t="shared" si="34"/>
        <v>1136.6752075949998</v>
      </c>
      <c r="U63" s="403">
        <f t="shared" si="34"/>
        <v>981.04920122000021</v>
      </c>
      <c r="V63" s="403">
        <f t="shared" si="34"/>
        <v>392.89539784999994</v>
      </c>
      <c r="W63" s="403">
        <f t="shared" si="34"/>
        <v>777.77645815999983</v>
      </c>
      <c r="X63" s="323"/>
      <c r="Y63" s="403">
        <f t="shared" ref="Y63:AC64" si="35">D63*$J63*(1+$K63%)</f>
        <v>80.16733816</v>
      </c>
      <c r="Z63" s="403">
        <f t="shared" si="35"/>
        <v>117.15991759500002</v>
      </c>
      <c r="AA63" s="403">
        <f t="shared" si="35"/>
        <v>101.11916122000004</v>
      </c>
      <c r="AB63" s="403">
        <f t="shared" si="35"/>
        <v>40.496697850000004</v>
      </c>
      <c r="AC63" s="403">
        <f t="shared" si="35"/>
        <v>80.16733816</v>
      </c>
    </row>
    <row r="64" spans="1:29" ht="33.75">
      <c r="A64" s="689" t="s">
        <v>233</v>
      </c>
      <c r="B64" s="407" t="s">
        <v>287</v>
      </c>
      <c r="C64" s="408" t="s">
        <v>231</v>
      </c>
      <c r="D64" s="566"/>
      <c r="E64" s="566"/>
      <c r="F64" s="566"/>
      <c r="G64" s="566"/>
      <c r="H64" s="566"/>
      <c r="I64" s="567">
        <f t="shared" si="28"/>
        <v>23.988709999999998</v>
      </c>
      <c r="J64" s="567">
        <f>J63</f>
        <v>2.2087100000000004</v>
      </c>
      <c r="K64" s="567"/>
      <c r="L64" s="567">
        <f>2.56+19.22</f>
        <v>21.779999999999998</v>
      </c>
      <c r="M64" s="402">
        <f t="shared" si="29"/>
        <v>0</v>
      </c>
      <c r="N64" s="402">
        <f t="shared" si="30"/>
        <v>0</v>
      </c>
      <c r="O64" s="402">
        <f t="shared" si="31"/>
        <v>0</v>
      </c>
      <c r="P64" s="402">
        <f t="shared" si="32"/>
        <v>0</v>
      </c>
      <c r="Q64" s="402">
        <f t="shared" si="33"/>
        <v>0</v>
      </c>
      <c r="R64" s="409" t="s">
        <v>244</v>
      </c>
      <c r="S64" s="455">
        <f t="shared" si="34"/>
        <v>0</v>
      </c>
      <c r="T64" s="403">
        <f t="shared" si="34"/>
        <v>0</v>
      </c>
      <c r="U64" s="403">
        <f t="shared" si="34"/>
        <v>0</v>
      </c>
      <c r="V64" s="403">
        <f t="shared" si="34"/>
        <v>0</v>
      </c>
      <c r="W64" s="403">
        <f t="shared" si="34"/>
        <v>0</v>
      </c>
      <c r="X64" s="323"/>
      <c r="Y64" s="403">
        <f t="shared" si="35"/>
        <v>0</v>
      </c>
      <c r="Z64" s="403">
        <f t="shared" si="35"/>
        <v>0</v>
      </c>
      <c r="AA64" s="403">
        <f t="shared" si="35"/>
        <v>0</v>
      </c>
      <c r="AB64" s="403">
        <f t="shared" si="35"/>
        <v>0</v>
      </c>
      <c r="AC64" s="403">
        <f t="shared" si="35"/>
        <v>0</v>
      </c>
    </row>
    <row r="65" spans="1:29">
      <c r="A65" s="689">
        <v>5</v>
      </c>
      <c r="B65" s="407" t="s">
        <v>288</v>
      </c>
      <c r="C65" s="408" t="s">
        <v>235</v>
      </c>
      <c r="D65" s="566"/>
      <c r="E65" s="566"/>
      <c r="F65" s="566"/>
      <c r="G65" s="566"/>
      <c r="H65" s="566"/>
      <c r="I65" s="567">
        <f t="shared" si="28"/>
        <v>41.45</v>
      </c>
      <c r="J65" s="567">
        <v>30</v>
      </c>
      <c r="K65" s="567">
        <v>9</v>
      </c>
      <c r="L65" s="567">
        <v>8.75</v>
      </c>
      <c r="M65" s="402">
        <f t="shared" si="29"/>
        <v>0</v>
      </c>
      <c r="N65" s="402">
        <f t="shared" si="30"/>
        <v>0</v>
      </c>
      <c r="O65" s="402">
        <f t="shared" si="31"/>
        <v>0</v>
      </c>
      <c r="P65" s="402">
        <f t="shared" si="32"/>
        <v>0</v>
      </c>
      <c r="Q65" s="402">
        <f t="shared" si="33"/>
        <v>0</v>
      </c>
      <c r="R65" s="409"/>
      <c r="S65" s="455"/>
      <c r="T65" s="403"/>
      <c r="U65" s="403"/>
      <c r="V65" s="403"/>
      <c r="W65" s="403"/>
      <c r="X65" s="323"/>
      <c r="Y65" s="423"/>
      <c r="Z65" s="423"/>
      <c r="AA65" s="423"/>
      <c r="AB65" s="423"/>
      <c r="AC65" s="423"/>
    </row>
    <row r="66" spans="1:29">
      <c r="A66" s="689">
        <v>6</v>
      </c>
      <c r="B66" s="407" t="s">
        <v>289</v>
      </c>
      <c r="C66" s="408" t="s">
        <v>235</v>
      </c>
      <c r="D66" s="566"/>
      <c r="E66" s="566"/>
      <c r="F66" s="566"/>
      <c r="G66" s="566"/>
      <c r="H66" s="566"/>
      <c r="I66" s="567">
        <f t="shared" si="28"/>
        <v>22.925000000000001</v>
      </c>
      <c r="J66" s="567">
        <v>13.5</v>
      </c>
      <c r="K66" s="567">
        <v>9</v>
      </c>
      <c r="L66" s="567">
        <v>8.2100000000000009</v>
      </c>
      <c r="M66" s="402">
        <f t="shared" si="29"/>
        <v>0</v>
      </c>
      <c r="N66" s="402">
        <f t="shared" si="30"/>
        <v>0</v>
      </c>
      <c r="O66" s="402">
        <f t="shared" si="31"/>
        <v>0</v>
      </c>
      <c r="P66" s="402">
        <f t="shared" si="32"/>
        <v>0</v>
      </c>
      <c r="Q66" s="402">
        <f t="shared" si="33"/>
        <v>0</v>
      </c>
      <c r="R66" s="409"/>
      <c r="S66" s="455"/>
      <c r="T66" s="403"/>
      <c r="U66" s="403"/>
      <c r="V66" s="403"/>
      <c r="W66" s="403"/>
      <c r="X66" s="323"/>
      <c r="Y66" s="423"/>
      <c r="Z66" s="423"/>
      <c r="AA66" s="423"/>
      <c r="AB66" s="423"/>
      <c r="AC66" s="423"/>
    </row>
    <row r="67" spans="1:29">
      <c r="A67" s="635" t="s">
        <v>246</v>
      </c>
      <c r="B67" s="636" t="s">
        <v>247</v>
      </c>
      <c r="C67" s="641"/>
      <c r="D67" s="714"/>
      <c r="E67" s="714"/>
      <c r="F67" s="714"/>
      <c r="G67" s="714"/>
      <c r="H67" s="714"/>
      <c r="I67" s="713"/>
      <c r="J67" s="713"/>
      <c r="K67" s="713"/>
      <c r="L67" s="713"/>
      <c r="M67" s="639"/>
      <c r="N67" s="639"/>
      <c r="O67" s="639"/>
      <c r="P67" s="639"/>
      <c r="Q67" s="639"/>
      <c r="R67" s="640" t="s">
        <v>1864</v>
      </c>
      <c r="S67" s="455"/>
      <c r="T67" s="403"/>
      <c r="U67" s="403"/>
      <c r="V67" s="403"/>
      <c r="W67" s="403"/>
      <c r="X67" s="323"/>
      <c r="Y67" s="423"/>
      <c r="Z67" s="423"/>
      <c r="AA67" s="423"/>
      <c r="AB67" s="423"/>
      <c r="AC67" s="423"/>
    </row>
    <row r="68" spans="1:29">
      <c r="A68" s="689">
        <v>1</v>
      </c>
      <c r="B68" s="407" t="s">
        <v>290</v>
      </c>
      <c r="C68" s="689" t="s">
        <v>231</v>
      </c>
      <c r="D68" s="566">
        <f>'G单元 '!$E$36</f>
        <v>34.19</v>
      </c>
      <c r="E68" s="566">
        <f>J单元!$E$36</f>
        <v>52.099999999999994</v>
      </c>
      <c r="F68" s="566">
        <f>'K单元 '!$E$36</f>
        <v>44.100000000000009</v>
      </c>
      <c r="G68" s="566">
        <f>'A1单元 '!E36</f>
        <v>17.149999999999999</v>
      </c>
      <c r="H68" s="566">
        <f>'G单元 '!$E$36</f>
        <v>34.19</v>
      </c>
      <c r="I68" s="567">
        <f t="shared" si="28"/>
        <v>24.44</v>
      </c>
      <c r="J68" s="567"/>
      <c r="K68" s="567"/>
      <c r="L68" s="567">
        <v>24.44</v>
      </c>
      <c r="M68" s="402">
        <f t="shared" si="29"/>
        <v>835.60360000000003</v>
      </c>
      <c r="N68" s="402">
        <f t="shared" si="30"/>
        <v>1273.3239999999998</v>
      </c>
      <c r="O68" s="402">
        <f t="shared" si="31"/>
        <v>1077.8040000000003</v>
      </c>
      <c r="P68" s="402">
        <f t="shared" si="32"/>
        <v>419.14600000000002</v>
      </c>
      <c r="Q68" s="402">
        <f t="shared" si="33"/>
        <v>835.60360000000003</v>
      </c>
      <c r="R68" s="409"/>
      <c r="S68" s="455"/>
      <c r="T68" s="403"/>
      <c r="U68" s="403"/>
      <c r="V68" s="403"/>
      <c r="W68" s="403"/>
      <c r="X68" s="323"/>
      <c r="Y68" s="423"/>
      <c r="Z68" s="423"/>
      <c r="AA68" s="423"/>
      <c r="AB68" s="423"/>
      <c r="AC68" s="423"/>
    </row>
    <row r="69" spans="1:29" ht="33.75">
      <c r="A69" s="689">
        <v>2</v>
      </c>
      <c r="B69" s="407" t="s">
        <v>291</v>
      </c>
      <c r="C69" s="689" t="s">
        <v>231</v>
      </c>
      <c r="D69" s="566">
        <f t="shared" ref="D69" si="36">D68</f>
        <v>34.19</v>
      </c>
      <c r="E69" s="566">
        <f>E68</f>
        <v>52.099999999999994</v>
      </c>
      <c r="F69" s="566">
        <f>F68-1.46</f>
        <v>42.640000000000008</v>
      </c>
      <c r="G69" s="566">
        <f>G68</f>
        <v>17.149999999999999</v>
      </c>
      <c r="H69" s="566">
        <f t="shared" ref="H69" si="37">H68</f>
        <v>34.19</v>
      </c>
      <c r="I69" s="567">
        <f t="shared" si="28"/>
        <v>207.42</v>
      </c>
      <c r="J69" s="567">
        <f>'附件4-8甲供材料清单'!K21</f>
        <v>124</v>
      </c>
      <c r="K69" s="567">
        <v>5</v>
      </c>
      <c r="L69" s="567">
        <v>77.22</v>
      </c>
      <c r="M69" s="402">
        <f t="shared" si="29"/>
        <v>7091.6897999999992</v>
      </c>
      <c r="N69" s="402">
        <f t="shared" si="30"/>
        <v>10806.581999999999</v>
      </c>
      <c r="O69" s="402">
        <f t="shared" si="31"/>
        <v>8844.3888000000006</v>
      </c>
      <c r="P69" s="402">
        <f t="shared" si="32"/>
        <v>3557.2529999999997</v>
      </c>
      <c r="Q69" s="402">
        <f t="shared" si="33"/>
        <v>7091.6897999999992</v>
      </c>
      <c r="R69" s="409" t="s">
        <v>244</v>
      </c>
      <c r="S69" s="455">
        <f t="shared" ref="S69:W71" si="38">M69</f>
        <v>7091.6897999999992</v>
      </c>
      <c r="T69" s="403">
        <f t="shared" si="38"/>
        <v>10806.581999999999</v>
      </c>
      <c r="U69" s="403">
        <f t="shared" si="38"/>
        <v>8844.3888000000006</v>
      </c>
      <c r="V69" s="403">
        <f t="shared" si="38"/>
        <v>3557.2529999999997</v>
      </c>
      <c r="W69" s="403">
        <f t="shared" si="38"/>
        <v>7091.6897999999992</v>
      </c>
      <c r="X69" s="323"/>
      <c r="Y69" s="403">
        <f t="shared" ref="Y69:AC71" si="39">D69*$J69*(1+$K69%)</f>
        <v>4451.5379999999996</v>
      </c>
      <c r="Z69" s="403">
        <f t="shared" si="39"/>
        <v>6783.42</v>
      </c>
      <c r="AA69" s="403">
        <f t="shared" si="39"/>
        <v>5551.728000000001</v>
      </c>
      <c r="AB69" s="403">
        <f t="shared" si="39"/>
        <v>2232.9299999999998</v>
      </c>
      <c r="AC69" s="403">
        <f t="shared" si="39"/>
        <v>4451.5379999999996</v>
      </c>
    </row>
    <row r="70" spans="1:29" ht="22.5">
      <c r="A70" s="689">
        <v>3</v>
      </c>
      <c r="B70" s="407" t="s">
        <v>292</v>
      </c>
      <c r="C70" s="689" t="s">
        <v>231</v>
      </c>
      <c r="D70" s="566"/>
      <c r="E70" s="566"/>
      <c r="F70" s="566"/>
      <c r="G70" s="566"/>
      <c r="H70" s="566"/>
      <c r="I70" s="567">
        <f t="shared" si="28"/>
        <v>164.22</v>
      </c>
      <c r="J70" s="567">
        <f>'附件4-8甲供材料清单'!K22</f>
        <v>124</v>
      </c>
      <c r="K70" s="567">
        <v>5</v>
      </c>
      <c r="L70" s="567">
        <v>34.020000000000003</v>
      </c>
      <c r="M70" s="402">
        <f t="shared" si="29"/>
        <v>0</v>
      </c>
      <c r="N70" s="402">
        <f t="shared" si="30"/>
        <v>0</v>
      </c>
      <c r="O70" s="402">
        <f t="shared" si="31"/>
        <v>0</v>
      </c>
      <c r="P70" s="402">
        <f t="shared" si="32"/>
        <v>0</v>
      </c>
      <c r="Q70" s="402">
        <f t="shared" si="33"/>
        <v>0</v>
      </c>
      <c r="R70" s="409" t="s">
        <v>244</v>
      </c>
      <c r="S70" s="455">
        <f t="shared" si="38"/>
        <v>0</v>
      </c>
      <c r="T70" s="403">
        <f t="shared" si="38"/>
        <v>0</v>
      </c>
      <c r="U70" s="403">
        <f t="shared" si="38"/>
        <v>0</v>
      </c>
      <c r="V70" s="403">
        <f t="shared" si="38"/>
        <v>0</v>
      </c>
      <c r="W70" s="403">
        <f t="shared" si="38"/>
        <v>0</v>
      </c>
      <c r="X70" s="323"/>
      <c r="Y70" s="403">
        <f t="shared" si="39"/>
        <v>0</v>
      </c>
      <c r="Z70" s="403">
        <f t="shared" si="39"/>
        <v>0</v>
      </c>
      <c r="AA70" s="403">
        <f t="shared" si="39"/>
        <v>0</v>
      </c>
      <c r="AB70" s="403">
        <f t="shared" si="39"/>
        <v>0</v>
      </c>
      <c r="AC70" s="403">
        <f t="shared" si="39"/>
        <v>0</v>
      </c>
    </row>
    <row r="71" spans="1:29" ht="22.5">
      <c r="A71" s="689">
        <v>4</v>
      </c>
      <c r="B71" s="407" t="s">
        <v>293</v>
      </c>
      <c r="C71" s="689" t="s">
        <v>235</v>
      </c>
      <c r="D71" s="566">
        <f>'G单元 '!$T$36-1.8-0.65*2</f>
        <v>29.088000000000001</v>
      </c>
      <c r="E71" s="566">
        <f>J单元!$T$36-3.6-0.65*2</f>
        <v>43.094000000000001</v>
      </c>
      <c r="F71" s="566">
        <f>'K单元 '!$T$36-2.2-0.65*2</f>
        <v>42.975999999999999</v>
      </c>
      <c r="G71" s="566">
        <f>'A1单元 '!T36-3.8-0.65*2</f>
        <v>10.686</v>
      </c>
      <c r="H71" s="566">
        <f>'G单元 '!$T$36-1.8-0.65*2</f>
        <v>29.088000000000001</v>
      </c>
      <c r="I71" s="567">
        <f t="shared" si="28"/>
        <v>23.25</v>
      </c>
      <c r="J71" s="567">
        <f>'附件4-8甲供材料清单'!K23</f>
        <v>17</v>
      </c>
      <c r="K71" s="567">
        <v>5</v>
      </c>
      <c r="L71" s="567">
        <v>5.4</v>
      </c>
      <c r="M71" s="402">
        <f t="shared" si="29"/>
        <v>676.29600000000005</v>
      </c>
      <c r="N71" s="402">
        <f t="shared" si="30"/>
        <v>1001.9355</v>
      </c>
      <c r="O71" s="402">
        <f t="shared" si="31"/>
        <v>999.19200000000001</v>
      </c>
      <c r="P71" s="402">
        <f t="shared" si="32"/>
        <v>248.4495</v>
      </c>
      <c r="Q71" s="402">
        <f t="shared" si="33"/>
        <v>676.29600000000005</v>
      </c>
      <c r="R71" s="409" t="s">
        <v>244</v>
      </c>
      <c r="S71" s="455">
        <f t="shared" si="38"/>
        <v>676.29600000000005</v>
      </c>
      <c r="T71" s="403">
        <f t="shared" si="38"/>
        <v>1001.9355</v>
      </c>
      <c r="U71" s="403">
        <f t="shared" si="38"/>
        <v>999.19200000000001</v>
      </c>
      <c r="V71" s="403">
        <f t="shared" si="38"/>
        <v>248.4495</v>
      </c>
      <c r="W71" s="403">
        <f t="shared" si="38"/>
        <v>676.29600000000005</v>
      </c>
      <c r="X71" s="323"/>
      <c r="Y71" s="403">
        <f t="shared" si="39"/>
        <v>519.22080000000005</v>
      </c>
      <c r="Z71" s="403">
        <f t="shared" si="39"/>
        <v>769.22790000000009</v>
      </c>
      <c r="AA71" s="403">
        <f t="shared" si="39"/>
        <v>767.12160000000006</v>
      </c>
      <c r="AB71" s="403">
        <f t="shared" si="39"/>
        <v>190.74510000000001</v>
      </c>
      <c r="AC71" s="403">
        <f t="shared" si="39"/>
        <v>519.22080000000005</v>
      </c>
    </row>
    <row r="72" spans="1:29">
      <c r="A72" s="635" t="s">
        <v>136</v>
      </c>
      <c r="B72" s="636" t="s">
        <v>261</v>
      </c>
      <c r="C72" s="637"/>
      <c r="D72" s="714"/>
      <c r="E72" s="714"/>
      <c r="F72" s="714"/>
      <c r="G72" s="714"/>
      <c r="H72" s="714"/>
      <c r="I72" s="713"/>
      <c r="J72" s="713"/>
      <c r="K72" s="713"/>
      <c r="L72" s="713"/>
      <c r="M72" s="639"/>
      <c r="N72" s="639"/>
      <c r="O72" s="639"/>
      <c r="P72" s="639"/>
      <c r="Q72" s="639"/>
      <c r="R72" s="640" t="s">
        <v>1864</v>
      </c>
      <c r="S72" s="455"/>
      <c r="T72" s="403"/>
      <c r="U72" s="403"/>
      <c r="V72" s="403"/>
      <c r="W72" s="403"/>
      <c r="X72" s="323"/>
      <c r="Y72" s="423"/>
      <c r="Z72" s="423"/>
      <c r="AA72" s="423"/>
      <c r="AB72" s="423"/>
      <c r="AC72" s="423"/>
    </row>
    <row r="73" spans="1:29" ht="33.75">
      <c r="A73" s="689">
        <v>1</v>
      </c>
      <c r="B73" s="407" t="s">
        <v>294</v>
      </c>
      <c r="C73" s="689" t="s">
        <v>231</v>
      </c>
      <c r="D73" s="566">
        <f>'G单元 '!$S$36</f>
        <v>66.117705999999998</v>
      </c>
      <c r="E73" s="566">
        <f>J单元!$S$36</f>
        <v>101.14319799999998</v>
      </c>
      <c r="F73" s="566">
        <f>'K单元 '!$S$36</f>
        <v>107.23196200000001</v>
      </c>
      <c r="G73" s="566">
        <v>0</v>
      </c>
      <c r="H73" s="566">
        <f>'G单元 '!$S$36</f>
        <v>66.117705999999998</v>
      </c>
      <c r="I73" s="567">
        <f t="shared" si="28"/>
        <v>21.428709999999999</v>
      </c>
      <c r="J73" s="567">
        <f>'附件4-8甲供材料清单'!N125</f>
        <v>2.2087100000000004</v>
      </c>
      <c r="K73" s="567"/>
      <c r="L73" s="567">
        <v>19.22</v>
      </c>
      <c r="M73" s="402">
        <f t="shared" si="29"/>
        <v>1416.8171477392598</v>
      </c>
      <c r="N73" s="402">
        <f t="shared" si="30"/>
        <v>2167.3682584145795</v>
      </c>
      <c r="O73" s="402">
        <f t="shared" si="31"/>
        <v>2297.8426164290199</v>
      </c>
      <c r="P73" s="402">
        <f t="shared" si="32"/>
        <v>0</v>
      </c>
      <c r="Q73" s="402">
        <f t="shared" si="33"/>
        <v>1416.8171477392598</v>
      </c>
      <c r="R73" s="409" t="s">
        <v>244</v>
      </c>
      <c r="S73" s="455">
        <f t="shared" ref="S73:W78" si="40">M73</f>
        <v>1416.8171477392598</v>
      </c>
      <c r="T73" s="403">
        <f t="shared" si="40"/>
        <v>2167.3682584145795</v>
      </c>
      <c r="U73" s="403">
        <f t="shared" si="40"/>
        <v>2297.8426164290199</v>
      </c>
      <c r="V73" s="403">
        <f t="shared" si="40"/>
        <v>0</v>
      </c>
      <c r="W73" s="403">
        <f t="shared" si="40"/>
        <v>1416.8171477392598</v>
      </c>
      <c r="X73" s="323"/>
      <c r="Y73" s="403">
        <f t="shared" ref="Y73:AC78" si="41">D73*$J73*(1+$K73%)</f>
        <v>146.03483841926001</v>
      </c>
      <c r="Z73" s="403">
        <f t="shared" si="41"/>
        <v>223.39599285458002</v>
      </c>
      <c r="AA73" s="403">
        <f t="shared" si="41"/>
        <v>236.84430678902007</v>
      </c>
      <c r="AB73" s="403">
        <f t="shared" si="41"/>
        <v>0</v>
      </c>
      <c r="AC73" s="403">
        <f t="shared" si="41"/>
        <v>146.03483841926001</v>
      </c>
    </row>
    <row r="74" spans="1:29" ht="33.75">
      <c r="A74" s="689" t="s">
        <v>233</v>
      </c>
      <c r="B74" s="407" t="s">
        <v>295</v>
      </c>
      <c r="C74" s="689" t="s">
        <v>231</v>
      </c>
      <c r="D74" s="566"/>
      <c r="E74" s="566"/>
      <c r="F74" s="566"/>
      <c r="G74" s="566"/>
      <c r="H74" s="566"/>
      <c r="I74" s="567">
        <f t="shared" si="28"/>
        <v>23.988709999999998</v>
      </c>
      <c r="J74" s="567">
        <f>J73</f>
        <v>2.2087100000000004</v>
      </c>
      <c r="K74" s="567"/>
      <c r="L74" s="567">
        <f>2.56+19.22</f>
        <v>21.779999999999998</v>
      </c>
      <c r="M74" s="402">
        <f t="shared" si="29"/>
        <v>0</v>
      </c>
      <c r="N74" s="402">
        <f t="shared" si="30"/>
        <v>0</v>
      </c>
      <c r="O74" s="402">
        <f t="shared" si="31"/>
        <v>0</v>
      </c>
      <c r="P74" s="402">
        <f t="shared" si="32"/>
        <v>0</v>
      </c>
      <c r="Q74" s="402">
        <f t="shared" si="33"/>
        <v>0</v>
      </c>
      <c r="R74" s="409" t="s">
        <v>244</v>
      </c>
      <c r="S74" s="455">
        <f t="shared" si="40"/>
        <v>0</v>
      </c>
      <c r="T74" s="403">
        <f t="shared" si="40"/>
        <v>0</v>
      </c>
      <c r="U74" s="403">
        <f t="shared" si="40"/>
        <v>0</v>
      </c>
      <c r="V74" s="403">
        <f t="shared" si="40"/>
        <v>0</v>
      </c>
      <c r="W74" s="403">
        <f t="shared" si="40"/>
        <v>0</v>
      </c>
      <c r="X74" s="323"/>
      <c r="Y74" s="403">
        <f t="shared" si="41"/>
        <v>0</v>
      </c>
      <c r="Z74" s="403">
        <f t="shared" si="41"/>
        <v>0</v>
      </c>
      <c r="AA74" s="403">
        <f t="shared" si="41"/>
        <v>0</v>
      </c>
      <c r="AB74" s="403">
        <f t="shared" si="41"/>
        <v>0</v>
      </c>
      <c r="AC74" s="403">
        <f t="shared" si="41"/>
        <v>0</v>
      </c>
    </row>
    <row r="75" spans="1:29" ht="22.5">
      <c r="A75" s="689">
        <v>2</v>
      </c>
      <c r="B75" s="407" t="s">
        <v>273</v>
      </c>
      <c r="C75" s="689" t="s">
        <v>231</v>
      </c>
      <c r="D75" s="566"/>
      <c r="E75" s="566"/>
      <c r="F75" s="566"/>
      <c r="G75" s="566"/>
      <c r="H75" s="566"/>
      <c r="I75" s="567">
        <f t="shared" si="28"/>
        <v>463.71</v>
      </c>
      <c r="J75" s="567">
        <f>'附件4-8甲供材料清单'!K156</f>
        <v>373</v>
      </c>
      <c r="K75" s="567">
        <v>3</v>
      </c>
      <c r="L75" s="567">
        <v>79.52</v>
      </c>
      <c r="M75" s="402">
        <f t="shared" si="29"/>
        <v>0</v>
      </c>
      <c r="N75" s="402">
        <f t="shared" si="30"/>
        <v>0</v>
      </c>
      <c r="O75" s="402">
        <f t="shared" si="31"/>
        <v>0</v>
      </c>
      <c r="P75" s="402">
        <f t="shared" si="32"/>
        <v>0</v>
      </c>
      <c r="Q75" s="402">
        <f t="shared" si="33"/>
        <v>0</v>
      </c>
      <c r="R75" s="409" t="s">
        <v>244</v>
      </c>
      <c r="S75" s="455">
        <f t="shared" si="40"/>
        <v>0</v>
      </c>
      <c r="T75" s="403">
        <f t="shared" si="40"/>
        <v>0</v>
      </c>
      <c r="U75" s="403">
        <f t="shared" si="40"/>
        <v>0</v>
      </c>
      <c r="V75" s="403">
        <f t="shared" si="40"/>
        <v>0</v>
      </c>
      <c r="W75" s="403">
        <f t="shared" si="40"/>
        <v>0</v>
      </c>
      <c r="X75" s="323"/>
      <c r="Y75" s="403">
        <f t="shared" si="41"/>
        <v>0</v>
      </c>
      <c r="Z75" s="403">
        <f t="shared" si="41"/>
        <v>0</v>
      </c>
      <c r="AA75" s="403">
        <f t="shared" si="41"/>
        <v>0</v>
      </c>
      <c r="AB75" s="403">
        <f t="shared" si="41"/>
        <v>0</v>
      </c>
      <c r="AC75" s="403">
        <f t="shared" si="41"/>
        <v>0</v>
      </c>
    </row>
    <row r="76" spans="1:29" ht="22.5">
      <c r="A76" s="689">
        <v>3</v>
      </c>
      <c r="B76" s="407" t="s">
        <v>296</v>
      </c>
      <c r="C76" s="689" t="s">
        <v>231</v>
      </c>
      <c r="D76" s="566">
        <f>'G单元 '!$U$36</f>
        <v>0</v>
      </c>
      <c r="E76" s="566">
        <f>J单元!$U$36</f>
        <v>0.14099999999999999</v>
      </c>
      <c r="F76" s="566">
        <f>'K单元 '!$U$36</f>
        <v>0.56040000000000001</v>
      </c>
      <c r="G76" s="566">
        <f>'A1单元 '!$U$36</f>
        <v>0</v>
      </c>
      <c r="H76" s="566">
        <f>'G单元 '!$U$36</f>
        <v>0</v>
      </c>
      <c r="I76" s="567">
        <f t="shared" si="28"/>
        <v>486.39</v>
      </c>
      <c r="J76" s="567">
        <f>'附件4-8甲供材料清单'!K156</f>
        <v>373</v>
      </c>
      <c r="K76" s="567">
        <v>3</v>
      </c>
      <c r="L76" s="567">
        <v>102.2</v>
      </c>
      <c r="M76" s="402">
        <f t="shared" si="29"/>
        <v>0</v>
      </c>
      <c r="N76" s="402">
        <f t="shared" si="30"/>
        <v>68.580989999999986</v>
      </c>
      <c r="O76" s="402">
        <f t="shared" si="31"/>
        <v>272.57295599999998</v>
      </c>
      <c r="P76" s="402">
        <f t="shared" si="32"/>
        <v>0</v>
      </c>
      <c r="Q76" s="402">
        <f t="shared" si="33"/>
        <v>0</v>
      </c>
      <c r="R76" s="409" t="s">
        <v>244</v>
      </c>
      <c r="S76" s="455">
        <f t="shared" si="40"/>
        <v>0</v>
      </c>
      <c r="T76" s="403">
        <f t="shared" si="40"/>
        <v>68.580989999999986</v>
      </c>
      <c r="U76" s="403">
        <f t="shared" si="40"/>
        <v>272.57295599999998</v>
      </c>
      <c r="V76" s="403">
        <f t="shared" si="40"/>
        <v>0</v>
      </c>
      <c r="W76" s="403">
        <f t="shared" si="40"/>
        <v>0</v>
      </c>
      <c r="X76" s="323"/>
      <c r="Y76" s="403">
        <f t="shared" si="41"/>
        <v>0</v>
      </c>
      <c r="Z76" s="403">
        <f t="shared" si="41"/>
        <v>54.170789999999997</v>
      </c>
      <c r="AA76" s="403">
        <f t="shared" si="41"/>
        <v>215.30007600000002</v>
      </c>
      <c r="AB76" s="403">
        <f t="shared" si="41"/>
        <v>0</v>
      </c>
      <c r="AC76" s="403">
        <f t="shared" si="41"/>
        <v>0</v>
      </c>
    </row>
    <row r="77" spans="1:29" ht="22.5">
      <c r="A77" s="689">
        <v>4</v>
      </c>
      <c r="B77" s="407" t="s">
        <v>274</v>
      </c>
      <c r="C77" s="689" t="s">
        <v>235</v>
      </c>
      <c r="D77" s="566"/>
      <c r="E77" s="566"/>
      <c r="F77" s="566"/>
      <c r="G77" s="566"/>
      <c r="H77" s="566"/>
      <c r="I77" s="567">
        <f t="shared" si="28"/>
        <v>30</v>
      </c>
      <c r="J77" s="567">
        <f>'附件4-8甲供材料清单'!K157</f>
        <v>30</v>
      </c>
      <c r="K77" s="567"/>
      <c r="L77" s="567"/>
      <c r="M77" s="402">
        <f t="shared" si="29"/>
        <v>0</v>
      </c>
      <c r="N77" s="402">
        <f t="shared" si="30"/>
        <v>0</v>
      </c>
      <c r="O77" s="402">
        <f t="shared" si="31"/>
        <v>0</v>
      </c>
      <c r="P77" s="402">
        <f t="shared" si="32"/>
        <v>0</v>
      </c>
      <c r="Q77" s="402">
        <f t="shared" si="33"/>
        <v>0</v>
      </c>
      <c r="R77" s="409" t="s">
        <v>244</v>
      </c>
      <c r="S77" s="455">
        <f t="shared" si="40"/>
        <v>0</v>
      </c>
      <c r="T77" s="403">
        <f t="shared" si="40"/>
        <v>0</v>
      </c>
      <c r="U77" s="403">
        <f t="shared" si="40"/>
        <v>0</v>
      </c>
      <c r="V77" s="403">
        <f t="shared" si="40"/>
        <v>0</v>
      </c>
      <c r="W77" s="403">
        <f t="shared" si="40"/>
        <v>0</v>
      </c>
      <c r="X77" s="323"/>
      <c r="Y77" s="403">
        <f t="shared" si="41"/>
        <v>0</v>
      </c>
      <c r="Z77" s="403">
        <f t="shared" si="41"/>
        <v>0</v>
      </c>
      <c r="AA77" s="403">
        <f t="shared" si="41"/>
        <v>0</v>
      </c>
      <c r="AB77" s="403">
        <f t="shared" si="41"/>
        <v>0</v>
      </c>
      <c r="AC77" s="403">
        <f t="shared" si="41"/>
        <v>0</v>
      </c>
    </row>
    <row r="78" spans="1:29" ht="22.5">
      <c r="A78" s="689">
        <v>5</v>
      </c>
      <c r="B78" s="407" t="s">
        <v>275</v>
      </c>
      <c r="C78" s="689" t="s">
        <v>235</v>
      </c>
      <c r="D78" s="566"/>
      <c r="E78" s="566"/>
      <c r="F78" s="566"/>
      <c r="G78" s="566"/>
      <c r="H78" s="566"/>
      <c r="I78" s="567">
        <f t="shared" si="28"/>
        <v>193.86</v>
      </c>
      <c r="J78" s="567">
        <f>'附件4-8甲供材料清单'!K166</f>
        <v>162</v>
      </c>
      <c r="K78" s="567">
        <v>1</v>
      </c>
      <c r="L78" s="567">
        <v>30.24</v>
      </c>
      <c r="M78" s="402">
        <f t="shared" si="29"/>
        <v>0</v>
      </c>
      <c r="N78" s="402">
        <f t="shared" si="30"/>
        <v>0</v>
      </c>
      <c r="O78" s="402">
        <f t="shared" si="31"/>
        <v>0</v>
      </c>
      <c r="P78" s="402">
        <f t="shared" si="32"/>
        <v>0</v>
      </c>
      <c r="Q78" s="402">
        <f t="shared" si="33"/>
        <v>0</v>
      </c>
      <c r="R78" s="409" t="s">
        <v>244</v>
      </c>
      <c r="S78" s="455">
        <f t="shared" si="40"/>
        <v>0</v>
      </c>
      <c r="T78" s="403">
        <f t="shared" si="40"/>
        <v>0</v>
      </c>
      <c r="U78" s="403">
        <f t="shared" si="40"/>
        <v>0</v>
      </c>
      <c r="V78" s="403">
        <f t="shared" si="40"/>
        <v>0</v>
      </c>
      <c r="W78" s="403">
        <f t="shared" si="40"/>
        <v>0</v>
      </c>
      <c r="X78" s="323"/>
      <c r="Y78" s="403">
        <f t="shared" si="41"/>
        <v>0</v>
      </c>
      <c r="Z78" s="403">
        <f t="shared" si="41"/>
        <v>0</v>
      </c>
      <c r="AA78" s="403">
        <f t="shared" si="41"/>
        <v>0</v>
      </c>
      <c r="AB78" s="403">
        <f t="shared" si="41"/>
        <v>0</v>
      </c>
      <c r="AC78" s="403">
        <f t="shared" si="41"/>
        <v>0</v>
      </c>
    </row>
    <row r="79" spans="1:29" ht="180">
      <c r="A79" s="689" t="s">
        <v>278</v>
      </c>
      <c r="B79" s="407" t="s">
        <v>298</v>
      </c>
      <c r="C79" s="408" t="s">
        <v>235</v>
      </c>
      <c r="D79" s="566"/>
      <c r="E79" s="566"/>
      <c r="F79" s="566"/>
      <c r="G79" s="566"/>
      <c r="H79" s="566"/>
      <c r="I79" s="567">
        <f t="shared" si="28"/>
        <v>54.999200000000002</v>
      </c>
      <c r="J79" s="567">
        <v>38.64</v>
      </c>
      <c r="K79" s="567">
        <v>3</v>
      </c>
      <c r="L79" s="567">
        <v>15.2</v>
      </c>
      <c r="M79" s="402">
        <f t="shared" si="29"/>
        <v>0</v>
      </c>
      <c r="N79" s="402">
        <f t="shared" si="30"/>
        <v>0</v>
      </c>
      <c r="O79" s="402">
        <f t="shared" si="31"/>
        <v>0</v>
      </c>
      <c r="P79" s="402">
        <f t="shared" si="32"/>
        <v>0</v>
      </c>
      <c r="Q79" s="402">
        <f t="shared" si="33"/>
        <v>0</v>
      </c>
      <c r="R79" s="409"/>
      <c r="S79" s="455"/>
      <c r="T79" s="403"/>
      <c r="U79" s="403"/>
      <c r="V79" s="403"/>
      <c r="W79" s="403"/>
      <c r="X79" s="323"/>
      <c r="Y79" s="423"/>
      <c r="Z79" s="423"/>
      <c r="AA79" s="423"/>
      <c r="AB79" s="423"/>
      <c r="AC79" s="423"/>
    </row>
    <row r="80" spans="1:29">
      <c r="A80" s="689" t="s">
        <v>278</v>
      </c>
      <c r="B80" s="407" t="s">
        <v>279</v>
      </c>
      <c r="C80" s="412"/>
      <c r="D80" s="566"/>
      <c r="E80" s="566"/>
      <c r="F80" s="566"/>
      <c r="G80" s="566"/>
      <c r="H80" s="566"/>
      <c r="I80" s="567"/>
      <c r="J80" s="567"/>
      <c r="K80" s="567"/>
      <c r="L80" s="567"/>
      <c r="M80" s="402"/>
      <c r="N80" s="402"/>
      <c r="O80" s="402"/>
      <c r="P80" s="402"/>
      <c r="Q80" s="402"/>
      <c r="R80" s="409"/>
      <c r="S80" s="455"/>
      <c r="T80" s="403"/>
      <c r="U80" s="403"/>
      <c r="V80" s="403"/>
      <c r="W80" s="403"/>
      <c r="X80" s="323"/>
      <c r="Y80" s="403"/>
      <c r="Z80" s="403"/>
      <c r="AA80" s="403"/>
      <c r="AB80" s="403"/>
      <c r="AC80" s="403"/>
    </row>
    <row r="81" spans="1:29" ht="22.5">
      <c r="A81" s="689" t="s">
        <v>278</v>
      </c>
      <c r="B81" s="414" t="s">
        <v>280</v>
      </c>
      <c r="C81" s="408" t="s">
        <v>231</v>
      </c>
      <c r="D81" s="566"/>
      <c r="E81" s="566"/>
      <c r="F81" s="566"/>
      <c r="G81" s="566"/>
      <c r="H81" s="566"/>
      <c r="I81" s="567">
        <f t="shared" ref="I81" si="42">J81+J81*K81%+L81</f>
        <v>1089.97</v>
      </c>
      <c r="J81" s="567">
        <f>'附件4-8甲供材料清单'!$K$158</f>
        <v>959</v>
      </c>
      <c r="K81" s="567">
        <v>3</v>
      </c>
      <c r="L81" s="567">
        <v>102.2</v>
      </c>
      <c r="M81" s="402">
        <f t="shared" ref="M81:M122" si="43">D81*$I81</f>
        <v>0</v>
      </c>
      <c r="N81" s="402">
        <f t="shared" ref="N81:N122" si="44">E81*$I81</f>
        <v>0</v>
      </c>
      <c r="O81" s="402">
        <f t="shared" ref="O81:O122" si="45">F81*$I81</f>
        <v>0</v>
      </c>
      <c r="P81" s="402">
        <f t="shared" ref="P81:P122" si="46">G81*$I81</f>
        <v>0</v>
      </c>
      <c r="Q81" s="402">
        <f t="shared" ref="Q81:Q122" si="47">H81*$I81</f>
        <v>0</v>
      </c>
      <c r="R81" s="409" t="s">
        <v>244</v>
      </c>
      <c r="S81" s="455">
        <f t="shared" ref="S81:W83" si="48">M81</f>
        <v>0</v>
      </c>
      <c r="T81" s="403">
        <f t="shared" si="48"/>
        <v>0</v>
      </c>
      <c r="U81" s="403">
        <f t="shared" si="48"/>
        <v>0</v>
      </c>
      <c r="V81" s="403">
        <f t="shared" si="48"/>
        <v>0</v>
      </c>
      <c r="W81" s="403">
        <f t="shared" si="48"/>
        <v>0</v>
      </c>
      <c r="X81" s="323"/>
      <c r="Y81" s="403">
        <f t="shared" ref="Y81:AC83" si="49">D81*$J81*(1+$K81%)</f>
        <v>0</v>
      </c>
      <c r="Z81" s="403">
        <f t="shared" si="49"/>
        <v>0</v>
      </c>
      <c r="AA81" s="403">
        <f t="shared" si="49"/>
        <v>0</v>
      </c>
      <c r="AB81" s="403">
        <f t="shared" si="49"/>
        <v>0</v>
      </c>
      <c r="AC81" s="403">
        <f t="shared" si="49"/>
        <v>0</v>
      </c>
    </row>
    <row r="82" spans="1:29" ht="22.5">
      <c r="A82" s="689" t="s">
        <v>278</v>
      </c>
      <c r="B82" s="414" t="s">
        <v>281</v>
      </c>
      <c r="C82" s="408" t="s">
        <v>231</v>
      </c>
      <c r="D82" s="566"/>
      <c r="E82" s="566"/>
      <c r="F82" s="566"/>
      <c r="G82" s="566"/>
      <c r="H82" s="566"/>
      <c r="I82" s="567">
        <f t="shared" ref="I82:I94" si="50">J82+J82*K82%+L82</f>
        <v>1067.29</v>
      </c>
      <c r="J82" s="567">
        <f>'附件4-8甲供材料清单'!$K$158</f>
        <v>959</v>
      </c>
      <c r="K82" s="567">
        <v>3</v>
      </c>
      <c r="L82" s="567">
        <v>79.52</v>
      </c>
      <c r="M82" s="402">
        <f t="shared" si="43"/>
        <v>0</v>
      </c>
      <c r="N82" s="402">
        <f t="shared" si="44"/>
        <v>0</v>
      </c>
      <c r="O82" s="402">
        <f t="shared" si="45"/>
        <v>0</v>
      </c>
      <c r="P82" s="402">
        <f t="shared" si="46"/>
        <v>0</v>
      </c>
      <c r="Q82" s="402">
        <f t="shared" si="47"/>
        <v>0</v>
      </c>
      <c r="R82" s="409" t="s">
        <v>244</v>
      </c>
      <c r="S82" s="455">
        <f t="shared" si="48"/>
        <v>0</v>
      </c>
      <c r="T82" s="403">
        <f t="shared" si="48"/>
        <v>0</v>
      </c>
      <c r="U82" s="403">
        <f t="shared" si="48"/>
        <v>0</v>
      </c>
      <c r="V82" s="403">
        <f t="shared" si="48"/>
        <v>0</v>
      </c>
      <c r="W82" s="403">
        <f t="shared" si="48"/>
        <v>0</v>
      </c>
      <c r="X82" s="323"/>
      <c r="Y82" s="403">
        <f t="shared" si="49"/>
        <v>0</v>
      </c>
      <c r="Z82" s="403">
        <f t="shared" si="49"/>
        <v>0</v>
      </c>
      <c r="AA82" s="403">
        <f t="shared" si="49"/>
        <v>0</v>
      </c>
      <c r="AB82" s="403">
        <f t="shared" si="49"/>
        <v>0</v>
      </c>
      <c r="AC82" s="403">
        <f t="shared" si="49"/>
        <v>0</v>
      </c>
    </row>
    <row r="83" spans="1:29" ht="22.5">
      <c r="A83" s="689" t="s">
        <v>278</v>
      </c>
      <c r="B83" s="414" t="s">
        <v>282</v>
      </c>
      <c r="C83" s="408" t="s">
        <v>235</v>
      </c>
      <c r="D83" s="566"/>
      <c r="E83" s="566"/>
      <c r="F83" s="566"/>
      <c r="G83" s="566"/>
      <c r="H83" s="566"/>
      <c r="I83" s="567">
        <f t="shared" si="50"/>
        <v>44</v>
      </c>
      <c r="J83" s="567">
        <f>'附件4-8甲供材料清单'!$K$159</f>
        <v>44</v>
      </c>
      <c r="K83" s="567"/>
      <c r="L83" s="567"/>
      <c r="M83" s="402">
        <f t="shared" si="43"/>
        <v>0</v>
      </c>
      <c r="N83" s="402">
        <f t="shared" si="44"/>
        <v>0</v>
      </c>
      <c r="O83" s="402">
        <f t="shared" si="45"/>
        <v>0</v>
      </c>
      <c r="P83" s="402">
        <f t="shared" si="46"/>
        <v>0</v>
      </c>
      <c r="Q83" s="402">
        <f t="shared" si="47"/>
        <v>0</v>
      </c>
      <c r="R83" s="409" t="s">
        <v>244</v>
      </c>
      <c r="S83" s="455">
        <f t="shared" si="48"/>
        <v>0</v>
      </c>
      <c r="T83" s="403">
        <f t="shared" si="48"/>
        <v>0</v>
      </c>
      <c r="U83" s="403">
        <f t="shared" si="48"/>
        <v>0</v>
      </c>
      <c r="V83" s="403">
        <f t="shared" si="48"/>
        <v>0</v>
      </c>
      <c r="W83" s="403">
        <f t="shared" si="48"/>
        <v>0</v>
      </c>
      <c r="X83" s="323"/>
      <c r="Y83" s="403">
        <f t="shared" si="49"/>
        <v>0</v>
      </c>
      <c r="Z83" s="403">
        <f t="shared" si="49"/>
        <v>0</v>
      </c>
      <c r="AA83" s="403">
        <f t="shared" si="49"/>
        <v>0</v>
      </c>
      <c r="AB83" s="403">
        <f t="shared" si="49"/>
        <v>0</v>
      </c>
      <c r="AC83" s="403">
        <f t="shared" si="49"/>
        <v>0</v>
      </c>
    </row>
    <row r="84" spans="1:29">
      <c r="A84" s="635" t="s">
        <v>62</v>
      </c>
      <c r="B84" s="636" t="s">
        <v>299</v>
      </c>
      <c r="C84" s="637"/>
      <c r="D84" s="714"/>
      <c r="E84" s="714"/>
      <c r="F84" s="714"/>
      <c r="G84" s="714"/>
      <c r="H84" s="714"/>
      <c r="I84" s="713"/>
      <c r="J84" s="713"/>
      <c r="K84" s="713"/>
      <c r="L84" s="713"/>
      <c r="M84" s="639"/>
      <c r="N84" s="639"/>
      <c r="O84" s="639"/>
      <c r="P84" s="639"/>
      <c r="Q84" s="639"/>
      <c r="R84" s="640" t="s">
        <v>1864</v>
      </c>
      <c r="S84" s="455"/>
      <c r="T84" s="403"/>
      <c r="U84" s="403"/>
      <c r="V84" s="403"/>
      <c r="W84" s="403"/>
      <c r="X84" s="323"/>
      <c r="Y84" s="423"/>
      <c r="Z84" s="423"/>
      <c r="AA84" s="423"/>
      <c r="AB84" s="423"/>
      <c r="AC84" s="423"/>
    </row>
    <row r="85" spans="1:29">
      <c r="A85" s="635" t="s">
        <v>133</v>
      </c>
      <c r="B85" s="636" t="s">
        <v>229</v>
      </c>
      <c r="C85" s="637"/>
      <c r="D85" s="714"/>
      <c r="E85" s="714"/>
      <c r="F85" s="714"/>
      <c r="G85" s="714"/>
      <c r="H85" s="714"/>
      <c r="I85" s="713"/>
      <c r="J85" s="713"/>
      <c r="K85" s="713"/>
      <c r="L85" s="713"/>
      <c r="M85" s="639"/>
      <c r="N85" s="639"/>
      <c r="O85" s="639"/>
      <c r="P85" s="639"/>
      <c r="Q85" s="639"/>
      <c r="R85" s="640" t="s">
        <v>1864</v>
      </c>
      <c r="S85" s="455"/>
      <c r="T85" s="403"/>
      <c r="U85" s="403"/>
      <c r="V85" s="403"/>
      <c r="W85" s="403"/>
      <c r="X85" s="323"/>
      <c r="Y85" s="423"/>
      <c r="Z85" s="423"/>
      <c r="AA85" s="423"/>
      <c r="AB85" s="423"/>
      <c r="AC85" s="423"/>
    </row>
    <row r="86" spans="1:29" ht="33.75">
      <c r="A86" s="689">
        <v>1</v>
      </c>
      <c r="B86" s="407" t="s">
        <v>300</v>
      </c>
      <c r="C86" s="689" t="s">
        <v>231</v>
      </c>
      <c r="D86" s="566">
        <f t="shared" ref="D86" si="51">D91</f>
        <v>8.870000000000001</v>
      </c>
      <c r="E86" s="566">
        <f>E91</f>
        <v>9.5399999999999991</v>
      </c>
      <c r="F86" s="566">
        <f>F91</f>
        <v>12.559999999999999</v>
      </c>
      <c r="G86" s="566">
        <f>G91</f>
        <v>4.22</v>
      </c>
      <c r="H86" s="566">
        <f t="shared" ref="H86" si="52">H91</f>
        <v>8.870000000000001</v>
      </c>
      <c r="I86" s="567">
        <f t="shared" si="50"/>
        <v>100.70204081632653</v>
      </c>
      <c r="J86" s="567">
        <f>'附件4-8甲供材料清单'!M130</f>
        <v>55.183673469387763</v>
      </c>
      <c r="K86" s="567">
        <v>10</v>
      </c>
      <c r="L86" s="567">
        <v>40</v>
      </c>
      <c r="M86" s="402">
        <f t="shared" si="43"/>
        <v>893.22710204081648</v>
      </c>
      <c r="N86" s="402">
        <f t="shared" si="44"/>
        <v>960.69746938775506</v>
      </c>
      <c r="O86" s="402">
        <f t="shared" si="45"/>
        <v>1264.8176326530611</v>
      </c>
      <c r="P86" s="402">
        <f t="shared" si="46"/>
        <v>424.96261224489791</v>
      </c>
      <c r="Q86" s="402">
        <f t="shared" si="47"/>
        <v>893.22710204081648</v>
      </c>
      <c r="R86" s="409" t="s">
        <v>244</v>
      </c>
      <c r="S86" s="455">
        <f>M86</f>
        <v>893.22710204081648</v>
      </c>
      <c r="T86" s="403">
        <f>N86</f>
        <v>960.69746938775506</v>
      </c>
      <c r="U86" s="403">
        <f>O86</f>
        <v>1264.8176326530611</v>
      </c>
      <c r="V86" s="403">
        <f>P86</f>
        <v>424.96261224489791</v>
      </c>
      <c r="W86" s="403">
        <f>Q86</f>
        <v>893.22710204081648</v>
      </c>
      <c r="X86" s="323"/>
      <c r="Y86" s="403">
        <f>D86*$J86*(1+$K86%)</f>
        <v>538.42710204081652</v>
      </c>
      <c r="Z86" s="403">
        <f>E86*$J86*(1+$K86%)</f>
        <v>579.09746938775515</v>
      </c>
      <c r="AA86" s="403">
        <f>F86*$J86*(1+$K86%)</f>
        <v>762.41763265306133</v>
      </c>
      <c r="AB86" s="403">
        <f>G86*$J86*(1+$K86%)</f>
        <v>256.16261224489801</v>
      </c>
      <c r="AC86" s="403">
        <f>H86*$J86*(1+$K86%)</f>
        <v>538.42710204081652</v>
      </c>
    </row>
    <row r="87" spans="1:29" ht="22.5">
      <c r="A87" s="689" t="s">
        <v>233</v>
      </c>
      <c r="B87" s="407" t="s">
        <v>301</v>
      </c>
      <c r="C87" s="689" t="s">
        <v>231</v>
      </c>
      <c r="D87" s="566"/>
      <c r="E87" s="566"/>
      <c r="F87" s="566"/>
      <c r="G87" s="566"/>
      <c r="H87" s="566"/>
      <c r="I87" s="567">
        <f t="shared" si="50"/>
        <v>88</v>
      </c>
      <c r="J87" s="567">
        <v>15</v>
      </c>
      <c r="K87" s="567">
        <v>10</v>
      </c>
      <c r="L87" s="567">
        <v>71.5</v>
      </c>
      <c r="M87" s="402">
        <f t="shared" si="43"/>
        <v>0</v>
      </c>
      <c r="N87" s="402">
        <f t="shared" si="44"/>
        <v>0</v>
      </c>
      <c r="O87" s="402">
        <f t="shared" si="45"/>
        <v>0</v>
      </c>
      <c r="P87" s="402">
        <f t="shared" si="46"/>
        <v>0</v>
      </c>
      <c r="Q87" s="402">
        <f t="shared" si="47"/>
        <v>0</v>
      </c>
      <c r="R87" s="409"/>
      <c r="S87" s="455"/>
      <c r="T87" s="403"/>
      <c r="U87" s="403"/>
      <c r="V87" s="403"/>
      <c r="W87" s="403"/>
      <c r="X87" s="323"/>
      <c r="Y87" s="423"/>
      <c r="Z87" s="423"/>
      <c r="AA87" s="423"/>
      <c r="AB87" s="423"/>
      <c r="AC87" s="423"/>
    </row>
    <row r="88" spans="1:29" ht="22.5">
      <c r="A88" s="689" t="s">
        <v>233</v>
      </c>
      <c r="B88" s="407" t="s">
        <v>302</v>
      </c>
      <c r="C88" s="689" t="s">
        <v>231</v>
      </c>
      <c r="D88" s="566"/>
      <c r="E88" s="566"/>
      <c r="F88" s="566"/>
      <c r="G88" s="566"/>
      <c r="H88" s="566"/>
      <c r="I88" s="567">
        <f t="shared" si="50"/>
        <v>22.012509999999999</v>
      </c>
      <c r="J88" s="567">
        <f>'附件4-8甲供材料清单'!N127</f>
        <v>2.79251</v>
      </c>
      <c r="K88" s="567"/>
      <c r="L88" s="567">
        <v>19.22</v>
      </c>
      <c r="M88" s="402">
        <f t="shared" si="43"/>
        <v>0</v>
      </c>
      <c r="N88" s="402">
        <f t="shared" si="44"/>
        <v>0</v>
      </c>
      <c r="O88" s="402">
        <f t="shared" si="45"/>
        <v>0</v>
      </c>
      <c r="P88" s="402">
        <f t="shared" si="46"/>
        <v>0</v>
      </c>
      <c r="Q88" s="402">
        <f t="shared" si="47"/>
        <v>0</v>
      </c>
      <c r="R88" s="409" t="s">
        <v>244</v>
      </c>
      <c r="S88" s="455">
        <f t="shared" ref="S88:W89" si="53">M88</f>
        <v>0</v>
      </c>
      <c r="T88" s="403">
        <f t="shared" si="53"/>
        <v>0</v>
      </c>
      <c r="U88" s="403">
        <f t="shared" si="53"/>
        <v>0</v>
      </c>
      <c r="V88" s="403">
        <f t="shared" si="53"/>
        <v>0</v>
      </c>
      <c r="W88" s="403">
        <f t="shared" si="53"/>
        <v>0</v>
      </c>
      <c r="X88" s="323"/>
      <c r="Y88" s="403">
        <f t="shared" ref="Y88:AC89" si="54">D88*$J88*(1+$K88%)</f>
        <v>0</v>
      </c>
      <c r="Z88" s="403">
        <f t="shared" si="54"/>
        <v>0</v>
      </c>
      <c r="AA88" s="403">
        <f t="shared" si="54"/>
        <v>0</v>
      </c>
      <c r="AB88" s="403">
        <f t="shared" si="54"/>
        <v>0</v>
      </c>
      <c r="AC88" s="403">
        <f t="shared" si="54"/>
        <v>0</v>
      </c>
    </row>
    <row r="89" spans="1:29" ht="22.5">
      <c r="A89" s="689" t="s">
        <v>233</v>
      </c>
      <c r="B89" s="407" t="s">
        <v>303</v>
      </c>
      <c r="C89" s="689" t="s">
        <v>231</v>
      </c>
      <c r="D89" s="566"/>
      <c r="E89" s="566"/>
      <c r="F89" s="566"/>
      <c r="G89" s="566"/>
      <c r="H89" s="566"/>
      <c r="I89" s="567">
        <f t="shared" si="50"/>
        <v>24.572509999999998</v>
      </c>
      <c r="J89" s="567">
        <f>J88</f>
        <v>2.79251</v>
      </c>
      <c r="K89" s="567"/>
      <c r="L89" s="567">
        <f>2.56+19.22</f>
        <v>21.779999999999998</v>
      </c>
      <c r="M89" s="402">
        <f t="shared" si="43"/>
        <v>0</v>
      </c>
      <c r="N89" s="402">
        <f t="shared" si="44"/>
        <v>0</v>
      </c>
      <c r="O89" s="402">
        <f t="shared" si="45"/>
        <v>0</v>
      </c>
      <c r="P89" s="402">
        <f t="shared" si="46"/>
        <v>0</v>
      </c>
      <c r="Q89" s="402">
        <f t="shared" si="47"/>
        <v>0</v>
      </c>
      <c r="R89" s="409" t="s">
        <v>244</v>
      </c>
      <c r="S89" s="455">
        <f t="shared" si="53"/>
        <v>0</v>
      </c>
      <c r="T89" s="403">
        <f t="shared" si="53"/>
        <v>0</v>
      </c>
      <c r="U89" s="403">
        <f t="shared" si="53"/>
        <v>0</v>
      </c>
      <c r="V89" s="403">
        <f t="shared" si="53"/>
        <v>0</v>
      </c>
      <c r="W89" s="403">
        <f t="shared" si="53"/>
        <v>0</v>
      </c>
      <c r="X89" s="323"/>
      <c r="Y89" s="403">
        <f t="shared" si="54"/>
        <v>0</v>
      </c>
      <c r="Z89" s="403">
        <f t="shared" si="54"/>
        <v>0</v>
      </c>
      <c r="AA89" s="403">
        <f t="shared" si="54"/>
        <v>0</v>
      </c>
      <c r="AB89" s="403">
        <f t="shared" si="54"/>
        <v>0</v>
      </c>
      <c r="AC89" s="403">
        <f t="shared" si="54"/>
        <v>0</v>
      </c>
    </row>
    <row r="90" spans="1:29">
      <c r="A90" s="635" t="s">
        <v>246</v>
      </c>
      <c r="B90" s="636" t="s">
        <v>247</v>
      </c>
      <c r="C90" s="637"/>
      <c r="D90" s="714"/>
      <c r="E90" s="714"/>
      <c r="F90" s="714"/>
      <c r="G90" s="714"/>
      <c r="H90" s="714"/>
      <c r="I90" s="713"/>
      <c r="J90" s="713"/>
      <c r="K90" s="713"/>
      <c r="L90" s="713"/>
      <c r="M90" s="639"/>
      <c r="N90" s="639"/>
      <c r="O90" s="639"/>
      <c r="P90" s="639"/>
      <c r="Q90" s="639"/>
      <c r="R90" s="640" t="s">
        <v>1864</v>
      </c>
      <c r="S90" s="455"/>
      <c r="T90" s="403"/>
      <c r="U90" s="403"/>
      <c r="V90" s="403"/>
      <c r="W90" s="403"/>
      <c r="X90" s="323"/>
      <c r="Y90" s="423"/>
      <c r="Z90" s="423"/>
      <c r="AA90" s="423"/>
      <c r="AB90" s="423"/>
      <c r="AC90" s="423"/>
    </row>
    <row r="91" spans="1:29" ht="22.5">
      <c r="A91" s="689">
        <v>1</v>
      </c>
      <c r="B91" s="407" t="s">
        <v>304</v>
      </c>
      <c r="C91" s="689" t="s">
        <v>231</v>
      </c>
      <c r="D91" s="566">
        <f>'G单元 '!$E$48</f>
        <v>8.870000000000001</v>
      </c>
      <c r="E91" s="566">
        <f>J单元!$E$48</f>
        <v>9.5399999999999991</v>
      </c>
      <c r="F91" s="566">
        <f>'K单元 '!$E$48</f>
        <v>12.559999999999999</v>
      </c>
      <c r="G91" s="566">
        <f>'A1单元 '!E48</f>
        <v>4.22</v>
      </c>
      <c r="H91" s="566">
        <f>'G单元 '!$E$48</f>
        <v>8.870000000000001</v>
      </c>
      <c r="I91" s="567">
        <f t="shared" si="50"/>
        <v>109.54749999999999</v>
      </c>
      <c r="J91" s="567">
        <f>'附件4-8甲供材料清单'!M17</f>
        <v>57.874999999999986</v>
      </c>
      <c r="K91" s="567">
        <v>6</v>
      </c>
      <c r="L91" s="567">
        <v>48.2</v>
      </c>
      <c r="M91" s="402">
        <f t="shared" si="43"/>
        <v>971.68632500000001</v>
      </c>
      <c r="N91" s="402">
        <f t="shared" si="44"/>
        <v>1045.0831499999997</v>
      </c>
      <c r="O91" s="402">
        <f t="shared" si="45"/>
        <v>1375.9165999999996</v>
      </c>
      <c r="P91" s="402">
        <f t="shared" si="46"/>
        <v>462.29044999999991</v>
      </c>
      <c r="Q91" s="402">
        <f t="shared" si="47"/>
        <v>971.68632500000001</v>
      </c>
      <c r="R91" s="409" t="s">
        <v>244</v>
      </c>
      <c r="S91" s="455">
        <f t="shared" ref="S91:W92" si="55">M91</f>
        <v>971.68632500000001</v>
      </c>
      <c r="T91" s="403">
        <f t="shared" si="55"/>
        <v>1045.0831499999997</v>
      </c>
      <c r="U91" s="403">
        <f t="shared" si="55"/>
        <v>1375.9165999999996</v>
      </c>
      <c r="V91" s="403">
        <f t="shared" si="55"/>
        <v>462.29044999999991</v>
      </c>
      <c r="W91" s="403">
        <f t="shared" si="55"/>
        <v>971.68632500000001</v>
      </c>
      <c r="X91" s="323"/>
      <c r="Y91" s="403">
        <f t="shared" ref="Y91:AC92" si="56">D91*$J91*(1+$K91%)</f>
        <v>544.15232499999991</v>
      </c>
      <c r="Z91" s="403">
        <f t="shared" si="56"/>
        <v>585.25514999999984</v>
      </c>
      <c r="AA91" s="403">
        <f t="shared" si="56"/>
        <v>770.52459999999974</v>
      </c>
      <c r="AB91" s="403">
        <f t="shared" si="56"/>
        <v>258.88644999999991</v>
      </c>
      <c r="AC91" s="403">
        <f t="shared" si="56"/>
        <v>544.15232499999991</v>
      </c>
    </row>
    <row r="92" spans="1:29" ht="22.5">
      <c r="A92" s="689">
        <v>2</v>
      </c>
      <c r="B92" s="407" t="s">
        <v>305</v>
      </c>
      <c r="C92" s="689" t="s">
        <v>231</v>
      </c>
      <c r="D92" s="566">
        <f>'G单元 '!$T$48</f>
        <v>11.273299999999999</v>
      </c>
      <c r="E92" s="566">
        <f>J单元!$T$48</f>
        <v>11.9808</v>
      </c>
      <c r="F92" s="566">
        <f>'K单元 '!$T$48</f>
        <v>14.894299999999999</v>
      </c>
      <c r="G92" s="566">
        <f>'A1单元 '!T48</f>
        <v>5.3803999999999998</v>
      </c>
      <c r="H92" s="566">
        <f>'G单元 '!$T$48</f>
        <v>11.273299999999999</v>
      </c>
      <c r="I92" s="567">
        <f t="shared" si="50"/>
        <v>39.800000000000004</v>
      </c>
      <c r="J92" s="567">
        <f>'附件4-8甲供材料清单'!M168</f>
        <v>30.800000000000004</v>
      </c>
      <c r="K92" s="567"/>
      <c r="L92" s="567">
        <v>9</v>
      </c>
      <c r="M92" s="402">
        <f t="shared" si="43"/>
        <v>448.67734000000002</v>
      </c>
      <c r="N92" s="402">
        <f t="shared" si="44"/>
        <v>476.83584000000008</v>
      </c>
      <c r="O92" s="402">
        <f t="shared" si="45"/>
        <v>592.79313999999999</v>
      </c>
      <c r="P92" s="402">
        <f t="shared" si="46"/>
        <v>214.13992000000002</v>
      </c>
      <c r="Q92" s="402">
        <f t="shared" si="47"/>
        <v>448.67734000000002</v>
      </c>
      <c r="R92" s="409" t="s">
        <v>244</v>
      </c>
      <c r="S92" s="455">
        <f t="shared" si="55"/>
        <v>448.67734000000002</v>
      </c>
      <c r="T92" s="403">
        <f t="shared" si="55"/>
        <v>476.83584000000008</v>
      </c>
      <c r="U92" s="403">
        <f t="shared" si="55"/>
        <v>592.79313999999999</v>
      </c>
      <c r="V92" s="403">
        <f t="shared" si="55"/>
        <v>214.13992000000002</v>
      </c>
      <c r="W92" s="403">
        <f t="shared" si="55"/>
        <v>448.67734000000002</v>
      </c>
      <c r="X92" s="323"/>
      <c r="Y92" s="403">
        <f t="shared" si="56"/>
        <v>347.21764000000002</v>
      </c>
      <c r="Z92" s="403">
        <f t="shared" si="56"/>
        <v>369.00864000000007</v>
      </c>
      <c r="AA92" s="403">
        <f t="shared" si="56"/>
        <v>458.74444000000005</v>
      </c>
      <c r="AB92" s="403">
        <f t="shared" si="56"/>
        <v>165.71632000000002</v>
      </c>
      <c r="AC92" s="403">
        <f t="shared" si="56"/>
        <v>347.21764000000002</v>
      </c>
    </row>
    <row r="93" spans="1:29">
      <c r="A93" s="689" t="s">
        <v>233</v>
      </c>
      <c r="B93" s="407" t="s">
        <v>306</v>
      </c>
      <c r="C93" s="689" t="s">
        <v>231</v>
      </c>
      <c r="D93" s="566"/>
      <c r="E93" s="566"/>
      <c r="F93" s="566"/>
      <c r="G93" s="566"/>
      <c r="H93" s="566"/>
      <c r="I93" s="567">
        <f t="shared" si="50"/>
        <v>24.44</v>
      </c>
      <c r="J93" s="567"/>
      <c r="K93" s="567"/>
      <c r="L93" s="567">
        <v>24.44</v>
      </c>
      <c r="M93" s="402">
        <f t="shared" si="43"/>
        <v>0</v>
      </c>
      <c r="N93" s="402">
        <f t="shared" si="44"/>
        <v>0</v>
      </c>
      <c r="O93" s="402">
        <f t="shared" si="45"/>
        <v>0</v>
      </c>
      <c r="P93" s="402">
        <f t="shared" si="46"/>
        <v>0</v>
      </c>
      <c r="Q93" s="402">
        <f t="shared" si="47"/>
        <v>0</v>
      </c>
      <c r="R93" s="409"/>
      <c r="S93" s="455"/>
      <c r="T93" s="403"/>
      <c r="U93" s="403"/>
      <c r="V93" s="403"/>
      <c r="W93" s="403"/>
      <c r="X93" s="323"/>
      <c r="Y93" s="423"/>
      <c r="Z93" s="423"/>
      <c r="AA93" s="423"/>
      <c r="AB93" s="423"/>
      <c r="AC93" s="423"/>
    </row>
    <row r="94" spans="1:29">
      <c r="A94" s="689" t="s">
        <v>233</v>
      </c>
      <c r="B94" s="407" t="s">
        <v>307</v>
      </c>
      <c r="C94" s="412" t="s">
        <v>231</v>
      </c>
      <c r="D94" s="566"/>
      <c r="E94" s="566"/>
      <c r="F94" s="566"/>
      <c r="G94" s="566"/>
      <c r="H94" s="566"/>
      <c r="I94" s="567">
        <f t="shared" si="50"/>
        <v>20.56</v>
      </c>
      <c r="J94" s="567">
        <v>13</v>
      </c>
      <c r="K94" s="567">
        <v>0</v>
      </c>
      <c r="L94" s="567">
        <v>7.56</v>
      </c>
      <c r="M94" s="402">
        <f t="shared" si="43"/>
        <v>0</v>
      </c>
      <c r="N94" s="402">
        <f t="shared" si="44"/>
        <v>0</v>
      </c>
      <c r="O94" s="402">
        <f t="shared" si="45"/>
        <v>0</v>
      </c>
      <c r="P94" s="402">
        <f t="shared" si="46"/>
        <v>0</v>
      </c>
      <c r="Q94" s="402">
        <f t="shared" si="47"/>
        <v>0</v>
      </c>
      <c r="R94" s="409"/>
      <c r="S94" s="455"/>
      <c r="T94" s="403"/>
      <c r="U94" s="403"/>
      <c r="V94" s="403"/>
      <c r="W94" s="403"/>
      <c r="X94" s="323"/>
      <c r="Y94" s="423"/>
      <c r="Z94" s="423"/>
      <c r="AA94" s="423"/>
      <c r="AB94" s="423"/>
      <c r="AC94" s="423"/>
    </row>
    <row r="95" spans="1:29" ht="13.5">
      <c r="A95" s="689" t="s">
        <v>233</v>
      </c>
      <c r="B95" s="407" t="s">
        <v>308</v>
      </c>
      <c r="C95" s="689" t="s">
        <v>1863</v>
      </c>
      <c r="D95" s="566"/>
      <c r="E95" s="566"/>
      <c r="F95" s="566"/>
      <c r="G95" s="566"/>
      <c r="H95" s="566"/>
      <c r="I95" s="567">
        <f t="shared" ref="I95" si="57">J95+J95*K95%+L95</f>
        <v>417.5</v>
      </c>
      <c r="J95" s="567">
        <v>350</v>
      </c>
      <c r="K95" s="567">
        <v>5</v>
      </c>
      <c r="L95" s="567">
        <v>50</v>
      </c>
      <c r="M95" s="402">
        <f t="shared" si="43"/>
        <v>0</v>
      </c>
      <c r="N95" s="402">
        <f t="shared" si="44"/>
        <v>0</v>
      </c>
      <c r="O95" s="402">
        <f t="shared" si="45"/>
        <v>0</v>
      </c>
      <c r="P95" s="402">
        <f t="shared" si="46"/>
        <v>0</v>
      </c>
      <c r="Q95" s="402">
        <f t="shared" si="47"/>
        <v>0</v>
      </c>
      <c r="R95" s="409"/>
      <c r="S95" s="455"/>
      <c r="T95" s="403"/>
      <c r="U95" s="403"/>
      <c r="V95" s="403"/>
      <c r="W95" s="403"/>
      <c r="X95" s="323"/>
      <c r="Y95" s="423"/>
      <c r="Z95" s="423"/>
      <c r="AA95" s="423"/>
      <c r="AB95" s="423"/>
      <c r="AC95" s="423"/>
    </row>
    <row r="96" spans="1:29" ht="13.5">
      <c r="A96" s="689" t="s">
        <v>233</v>
      </c>
      <c r="B96" s="407" t="s">
        <v>311</v>
      </c>
      <c r="C96" s="689" t="s">
        <v>1863</v>
      </c>
      <c r="D96" s="566"/>
      <c r="E96" s="566"/>
      <c r="F96" s="566"/>
      <c r="G96" s="566"/>
      <c r="H96" s="566"/>
      <c r="I96" s="567">
        <f t="shared" ref="I96:I122" si="58">J96+J96*K96%+L96</f>
        <v>415.72500000000002</v>
      </c>
      <c r="J96" s="567">
        <v>315</v>
      </c>
      <c r="K96" s="567">
        <v>1.5</v>
      </c>
      <c r="L96" s="567">
        <v>96</v>
      </c>
      <c r="M96" s="402">
        <f t="shared" si="43"/>
        <v>0</v>
      </c>
      <c r="N96" s="402">
        <f t="shared" si="44"/>
        <v>0</v>
      </c>
      <c r="O96" s="402">
        <f t="shared" si="45"/>
        <v>0</v>
      </c>
      <c r="P96" s="402">
        <f t="shared" si="46"/>
        <v>0</v>
      </c>
      <c r="Q96" s="402">
        <f t="shared" si="47"/>
        <v>0</v>
      </c>
      <c r="R96" s="409"/>
      <c r="S96" s="455"/>
      <c r="T96" s="403"/>
      <c r="U96" s="403"/>
      <c r="V96" s="403"/>
      <c r="W96" s="403"/>
      <c r="X96" s="323"/>
      <c r="Y96" s="423"/>
      <c r="Z96" s="423"/>
      <c r="AA96" s="423"/>
      <c r="AB96" s="423"/>
      <c r="AC96" s="423"/>
    </row>
    <row r="97" spans="1:29">
      <c r="A97" s="635" t="s">
        <v>136</v>
      </c>
      <c r="B97" s="636" t="s">
        <v>261</v>
      </c>
      <c r="C97" s="637"/>
      <c r="D97" s="714"/>
      <c r="E97" s="714"/>
      <c r="F97" s="714"/>
      <c r="G97" s="714"/>
      <c r="H97" s="714"/>
      <c r="I97" s="713"/>
      <c r="J97" s="713"/>
      <c r="K97" s="713"/>
      <c r="L97" s="713"/>
      <c r="M97" s="639"/>
      <c r="N97" s="639"/>
      <c r="O97" s="639"/>
      <c r="P97" s="639"/>
      <c r="Q97" s="639"/>
      <c r="R97" s="640" t="s">
        <v>1864</v>
      </c>
      <c r="S97" s="455"/>
      <c r="T97" s="403"/>
      <c r="U97" s="403"/>
      <c r="V97" s="403"/>
      <c r="W97" s="403"/>
      <c r="X97" s="323"/>
      <c r="Y97" s="423"/>
      <c r="Z97" s="423"/>
      <c r="AA97" s="423"/>
      <c r="AB97" s="423"/>
      <c r="AC97" s="423"/>
    </row>
    <row r="98" spans="1:29" ht="33.75">
      <c r="A98" s="689">
        <v>1</v>
      </c>
      <c r="B98" s="407" t="s">
        <v>312</v>
      </c>
      <c r="C98" s="689" t="s">
        <v>231</v>
      </c>
      <c r="D98" s="566"/>
      <c r="E98" s="566"/>
      <c r="F98" s="566"/>
      <c r="G98" s="566"/>
      <c r="H98" s="566"/>
      <c r="I98" s="567">
        <f t="shared" si="58"/>
        <v>463.71</v>
      </c>
      <c r="J98" s="567">
        <f>'附件4-8甲供材料清单'!K156</f>
        <v>373</v>
      </c>
      <c r="K98" s="567">
        <v>3</v>
      </c>
      <c r="L98" s="567">
        <v>79.52</v>
      </c>
      <c r="M98" s="402">
        <f t="shared" si="43"/>
        <v>0</v>
      </c>
      <c r="N98" s="402">
        <f t="shared" si="44"/>
        <v>0</v>
      </c>
      <c r="O98" s="402">
        <f t="shared" si="45"/>
        <v>0</v>
      </c>
      <c r="P98" s="402">
        <f t="shared" si="46"/>
        <v>0</v>
      </c>
      <c r="Q98" s="402">
        <f t="shared" si="47"/>
        <v>0</v>
      </c>
      <c r="R98" s="409" t="s">
        <v>244</v>
      </c>
      <c r="S98" s="455">
        <f t="shared" ref="S98:W102" si="59">M98</f>
        <v>0</v>
      </c>
      <c r="T98" s="403">
        <f t="shared" si="59"/>
        <v>0</v>
      </c>
      <c r="U98" s="403">
        <f t="shared" si="59"/>
        <v>0</v>
      </c>
      <c r="V98" s="403">
        <f t="shared" si="59"/>
        <v>0</v>
      </c>
      <c r="W98" s="403">
        <f t="shared" si="59"/>
        <v>0</v>
      </c>
      <c r="X98" s="323"/>
      <c r="Y98" s="403">
        <f t="shared" ref="Y98:AC102" si="60">D98*$J98*(1+$K98%)</f>
        <v>0</v>
      </c>
      <c r="Z98" s="403">
        <f t="shared" si="60"/>
        <v>0</v>
      </c>
      <c r="AA98" s="403">
        <f t="shared" si="60"/>
        <v>0</v>
      </c>
      <c r="AB98" s="403">
        <f t="shared" si="60"/>
        <v>0</v>
      </c>
      <c r="AC98" s="403">
        <f t="shared" si="60"/>
        <v>0</v>
      </c>
    </row>
    <row r="99" spans="1:29" ht="33.75">
      <c r="A99" s="689">
        <v>2</v>
      </c>
      <c r="B99" s="407" t="s">
        <v>313</v>
      </c>
      <c r="C99" s="689" t="s">
        <v>231</v>
      </c>
      <c r="D99" s="566"/>
      <c r="E99" s="566"/>
      <c r="F99" s="566"/>
      <c r="G99" s="566"/>
      <c r="H99" s="566"/>
      <c r="I99" s="567">
        <f t="shared" si="58"/>
        <v>486.39</v>
      </c>
      <c r="J99" s="567">
        <f>'附件4-8甲供材料清单'!K156</f>
        <v>373</v>
      </c>
      <c r="K99" s="567">
        <v>3</v>
      </c>
      <c r="L99" s="567">
        <v>102.2</v>
      </c>
      <c r="M99" s="402">
        <f t="shared" si="43"/>
        <v>0</v>
      </c>
      <c r="N99" s="402">
        <f t="shared" si="44"/>
        <v>0</v>
      </c>
      <c r="O99" s="402">
        <f t="shared" si="45"/>
        <v>0</v>
      </c>
      <c r="P99" s="402">
        <f t="shared" si="46"/>
        <v>0</v>
      </c>
      <c r="Q99" s="402">
        <f t="shared" si="47"/>
        <v>0</v>
      </c>
      <c r="R99" s="409" t="s">
        <v>244</v>
      </c>
      <c r="S99" s="455">
        <f t="shared" si="59"/>
        <v>0</v>
      </c>
      <c r="T99" s="403">
        <f t="shared" si="59"/>
        <v>0</v>
      </c>
      <c r="U99" s="403">
        <f t="shared" si="59"/>
        <v>0</v>
      </c>
      <c r="V99" s="403">
        <f t="shared" si="59"/>
        <v>0</v>
      </c>
      <c r="W99" s="403">
        <f t="shared" si="59"/>
        <v>0</v>
      </c>
      <c r="X99" s="323"/>
      <c r="Y99" s="403">
        <f t="shared" si="60"/>
        <v>0</v>
      </c>
      <c r="Z99" s="403">
        <f t="shared" si="60"/>
        <v>0</v>
      </c>
      <c r="AA99" s="403">
        <f t="shared" si="60"/>
        <v>0</v>
      </c>
      <c r="AB99" s="403">
        <f t="shared" si="60"/>
        <v>0</v>
      </c>
      <c r="AC99" s="403">
        <f t="shared" si="60"/>
        <v>0</v>
      </c>
    </row>
    <row r="100" spans="1:29" ht="22.5">
      <c r="A100" s="689">
        <v>3</v>
      </c>
      <c r="B100" s="407" t="s">
        <v>274</v>
      </c>
      <c r="C100" s="689" t="s">
        <v>235</v>
      </c>
      <c r="D100" s="566"/>
      <c r="E100" s="566"/>
      <c r="F100" s="566"/>
      <c r="G100" s="566"/>
      <c r="H100" s="566"/>
      <c r="I100" s="567">
        <f t="shared" si="58"/>
        <v>30</v>
      </c>
      <c r="J100" s="567">
        <f>'附件4-8甲供材料清单'!K157</f>
        <v>30</v>
      </c>
      <c r="K100" s="567"/>
      <c r="L100" s="567"/>
      <c r="M100" s="402">
        <f t="shared" si="43"/>
        <v>0</v>
      </c>
      <c r="N100" s="402">
        <f t="shared" si="44"/>
        <v>0</v>
      </c>
      <c r="O100" s="402">
        <f t="shared" si="45"/>
        <v>0</v>
      </c>
      <c r="P100" s="402">
        <f t="shared" si="46"/>
        <v>0</v>
      </c>
      <c r="Q100" s="402">
        <f t="shared" si="47"/>
        <v>0</v>
      </c>
      <c r="R100" s="409" t="s">
        <v>244</v>
      </c>
      <c r="S100" s="455">
        <f t="shared" si="59"/>
        <v>0</v>
      </c>
      <c r="T100" s="403">
        <f t="shared" si="59"/>
        <v>0</v>
      </c>
      <c r="U100" s="403">
        <f t="shared" si="59"/>
        <v>0</v>
      </c>
      <c r="V100" s="403">
        <f t="shared" si="59"/>
        <v>0</v>
      </c>
      <c r="W100" s="403">
        <f t="shared" si="59"/>
        <v>0</v>
      </c>
      <c r="X100" s="323"/>
      <c r="Y100" s="403">
        <f t="shared" si="60"/>
        <v>0</v>
      </c>
      <c r="Z100" s="403">
        <f t="shared" si="60"/>
        <v>0</v>
      </c>
      <c r="AA100" s="403">
        <f t="shared" si="60"/>
        <v>0</v>
      </c>
      <c r="AB100" s="403">
        <f t="shared" si="60"/>
        <v>0</v>
      </c>
      <c r="AC100" s="403">
        <f t="shared" si="60"/>
        <v>0</v>
      </c>
    </row>
    <row r="101" spans="1:29" ht="22.5">
      <c r="A101" s="689">
        <v>4</v>
      </c>
      <c r="B101" s="407" t="s">
        <v>275</v>
      </c>
      <c r="C101" s="689" t="s">
        <v>235</v>
      </c>
      <c r="D101" s="566"/>
      <c r="E101" s="566"/>
      <c r="F101" s="566"/>
      <c r="G101" s="566"/>
      <c r="H101" s="566"/>
      <c r="I101" s="567">
        <f t="shared" si="58"/>
        <v>193.86</v>
      </c>
      <c r="J101" s="567">
        <f>'附件4-8甲供材料清单'!K166</f>
        <v>162</v>
      </c>
      <c r="K101" s="567">
        <v>1</v>
      </c>
      <c r="L101" s="567">
        <v>30.24</v>
      </c>
      <c r="M101" s="402">
        <f t="shared" si="43"/>
        <v>0</v>
      </c>
      <c r="N101" s="402">
        <f t="shared" si="44"/>
        <v>0</v>
      </c>
      <c r="O101" s="402">
        <f t="shared" si="45"/>
        <v>0</v>
      </c>
      <c r="P101" s="402">
        <f t="shared" si="46"/>
        <v>0</v>
      </c>
      <c r="Q101" s="402">
        <f t="shared" si="47"/>
        <v>0</v>
      </c>
      <c r="R101" s="409" t="s">
        <v>244</v>
      </c>
      <c r="S101" s="455">
        <f t="shared" si="59"/>
        <v>0</v>
      </c>
      <c r="T101" s="403">
        <f t="shared" si="59"/>
        <v>0</v>
      </c>
      <c r="U101" s="403">
        <f t="shared" si="59"/>
        <v>0</v>
      </c>
      <c r="V101" s="403">
        <f t="shared" si="59"/>
        <v>0</v>
      </c>
      <c r="W101" s="403">
        <f t="shared" si="59"/>
        <v>0</v>
      </c>
      <c r="X101" s="323"/>
      <c r="Y101" s="403">
        <f t="shared" si="60"/>
        <v>0</v>
      </c>
      <c r="Z101" s="403">
        <f t="shared" si="60"/>
        <v>0</v>
      </c>
      <c r="AA101" s="403">
        <f t="shared" si="60"/>
        <v>0</v>
      </c>
      <c r="AB101" s="403">
        <f t="shared" si="60"/>
        <v>0</v>
      </c>
      <c r="AC101" s="403">
        <f t="shared" si="60"/>
        <v>0</v>
      </c>
    </row>
    <row r="102" spans="1:29" ht="22.5">
      <c r="A102" s="689">
        <v>5</v>
      </c>
      <c r="B102" s="407" t="s">
        <v>314</v>
      </c>
      <c r="C102" s="689" t="s">
        <v>231</v>
      </c>
      <c r="D102" s="566">
        <f>'G单元 '!$S$48</f>
        <v>37.287864000000006</v>
      </c>
      <c r="E102" s="566">
        <f>J单元!$S$48</f>
        <v>38.608863999999997</v>
      </c>
      <c r="F102" s="566">
        <f>'K单元 '!$S$48</f>
        <v>36.821764000000002</v>
      </c>
      <c r="G102" s="566">
        <f>'A1单元 '!S48</f>
        <v>18.245432000000001</v>
      </c>
      <c r="H102" s="566">
        <f>'G单元 '!$S$48</f>
        <v>37.287864000000006</v>
      </c>
      <c r="I102" s="567">
        <f t="shared" si="58"/>
        <v>96.706666666666678</v>
      </c>
      <c r="J102" s="567">
        <f>'附件4-8甲供材料清单'!M15</f>
        <v>40.666666666666671</v>
      </c>
      <c r="K102" s="567">
        <v>6</v>
      </c>
      <c r="L102" s="567">
        <v>53.6</v>
      </c>
      <c r="M102" s="402">
        <f t="shared" si="43"/>
        <v>3605.9850345600012</v>
      </c>
      <c r="N102" s="402">
        <f t="shared" si="44"/>
        <v>3733.7345412266668</v>
      </c>
      <c r="O102" s="402">
        <f t="shared" si="45"/>
        <v>3560.910057226667</v>
      </c>
      <c r="P102" s="402">
        <f t="shared" si="46"/>
        <v>1764.4549106133336</v>
      </c>
      <c r="Q102" s="402">
        <f t="shared" si="47"/>
        <v>3605.9850345600012</v>
      </c>
      <c r="R102" s="409" t="s">
        <v>244</v>
      </c>
      <c r="S102" s="455">
        <f t="shared" si="59"/>
        <v>3605.9850345600012</v>
      </c>
      <c r="T102" s="403">
        <f t="shared" si="59"/>
        <v>3733.7345412266668</v>
      </c>
      <c r="U102" s="403">
        <f t="shared" si="59"/>
        <v>3560.910057226667</v>
      </c>
      <c r="V102" s="403">
        <f t="shared" si="59"/>
        <v>1764.4549106133336</v>
      </c>
      <c r="W102" s="403">
        <f t="shared" si="59"/>
        <v>3605.9850345600012</v>
      </c>
      <c r="X102" s="323"/>
      <c r="Y102" s="403">
        <f t="shared" si="60"/>
        <v>1607.3555241600004</v>
      </c>
      <c r="Z102" s="403">
        <f t="shared" si="60"/>
        <v>1664.2994308266668</v>
      </c>
      <c r="AA102" s="403">
        <f t="shared" si="60"/>
        <v>1587.263506826667</v>
      </c>
      <c r="AB102" s="403">
        <f t="shared" si="60"/>
        <v>786.49975541333356</v>
      </c>
      <c r="AC102" s="403">
        <f t="shared" si="60"/>
        <v>1607.3555241600004</v>
      </c>
    </row>
    <row r="103" spans="1:29" ht="33.75">
      <c r="A103" s="689">
        <v>6</v>
      </c>
      <c r="B103" s="407" t="s">
        <v>315</v>
      </c>
      <c r="C103" s="689" t="s">
        <v>235</v>
      </c>
      <c r="D103" s="566">
        <f>'G单元 '!$L$48</f>
        <v>2.19</v>
      </c>
      <c r="E103" s="566">
        <f>J单元!$L$48</f>
        <v>1.69</v>
      </c>
      <c r="F103" s="566">
        <f>'K单元 '!$L$48</f>
        <v>1.8</v>
      </c>
      <c r="G103" s="566">
        <f>'A1单元 '!L48</f>
        <v>1.07</v>
      </c>
      <c r="H103" s="566">
        <f>'G单元 '!$L$48</f>
        <v>2.19</v>
      </c>
      <c r="I103" s="567">
        <f t="shared" si="58"/>
        <v>900</v>
      </c>
      <c r="J103" s="567">
        <f>'附件4-8甲供材料清单'!K71</f>
        <v>900</v>
      </c>
      <c r="K103" s="567"/>
      <c r="L103" s="567"/>
      <c r="M103" s="402">
        <f t="shared" si="43"/>
        <v>1971</v>
      </c>
      <c r="N103" s="402">
        <f t="shared" si="44"/>
        <v>1521</v>
      </c>
      <c r="O103" s="402">
        <f t="shared" si="45"/>
        <v>1620</v>
      </c>
      <c r="P103" s="402">
        <f t="shared" si="46"/>
        <v>963</v>
      </c>
      <c r="Q103" s="402">
        <f t="shared" si="47"/>
        <v>1971</v>
      </c>
      <c r="R103" s="409" t="s">
        <v>316</v>
      </c>
      <c r="S103" s="455"/>
      <c r="T103" s="403"/>
      <c r="U103" s="403"/>
      <c r="V103" s="403"/>
      <c r="W103" s="403"/>
      <c r="X103" s="323"/>
      <c r="Y103" s="403"/>
      <c r="Z103" s="403"/>
      <c r="AA103" s="403"/>
      <c r="AB103" s="403"/>
      <c r="AC103" s="403"/>
    </row>
    <row r="104" spans="1:29">
      <c r="A104" s="689" t="s">
        <v>278</v>
      </c>
      <c r="B104" s="414" t="s">
        <v>318</v>
      </c>
      <c r="C104" s="689" t="s">
        <v>231</v>
      </c>
      <c r="D104" s="566"/>
      <c r="E104" s="566"/>
      <c r="F104" s="566"/>
      <c r="G104" s="566"/>
      <c r="H104" s="566"/>
      <c r="I104" s="567">
        <f t="shared" si="58"/>
        <v>271.52</v>
      </c>
      <c r="J104" s="567">
        <v>70</v>
      </c>
      <c r="K104" s="567">
        <v>10</v>
      </c>
      <c r="L104" s="567">
        <v>194.52</v>
      </c>
      <c r="M104" s="402">
        <f t="shared" si="43"/>
        <v>0</v>
      </c>
      <c r="N104" s="402">
        <f t="shared" si="44"/>
        <v>0</v>
      </c>
      <c r="O104" s="402">
        <f t="shared" si="45"/>
        <v>0</v>
      </c>
      <c r="P104" s="402">
        <f t="shared" si="46"/>
        <v>0</v>
      </c>
      <c r="Q104" s="402">
        <f t="shared" si="47"/>
        <v>0</v>
      </c>
      <c r="R104" s="409"/>
      <c r="S104" s="455"/>
      <c r="T104" s="403"/>
      <c r="U104" s="403"/>
      <c r="V104" s="403"/>
      <c r="W104" s="403"/>
      <c r="X104" s="323"/>
      <c r="Y104" s="423"/>
      <c r="Z104" s="423"/>
      <c r="AA104" s="423"/>
      <c r="AB104" s="423"/>
      <c r="AC104" s="423"/>
    </row>
    <row r="105" spans="1:29" ht="56.25">
      <c r="A105" s="689">
        <v>7</v>
      </c>
      <c r="B105" s="414" t="s">
        <v>319</v>
      </c>
      <c r="C105" s="689" t="s">
        <v>320</v>
      </c>
      <c r="D105" s="566"/>
      <c r="E105" s="566"/>
      <c r="F105" s="566"/>
      <c r="G105" s="566"/>
      <c r="H105" s="566"/>
      <c r="I105" s="567">
        <f t="shared" si="58"/>
        <v>629.28899999999999</v>
      </c>
      <c r="J105" s="567">
        <f>'附件4-8甲供材料清单'!K133</f>
        <v>414</v>
      </c>
      <c r="K105" s="567">
        <v>2</v>
      </c>
      <c r="L105" s="567">
        <f>243.54*0.85</f>
        <v>207.00899999999999</v>
      </c>
      <c r="M105" s="402">
        <f t="shared" si="43"/>
        <v>0</v>
      </c>
      <c r="N105" s="402">
        <f t="shared" si="44"/>
        <v>0</v>
      </c>
      <c r="O105" s="402">
        <f t="shared" si="45"/>
        <v>0</v>
      </c>
      <c r="P105" s="402">
        <f t="shared" si="46"/>
        <v>0</v>
      </c>
      <c r="Q105" s="402">
        <f t="shared" si="47"/>
        <v>0</v>
      </c>
      <c r="R105" s="409" t="s">
        <v>244</v>
      </c>
      <c r="S105" s="455">
        <f t="shared" ref="S105:S113" si="61">M105</f>
        <v>0</v>
      </c>
      <c r="T105" s="403">
        <f t="shared" ref="T105:T113" si="62">N105</f>
        <v>0</v>
      </c>
      <c r="U105" s="403">
        <f t="shared" ref="U105:U113" si="63">O105</f>
        <v>0</v>
      </c>
      <c r="V105" s="403">
        <f t="shared" ref="V105:V113" si="64">P105</f>
        <v>0</v>
      </c>
      <c r="W105" s="403">
        <f t="shared" ref="W105:W113" si="65">Q105</f>
        <v>0</v>
      </c>
      <c r="X105" s="323"/>
      <c r="Y105" s="403">
        <f t="shared" ref="Y105:Y113" si="66">D105*$J105*(1+$K105%)</f>
        <v>0</v>
      </c>
      <c r="Z105" s="403">
        <f t="shared" ref="Z105:Z113" si="67">E105*$J105*(1+$K105%)</f>
        <v>0</v>
      </c>
      <c r="AA105" s="403">
        <f t="shared" ref="AA105:AA113" si="68">F105*$J105*(1+$K105%)</f>
        <v>0</v>
      </c>
      <c r="AB105" s="403">
        <f t="shared" ref="AB105:AB113" si="69">G105*$J105*(1+$K105%)</f>
        <v>0</v>
      </c>
      <c r="AC105" s="403">
        <f t="shared" ref="AC105:AC113" si="70">H105*$J105*(1+$K105%)</f>
        <v>0</v>
      </c>
    </row>
    <row r="106" spans="1:29" ht="56.25">
      <c r="A106" s="689">
        <v>8</v>
      </c>
      <c r="B106" s="414" t="s">
        <v>321</v>
      </c>
      <c r="C106" s="689" t="s">
        <v>320</v>
      </c>
      <c r="D106" s="566">
        <v>0</v>
      </c>
      <c r="E106" s="566">
        <v>1</v>
      </c>
      <c r="F106" s="566">
        <v>0</v>
      </c>
      <c r="G106" s="566">
        <v>0</v>
      </c>
      <c r="H106" s="566">
        <v>0</v>
      </c>
      <c r="I106" s="567">
        <f t="shared" si="58"/>
        <v>680.16300000000001</v>
      </c>
      <c r="J106" s="567">
        <f>'附件4-8甲供材料清单'!K134</f>
        <v>440</v>
      </c>
      <c r="K106" s="567">
        <v>2</v>
      </c>
      <c r="L106" s="567">
        <f>243.54*0.95</f>
        <v>231.36299999999997</v>
      </c>
      <c r="M106" s="402">
        <f t="shared" si="43"/>
        <v>0</v>
      </c>
      <c r="N106" s="402">
        <f t="shared" si="44"/>
        <v>680.16300000000001</v>
      </c>
      <c r="O106" s="402">
        <f t="shared" si="45"/>
        <v>0</v>
      </c>
      <c r="P106" s="402">
        <f t="shared" si="46"/>
        <v>0</v>
      </c>
      <c r="Q106" s="402">
        <f t="shared" si="47"/>
        <v>0</v>
      </c>
      <c r="R106" s="409" t="s">
        <v>244</v>
      </c>
      <c r="S106" s="455">
        <f t="shared" si="61"/>
        <v>0</v>
      </c>
      <c r="T106" s="403">
        <f t="shared" si="62"/>
        <v>680.16300000000001</v>
      </c>
      <c r="U106" s="403">
        <f t="shared" si="63"/>
        <v>0</v>
      </c>
      <c r="V106" s="403">
        <f t="shared" si="64"/>
        <v>0</v>
      </c>
      <c r="W106" s="403">
        <f t="shared" si="65"/>
        <v>0</v>
      </c>
      <c r="X106" s="323"/>
      <c r="Y106" s="403">
        <f t="shared" si="66"/>
        <v>0</v>
      </c>
      <c r="Z106" s="403">
        <f t="shared" si="67"/>
        <v>448.8</v>
      </c>
      <c r="AA106" s="403">
        <f t="shared" si="68"/>
        <v>0</v>
      </c>
      <c r="AB106" s="403">
        <f t="shared" si="69"/>
        <v>0</v>
      </c>
      <c r="AC106" s="403">
        <f t="shared" si="70"/>
        <v>0</v>
      </c>
    </row>
    <row r="107" spans="1:29" ht="56.25">
      <c r="A107" s="689">
        <v>9</v>
      </c>
      <c r="B107" s="414" t="s">
        <v>322</v>
      </c>
      <c r="C107" s="689" t="s">
        <v>320</v>
      </c>
      <c r="D107" s="566"/>
      <c r="E107" s="566"/>
      <c r="F107" s="566"/>
      <c r="G107" s="566"/>
      <c r="H107" s="566"/>
      <c r="I107" s="567">
        <f t="shared" si="58"/>
        <v>730.01700000000005</v>
      </c>
      <c r="J107" s="567">
        <f>'附件4-8甲供材料清单'!K135</f>
        <v>465</v>
      </c>
      <c r="K107" s="567">
        <v>2</v>
      </c>
      <c r="L107" s="567">
        <f>243.54*1.05</f>
        <v>255.71700000000001</v>
      </c>
      <c r="M107" s="402">
        <f t="shared" si="43"/>
        <v>0</v>
      </c>
      <c r="N107" s="402">
        <f t="shared" si="44"/>
        <v>0</v>
      </c>
      <c r="O107" s="402">
        <f t="shared" si="45"/>
        <v>0</v>
      </c>
      <c r="P107" s="402">
        <f t="shared" si="46"/>
        <v>0</v>
      </c>
      <c r="Q107" s="402">
        <f t="shared" si="47"/>
        <v>0</v>
      </c>
      <c r="R107" s="409" t="s">
        <v>244</v>
      </c>
      <c r="S107" s="455">
        <f t="shared" si="61"/>
        <v>0</v>
      </c>
      <c r="T107" s="403">
        <f t="shared" si="62"/>
        <v>0</v>
      </c>
      <c r="U107" s="403">
        <f t="shared" si="63"/>
        <v>0</v>
      </c>
      <c r="V107" s="403">
        <f t="shared" si="64"/>
        <v>0</v>
      </c>
      <c r="W107" s="403">
        <f t="shared" si="65"/>
        <v>0</v>
      </c>
      <c r="X107" s="323"/>
      <c r="Y107" s="403">
        <f t="shared" si="66"/>
        <v>0</v>
      </c>
      <c r="Z107" s="403">
        <f t="shared" si="67"/>
        <v>0</v>
      </c>
      <c r="AA107" s="403">
        <f t="shared" si="68"/>
        <v>0</v>
      </c>
      <c r="AB107" s="403">
        <f t="shared" si="69"/>
        <v>0</v>
      </c>
      <c r="AC107" s="403">
        <f t="shared" si="70"/>
        <v>0</v>
      </c>
    </row>
    <row r="108" spans="1:29" ht="56.25">
      <c r="A108" s="689">
        <v>10</v>
      </c>
      <c r="B108" s="414" t="s">
        <v>323</v>
      </c>
      <c r="C108" s="689" t="s">
        <v>320</v>
      </c>
      <c r="D108" s="566"/>
      <c r="E108" s="566"/>
      <c r="F108" s="566"/>
      <c r="G108" s="566"/>
      <c r="H108" s="566"/>
      <c r="I108" s="567">
        <f t="shared" si="58"/>
        <v>561.96899999999994</v>
      </c>
      <c r="J108" s="567">
        <f>'附件4-8甲供材料清单'!K136</f>
        <v>348</v>
      </c>
      <c r="K108" s="567">
        <v>2</v>
      </c>
      <c r="L108" s="567">
        <f>243.54*0.85</f>
        <v>207.00899999999999</v>
      </c>
      <c r="M108" s="402">
        <f t="shared" si="43"/>
        <v>0</v>
      </c>
      <c r="N108" s="402">
        <f t="shared" si="44"/>
        <v>0</v>
      </c>
      <c r="O108" s="402">
        <f t="shared" si="45"/>
        <v>0</v>
      </c>
      <c r="P108" s="402">
        <f t="shared" si="46"/>
        <v>0</v>
      </c>
      <c r="Q108" s="402">
        <f t="shared" si="47"/>
        <v>0</v>
      </c>
      <c r="R108" s="409" t="s">
        <v>244</v>
      </c>
      <c r="S108" s="455">
        <f t="shared" si="61"/>
        <v>0</v>
      </c>
      <c r="T108" s="403">
        <f t="shared" si="62"/>
        <v>0</v>
      </c>
      <c r="U108" s="403">
        <f t="shared" si="63"/>
        <v>0</v>
      </c>
      <c r="V108" s="403">
        <f t="shared" si="64"/>
        <v>0</v>
      </c>
      <c r="W108" s="403">
        <f t="shared" si="65"/>
        <v>0</v>
      </c>
      <c r="X108" s="323"/>
      <c r="Y108" s="403">
        <f t="shared" si="66"/>
        <v>0</v>
      </c>
      <c r="Z108" s="403">
        <f t="shared" si="67"/>
        <v>0</v>
      </c>
      <c r="AA108" s="403">
        <f t="shared" si="68"/>
        <v>0</v>
      </c>
      <c r="AB108" s="403">
        <f t="shared" si="69"/>
        <v>0</v>
      </c>
      <c r="AC108" s="403">
        <f t="shared" si="70"/>
        <v>0</v>
      </c>
    </row>
    <row r="109" spans="1:29" ht="56.25">
      <c r="A109" s="689">
        <v>11</v>
      </c>
      <c r="B109" s="414" t="s">
        <v>324</v>
      </c>
      <c r="C109" s="689" t="s">
        <v>320</v>
      </c>
      <c r="D109" s="566"/>
      <c r="E109" s="566"/>
      <c r="F109" s="566"/>
      <c r="G109" s="566"/>
      <c r="H109" s="566"/>
      <c r="I109" s="567">
        <f t="shared" si="58"/>
        <v>609.78300000000002</v>
      </c>
      <c r="J109" s="567">
        <f>'附件4-8甲供材料清单'!K137</f>
        <v>371</v>
      </c>
      <c r="K109" s="567">
        <v>2</v>
      </c>
      <c r="L109" s="567">
        <f>243.54*0.95</f>
        <v>231.36299999999997</v>
      </c>
      <c r="M109" s="402">
        <f t="shared" si="43"/>
        <v>0</v>
      </c>
      <c r="N109" s="402">
        <f t="shared" si="44"/>
        <v>0</v>
      </c>
      <c r="O109" s="402">
        <f t="shared" si="45"/>
        <v>0</v>
      </c>
      <c r="P109" s="402">
        <f t="shared" si="46"/>
        <v>0</v>
      </c>
      <c r="Q109" s="402">
        <f t="shared" si="47"/>
        <v>0</v>
      </c>
      <c r="R109" s="409" t="s">
        <v>244</v>
      </c>
      <c r="S109" s="455">
        <f t="shared" si="61"/>
        <v>0</v>
      </c>
      <c r="T109" s="403">
        <f t="shared" si="62"/>
        <v>0</v>
      </c>
      <c r="U109" s="403">
        <f t="shared" si="63"/>
        <v>0</v>
      </c>
      <c r="V109" s="403">
        <f t="shared" si="64"/>
        <v>0</v>
      </c>
      <c r="W109" s="403">
        <f t="shared" si="65"/>
        <v>0</v>
      </c>
      <c r="X109" s="323"/>
      <c r="Y109" s="403">
        <f t="shared" si="66"/>
        <v>0</v>
      </c>
      <c r="Z109" s="403">
        <f t="shared" si="67"/>
        <v>0</v>
      </c>
      <c r="AA109" s="403">
        <f t="shared" si="68"/>
        <v>0</v>
      </c>
      <c r="AB109" s="403">
        <f t="shared" si="69"/>
        <v>0</v>
      </c>
      <c r="AC109" s="403">
        <f t="shared" si="70"/>
        <v>0</v>
      </c>
    </row>
    <row r="110" spans="1:29" ht="56.25">
      <c r="A110" s="689">
        <v>12</v>
      </c>
      <c r="B110" s="414" t="s">
        <v>325</v>
      </c>
      <c r="C110" s="689" t="s">
        <v>320</v>
      </c>
      <c r="D110" s="566"/>
      <c r="E110" s="566"/>
      <c r="F110" s="566"/>
      <c r="G110" s="566"/>
      <c r="H110" s="566"/>
      <c r="I110" s="567">
        <f t="shared" si="58"/>
        <v>656.577</v>
      </c>
      <c r="J110" s="567">
        <f>'附件4-8甲供材料清单'!K138</f>
        <v>393</v>
      </c>
      <c r="K110" s="567">
        <v>2</v>
      </c>
      <c r="L110" s="567">
        <f>243.54*1.05</f>
        <v>255.71700000000001</v>
      </c>
      <c r="M110" s="402">
        <f t="shared" si="43"/>
        <v>0</v>
      </c>
      <c r="N110" s="402">
        <f t="shared" si="44"/>
        <v>0</v>
      </c>
      <c r="O110" s="402">
        <f t="shared" si="45"/>
        <v>0</v>
      </c>
      <c r="P110" s="402">
        <f t="shared" si="46"/>
        <v>0</v>
      </c>
      <c r="Q110" s="402">
        <f t="shared" si="47"/>
        <v>0</v>
      </c>
      <c r="R110" s="409" t="s">
        <v>244</v>
      </c>
      <c r="S110" s="455">
        <f t="shared" si="61"/>
        <v>0</v>
      </c>
      <c r="T110" s="403">
        <f t="shared" si="62"/>
        <v>0</v>
      </c>
      <c r="U110" s="403">
        <f t="shared" si="63"/>
        <v>0</v>
      </c>
      <c r="V110" s="403">
        <f t="shared" si="64"/>
        <v>0</v>
      </c>
      <c r="W110" s="403">
        <f t="shared" si="65"/>
        <v>0</v>
      </c>
      <c r="X110" s="323"/>
      <c r="Y110" s="403">
        <f t="shared" si="66"/>
        <v>0</v>
      </c>
      <c r="Z110" s="403">
        <f t="shared" si="67"/>
        <v>0</v>
      </c>
      <c r="AA110" s="403">
        <f t="shared" si="68"/>
        <v>0</v>
      </c>
      <c r="AB110" s="403">
        <f t="shared" si="69"/>
        <v>0</v>
      </c>
      <c r="AC110" s="403">
        <f t="shared" si="70"/>
        <v>0</v>
      </c>
    </row>
    <row r="111" spans="1:29" ht="45">
      <c r="A111" s="689">
        <v>13</v>
      </c>
      <c r="B111" s="414" t="s">
        <v>326</v>
      </c>
      <c r="C111" s="689" t="s">
        <v>231</v>
      </c>
      <c r="D111" s="566">
        <f>'G单元 '!$M$48*(0.6+0.025+0.15)</f>
        <v>1.8367500000000001</v>
      </c>
      <c r="E111" s="566">
        <f>J单元!$M$48*(0.6+0.025+0.15)</f>
        <v>1.6972499999999999</v>
      </c>
      <c r="F111" s="566">
        <f>'K单元 '!$M$48*(0.6+0.025+0.15)</f>
        <v>1.5345</v>
      </c>
      <c r="G111" s="566">
        <f>0.6*1.07+1.07*(0.025+0.15)</f>
        <v>0.82925000000000004</v>
      </c>
      <c r="H111" s="566">
        <f>'G单元 '!$M$48*(0.6+0.025+0.15)</f>
        <v>1.8367500000000001</v>
      </c>
      <c r="I111" s="567">
        <f t="shared" si="58"/>
        <v>1051.3200000000002</v>
      </c>
      <c r="J111" s="567">
        <f>'附件4-8甲供材料清单'!K139</f>
        <v>716</v>
      </c>
      <c r="K111" s="567">
        <v>2</v>
      </c>
      <c r="L111" s="567">
        <v>321</v>
      </c>
      <c r="M111" s="402">
        <f t="shared" si="43"/>
        <v>1931.0120100000004</v>
      </c>
      <c r="N111" s="402">
        <f t="shared" si="44"/>
        <v>1784.3528700000002</v>
      </c>
      <c r="O111" s="402">
        <f t="shared" si="45"/>
        <v>1613.2505400000002</v>
      </c>
      <c r="P111" s="402">
        <f t="shared" si="46"/>
        <v>871.80711000000019</v>
      </c>
      <c r="Q111" s="402">
        <f t="shared" si="47"/>
        <v>1931.0120100000004</v>
      </c>
      <c r="R111" s="409" t="s">
        <v>244</v>
      </c>
      <c r="S111" s="455">
        <f t="shared" si="61"/>
        <v>1931.0120100000004</v>
      </c>
      <c r="T111" s="403">
        <f t="shared" si="62"/>
        <v>1784.3528700000002</v>
      </c>
      <c r="U111" s="403">
        <f t="shared" si="63"/>
        <v>1613.2505400000002</v>
      </c>
      <c r="V111" s="403">
        <f t="shared" si="64"/>
        <v>871.80711000000019</v>
      </c>
      <c r="W111" s="403">
        <f t="shared" si="65"/>
        <v>1931.0120100000004</v>
      </c>
      <c r="X111" s="323"/>
      <c r="Y111" s="403">
        <f t="shared" si="66"/>
        <v>1341.41526</v>
      </c>
      <c r="Z111" s="403">
        <f t="shared" si="67"/>
        <v>1239.5356200000001</v>
      </c>
      <c r="AA111" s="403">
        <f t="shared" si="68"/>
        <v>1120.6760400000001</v>
      </c>
      <c r="AB111" s="403">
        <f t="shared" si="69"/>
        <v>605.61786000000006</v>
      </c>
      <c r="AC111" s="403">
        <f t="shared" si="70"/>
        <v>1341.41526</v>
      </c>
    </row>
    <row r="112" spans="1:29" ht="22.5">
      <c r="A112" s="689">
        <v>14</v>
      </c>
      <c r="B112" s="414" t="s">
        <v>327</v>
      </c>
      <c r="C112" s="689" t="s">
        <v>270</v>
      </c>
      <c r="D112" s="566"/>
      <c r="E112" s="566"/>
      <c r="F112" s="566"/>
      <c r="G112" s="566"/>
      <c r="H112" s="566"/>
      <c r="I112" s="567">
        <f t="shared" si="58"/>
        <v>43</v>
      </c>
      <c r="J112" s="567">
        <f>'附件4-8甲供材料清单'!K140+'附件4-8甲供材料清单'!K141</f>
        <v>43</v>
      </c>
      <c r="K112" s="567"/>
      <c r="L112" s="567"/>
      <c r="M112" s="402">
        <f t="shared" si="43"/>
        <v>0</v>
      </c>
      <c r="N112" s="402">
        <f t="shared" si="44"/>
        <v>0</v>
      </c>
      <c r="O112" s="402">
        <f t="shared" si="45"/>
        <v>0</v>
      </c>
      <c r="P112" s="402">
        <f t="shared" si="46"/>
        <v>0</v>
      </c>
      <c r="Q112" s="402">
        <f t="shared" si="47"/>
        <v>0</v>
      </c>
      <c r="R112" s="409" t="s">
        <v>328</v>
      </c>
      <c r="S112" s="455">
        <f t="shared" si="61"/>
        <v>0</v>
      </c>
      <c r="T112" s="403">
        <f t="shared" si="62"/>
        <v>0</v>
      </c>
      <c r="U112" s="403">
        <f t="shared" si="63"/>
        <v>0</v>
      </c>
      <c r="V112" s="403">
        <f t="shared" si="64"/>
        <v>0</v>
      </c>
      <c r="W112" s="403">
        <f t="shared" si="65"/>
        <v>0</v>
      </c>
      <c r="X112" s="323"/>
      <c r="Y112" s="403">
        <f t="shared" si="66"/>
        <v>0</v>
      </c>
      <c r="Z112" s="403">
        <f t="shared" si="67"/>
        <v>0</v>
      </c>
      <c r="AA112" s="403">
        <f t="shared" si="68"/>
        <v>0</v>
      </c>
      <c r="AB112" s="403">
        <f t="shared" si="69"/>
        <v>0</v>
      </c>
      <c r="AC112" s="403">
        <f t="shared" si="70"/>
        <v>0</v>
      </c>
    </row>
    <row r="113" spans="1:29" ht="22.5">
      <c r="A113" s="689">
        <v>15</v>
      </c>
      <c r="B113" s="414" t="s">
        <v>329</v>
      </c>
      <c r="C113" s="689" t="s">
        <v>270</v>
      </c>
      <c r="D113" s="566"/>
      <c r="E113" s="566"/>
      <c r="F113" s="566"/>
      <c r="G113" s="566"/>
      <c r="H113" s="566"/>
      <c r="I113" s="567">
        <f t="shared" si="58"/>
        <v>20</v>
      </c>
      <c r="J113" s="567">
        <f>'附件4-8甲供材料清单'!K142</f>
        <v>20</v>
      </c>
      <c r="K113" s="567"/>
      <c r="L113" s="567"/>
      <c r="M113" s="402">
        <f t="shared" si="43"/>
        <v>0</v>
      </c>
      <c r="N113" s="402">
        <f t="shared" si="44"/>
        <v>0</v>
      </c>
      <c r="O113" s="402">
        <f t="shared" si="45"/>
        <v>0</v>
      </c>
      <c r="P113" s="402">
        <f t="shared" si="46"/>
        <v>0</v>
      </c>
      <c r="Q113" s="402">
        <f t="shared" si="47"/>
        <v>0</v>
      </c>
      <c r="R113" s="409" t="s">
        <v>328</v>
      </c>
      <c r="S113" s="455">
        <f t="shared" si="61"/>
        <v>0</v>
      </c>
      <c r="T113" s="403">
        <f t="shared" si="62"/>
        <v>0</v>
      </c>
      <c r="U113" s="403">
        <f t="shared" si="63"/>
        <v>0</v>
      </c>
      <c r="V113" s="403">
        <f t="shared" si="64"/>
        <v>0</v>
      </c>
      <c r="W113" s="403">
        <f t="shared" si="65"/>
        <v>0</v>
      </c>
      <c r="X113" s="323"/>
      <c r="Y113" s="403">
        <f t="shared" si="66"/>
        <v>0</v>
      </c>
      <c r="Z113" s="403">
        <f t="shared" si="67"/>
        <v>0</v>
      </c>
      <c r="AA113" s="403">
        <f t="shared" si="68"/>
        <v>0</v>
      </c>
      <c r="AB113" s="403">
        <f t="shared" si="69"/>
        <v>0</v>
      </c>
      <c r="AC113" s="403">
        <f t="shared" si="70"/>
        <v>0</v>
      </c>
    </row>
    <row r="114" spans="1:29">
      <c r="A114" s="689">
        <v>16</v>
      </c>
      <c r="B114" s="407" t="s">
        <v>330</v>
      </c>
      <c r="C114" s="689" t="s">
        <v>235</v>
      </c>
      <c r="D114" s="566">
        <f>'G单元 '!$L$48</f>
        <v>2.19</v>
      </c>
      <c r="E114" s="566">
        <f>J单元!$M$48</f>
        <v>2.19</v>
      </c>
      <c r="F114" s="566">
        <f>'K单元 '!$M$48</f>
        <v>1.98</v>
      </c>
      <c r="G114" s="566">
        <f>'A1单元 '!L48</f>
        <v>1.07</v>
      </c>
      <c r="H114" s="566">
        <f>'G单元 '!$L$48</f>
        <v>2.19</v>
      </c>
      <c r="I114" s="567">
        <f t="shared" si="58"/>
        <v>420</v>
      </c>
      <c r="J114" s="567">
        <v>420</v>
      </c>
      <c r="K114" s="567"/>
      <c r="L114" s="567"/>
      <c r="M114" s="402">
        <f t="shared" si="43"/>
        <v>919.8</v>
      </c>
      <c r="N114" s="402">
        <f t="shared" si="44"/>
        <v>919.8</v>
      </c>
      <c r="O114" s="402">
        <f t="shared" si="45"/>
        <v>831.6</v>
      </c>
      <c r="P114" s="402">
        <f t="shared" si="46"/>
        <v>449.40000000000003</v>
      </c>
      <c r="Q114" s="402">
        <f t="shared" si="47"/>
        <v>919.8</v>
      </c>
      <c r="R114" s="409" t="s">
        <v>331</v>
      </c>
      <c r="S114" s="455"/>
      <c r="T114" s="403"/>
      <c r="U114" s="403"/>
      <c r="V114" s="403"/>
      <c r="W114" s="403"/>
      <c r="X114" s="323"/>
      <c r="Y114" s="423"/>
      <c r="Z114" s="423"/>
      <c r="AA114" s="423"/>
      <c r="AB114" s="423"/>
      <c r="AC114" s="423"/>
    </row>
    <row r="115" spans="1:29" ht="33.75">
      <c r="A115" s="689">
        <v>17</v>
      </c>
      <c r="B115" s="407" t="s">
        <v>332</v>
      </c>
      <c r="C115" s="689" t="s">
        <v>235</v>
      </c>
      <c r="D115" s="566">
        <f>'G单元 '!$O$48</f>
        <v>3.1799999999999997</v>
      </c>
      <c r="E115" s="566">
        <f>J单元!$O$48</f>
        <v>3.3899999999999997</v>
      </c>
      <c r="F115" s="566">
        <f>'K单元 '!$O$48</f>
        <v>3.3</v>
      </c>
      <c r="G115" s="566">
        <f>'A1单元 '!O48</f>
        <v>1.63</v>
      </c>
      <c r="H115" s="566">
        <f>'G单元 '!$O$48</f>
        <v>3.1799999999999997</v>
      </c>
      <c r="I115" s="567">
        <f t="shared" si="58"/>
        <v>68</v>
      </c>
      <c r="J115" s="567">
        <f>'附件4-8甲供材料清单'!K163</f>
        <v>68</v>
      </c>
      <c r="K115" s="567"/>
      <c r="L115" s="567"/>
      <c r="M115" s="402">
        <f t="shared" si="43"/>
        <v>216.23999999999998</v>
      </c>
      <c r="N115" s="402">
        <f t="shared" si="44"/>
        <v>230.51999999999998</v>
      </c>
      <c r="O115" s="402">
        <f t="shared" si="45"/>
        <v>224.39999999999998</v>
      </c>
      <c r="P115" s="402">
        <f t="shared" si="46"/>
        <v>110.83999999999999</v>
      </c>
      <c r="Q115" s="402">
        <f t="shared" si="47"/>
        <v>216.23999999999998</v>
      </c>
      <c r="R115" s="409" t="s">
        <v>316</v>
      </c>
      <c r="S115" s="455"/>
      <c r="T115" s="403"/>
      <c r="U115" s="403"/>
      <c r="V115" s="403"/>
      <c r="W115" s="403"/>
      <c r="X115" s="323"/>
      <c r="Y115" s="403"/>
      <c r="Z115" s="403"/>
      <c r="AA115" s="403"/>
      <c r="AB115" s="403"/>
      <c r="AC115" s="403"/>
    </row>
    <row r="116" spans="1:29" ht="22.5">
      <c r="A116" s="689" t="s">
        <v>278</v>
      </c>
      <c r="B116" s="407" t="s">
        <v>333</v>
      </c>
      <c r="C116" s="689" t="s">
        <v>235</v>
      </c>
      <c r="D116" s="566"/>
      <c r="E116" s="566"/>
      <c r="F116" s="566"/>
      <c r="G116" s="566"/>
      <c r="H116" s="566"/>
      <c r="I116" s="567">
        <f t="shared" si="58"/>
        <v>88.04</v>
      </c>
      <c r="J116" s="567">
        <f>'附件4-8甲供材料清单'!K164</f>
        <v>68</v>
      </c>
      <c r="K116" s="567">
        <v>3</v>
      </c>
      <c r="L116" s="567">
        <v>18</v>
      </c>
      <c r="M116" s="402">
        <f t="shared" si="43"/>
        <v>0</v>
      </c>
      <c r="N116" s="402">
        <f t="shared" si="44"/>
        <v>0</v>
      </c>
      <c r="O116" s="402">
        <f t="shared" si="45"/>
        <v>0</v>
      </c>
      <c r="P116" s="402">
        <f t="shared" si="46"/>
        <v>0</v>
      </c>
      <c r="Q116" s="402">
        <f t="shared" si="47"/>
        <v>0</v>
      </c>
      <c r="R116" s="409" t="s">
        <v>244</v>
      </c>
      <c r="S116" s="455">
        <f>M116</f>
        <v>0</v>
      </c>
      <c r="T116" s="403">
        <f>N116</f>
        <v>0</v>
      </c>
      <c r="U116" s="403">
        <f>O116</f>
        <v>0</v>
      </c>
      <c r="V116" s="403">
        <f>P116</f>
        <v>0</v>
      </c>
      <c r="W116" s="403">
        <f>Q116</f>
        <v>0</v>
      </c>
      <c r="X116" s="323"/>
      <c r="Y116" s="403">
        <f>D116*$J116*(1+$K116%)</f>
        <v>0</v>
      </c>
      <c r="Z116" s="403">
        <f>E116*$J116*(1+$K116%)</f>
        <v>0</v>
      </c>
      <c r="AA116" s="403">
        <f>F116*$J116*(1+$K116%)</f>
        <v>0</v>
      </c>
      <c r="AB116" s="403">
        <f>G116*$J116*(1+$K116%)</f>
        <v>0</v>
      </c>
      <c r="AC116" s="403">
        <f>H116*$J116*(1+$K116%)</f>
        <v>0</v>
      </c>
    </row>
    <row r="117" spans="1:29">
      <c r="A117" s="689">
        <v>18</v>
      </c>
      <c r="B117" s="407" t="s">
        <v>334</v>
      </c>
      <c r="C117" s="689" t="s">
        <v>231</v>
      </c>
      <c r="D117" s="566">
        <f>'G单元 '!$R$48</f>
        <v>28.679600000000001</v>
      </c>
      <c r="E117" s="566">
        <f>J单元!$R$48</f>
        <v>29.6496</v>
      </c>
      <c r="F117" s="566">
        <f>'K单元 '!$R$48</f>
        <v>28.371599999999997</v>
      </c>
      <c r="G117" s="566">
        <f>'A1单元 '!R48</f>
        <v>14.104800000000001</v>
      </c>
      <c r="H117" s="566">
        <f>'G单元 '!$R$48</f>
        <v>28.679600000000001</v>
      </c>
      <c r="I117" s="567">
        <f t="shared" si="58"/>
        <v>20.56</v>
      </c>
      <c r="J117" s="567">
        <v>13</v>
      </c>
      <c r="K117" s="567"/>
      <c r="L117" s="567">
        <v>7.56</v>
      </c>
      <c r="M117" s="402">
        <f t="shared" si="43"/>
        <v>589.65257599999995</v>
      </c>
      <c r="N117" s="402">
        <f t="shared" si="44"/>
        <v>609.595776</v>
      </c>
      <c r="O117" s="402">
        <f t="shared" si="45"/>
        <v>583.32009599999992</v>
      </c>
      <c r="P117" s="402">
        <f t="shared" si="46"/>
        <v>289.994688</v>
      </c>
      <c r="Q117" s="402">
        <f t="shared" si="47"/>
        <v>589.65257599999995</v>
      </c>
      <c r="R117" s="409"/>
      <c r="S117" s="455"/>
      <c r="T117" s="403"/>
      <c r="U117" s="403"/>
      <c r="V117" s="403"/>
      <c r="W117" s="403"/>
      <c r="X117" s="323"/>
      <c r="Y117" s="423"/>
      <c r="Z117" s="423"/>
      <c r="AA117" s="423"/>
      <c r="AB117" s="423"/>
      <c r="AC117" s="423"/>
    </row>
    <row r="118" spans="1:29" ht="33.75">
      <c r="A118" s="689">
        <v>19</v>
      </c>
      <c r="B118" s="407" t="s">
        <v>335</v>
      </c>
      <c r="C118" s="689" t="s">
        <v>336</v>
      </c>
      <c r="D118" s="566">
        <v>0</v>
      </c>
      <c r="E118" s="566">
        <v>0</v>
      </c>
      <c r="F118" s="566">
        <v>0</v>
      </c>
      <c r="G118" s="566">
        <f>'A1单元 '!V44</f>
        <v>3.5249999999999997E-2</v>
      </c>
      <c r="H118" s="566">
        <v>0</v>
      </c>
      <c r="I118" s="567">
        <f t="shared" si="58"/>
        <v>440</v>
      </c>
      <c r="J118" s="567">
        <v>440</v>
      </c>
      <c r="K118" s="567"/>
      <c r="L118" s="567">
        <v>0</v>
      </c>
      <c r="M118" s="402">
        <f t="shared" si="43"/>
        <v>0</v>
      </c>
      <c r="N118" s="402">
        <f t="shared" si="44"/>
        <v>0</v>
      </c>
      <c r="O118" s="402">
        <f t="shared" si="45"/>
        <v>0</v>
      </c>
      <c r="P118" s="402">
        <f t="shared" si="46"/>
        <v>15.509999999999998</v>
      </c>
      <c r="Q118" s="402">
        <f t="shared" si="47"/>
        <v>0</v>
      </c>
      <c r="R118" s="409" t="s">
        <v>337</v>
      </c>
      <c r="S118" s="455"/>
      <c r="T118" s="403"/>
      <c r="U118" s="403"/>
      <c r="V118" s="403"/>
      <c r="W118" s="403"/>
      <c r="X118" s="323"/>
      <c r="Y118" s="423"/>
      <c r="Z118" s="423"/>
      <c r="AA118" s="423"/>
      <c r="AB118" s="423"/>
      <c r="AC118" s="423"/>
    </row>
    <row r="119" spans="1:29">
      <c r="A119" s="689">
        <v>20</v>
      </c>
      <c r="B119" s="407" t="s">
        <v>338</v>
      </c>
      <c r="C119" s="689" t="s">
        <v>231</v>
      </c>
      <c r="D119" s="566">
        <v>0</v>
      </c>
      <c r="E119" s="566">
        <v>0</v>
      </c>
      <c r="F119" s="566">
        <v>0</v>
      </c>
      <c r="G119" s="566">
        <f>'A1单元 '!W44</f>
        <v>1.3160000000000003</v>
      </c>
      <c r="H119" s="566">
        <v>0</v>
      </c>
      <c r="I119" s="567">
        <f t="shared" si="58"/>
        <v>18.5</v>
      </c>
      <c r="J119" s="567">
        <v>18.5</v>
      </c>
      <c r="K119" s="567"/>
      <c r="L119" s="567">
        <v>0</v>
      </c>
      <c r="M119" s="402">
        <f t="shared" si="43"/>
        <v>0</v>
      </c>
      <c r="N119" s="402">
        <f t="shared" si="44"/>
        <v>0</v>
      </c>
      <c r="O119" s="402">
        <f t="shared" si="45"/>
        <v>0</v>
      </c>
      <c r="P119" s="402">
        <f t="shared" si="46"/>
        <v>24.346000000000004</v>
      </c>
      <c r="Q119" s="402">
        <f t="shared" si="47"/>
        <v>0</v>
      </c>
      <c r="R119" s="409"/>
      <c r="S119" s="455"/>
      <c r="T119" s="403"/>
      <c r="U119" s="403"/>
      <c r="V119" s="403"/>
      <c r="W119" s="403"/>
      <c r="X119" s="323"/>
      <c r="Y119" s="423"/>
      <c r="Z119" s="423"/>
      <c r="AA119" s="423"/>
      <c r="AB119" s="423"/>
      <c r="AC119" s="423"/>
    </row>
    <row r="120" spans="1:29" ht="45">
      <c r="A120" s="689">
        <v>21</v>
      </c>
      <c r="B120" s="415" t="s">
        <v>339</v>
      </c>
      <c r="C120" s="689" t="s">
        <v>340</v>
      </c>
      <c r="D120" s="566">
        <v>2</v>
      </c>
      <c r="E120" s="566">
        <v>2</v>
      </c>
      <c r="F120" s="566">
        <v>2</v>
      </c>
      <c r="G120" s="566">
        <v>1</v>
      </c>
      <c r="H120" s="566">
        <v>2</v>
      </c>
      <c r="I120" s="567">
        <f t="shared" si="58"/>
        <v>32.4</v>
      </c>
      <c r="J120" s="567"/>
      <c r="K120" s="567"/>
      <c r="L120" s="567">
        <v>32.4</v>
      </c>
      <c r="M120" s="402">
        <f t="shared" si="43"/>
        <v>64.8</v>
      </c>
      <c r="N120" s="402">
        <f t="shared" si="44"/>
        <v>64.8</v>
      </c>
      <c r="O120" s="402">
        <f t="shared" si="45"/>
        <v>64.8</v>
      </c>
      <c r="P120" s="402">
        <f t="shared" si="46"/>
        <v>32.4</v>
      </c>
      <c r="Q120" s="402">
        <f t="shared" si="47"/>
        <v>64.8</v>
      </c>
      <c r="R120" s="409" t="s">
        <v>341</v>
      </c>
      <c r="S120" s="455"/>
      <c r="T120" s="403"/>
      <c r="U120" s="403"/>
      <c r="V120" s="403"/>
      <c r="W120" s="403"/>
      <c r="X120" s="323"/>
      <c r="Y120" s="423"/>
      <c r="Z120" s="423"/>
      <c r="AA120" s="423"/>
      <c r="AB120" s="423"/>
      <c r="AC120" s="423"/>
    </row>
    <row r="121" spans="1:29">
      <c r="A121" s="689">
        <v>22</v>
      </c>
      <c r="B121" s="407" t="s">
        <v>342</v>
      </c>
      <c r="C121" s="689" t="s">
        <v>270</v>
      </c>
      <c r="D121" s="566">
        <v>4</v>
      </c>
      <c r="E121" s="566">
        <v>4</v>
      </c>
      <c r="F121" s="566">
        <v>4</v>
      </c>
      <c r="G121" s="566">
        <v>2</v>
      </c>
      <c r="H121" s="566">
        <v>4</v>
      </c>
      <c r="I121" s="567">
        <f t="shared" si="58"/>
        <v>27.995999999999999</v>
      </c>
      <c r="J121" s="567">
        <v>13.6</v>
      </c>
      <c r="K121" s="567">
        <v>1</v>
      </c>
      <c r="L121" s="567">
        <v>14.26</v>
      </c>
      <c r="M121" s="402">
        <f t="shared" si="43"/>
        <v>111.98399999999999</v>
      </c>
      <c r="N121" s="402">
        <f t="shared" si="44"/>
        <v>111.98399999999999</v>
      </c>
      <c r="O121" s="402">
        <f t="shared" si="45"/>
        <v>111.98399999999999</v>
      </c>
      <c r="P121" s="402">
        <f t="shared" si="46"/>
        <v>55.991999999999997</v>
      </c>
      <c r="Q121" s="402">
        <f t="shared" si="47"/>
        <v>111.98399999999999</v>
      </c>
      <c r="R121" s="409"/>
      <c r="S121" s="455"/>
      <c r="T121" s="403"/>
      <c r="U121" s="403"/>
      <c r="V121" s="403"/>
      <c r="W121" s="403"/>
      <c r="X121" s="323"/>
      <c r="Y121" s="423"/>
      <c r="Z121" s="423"/>
      <c r="AA121" s="423"/>
      <c r="AB121" s="423"/>
      <c r="AC121" s="423"/>
    </row>
    <row r="122" spans="1:29" ht="22.5">
      <c r="A122" s="689" t="s">
        <v>233</v>
      </c>
      <c r="B122" s="407" t="s">
        <v>343</v>
      </c>
      <c r="C122" s="689" t="s">
        <v>270</v>
      </c>
      <c r="D122" s="566"/>
      <c r="E122" s="566"/>
      <c r="F122" s="566"/>
      <c r="G122" s="566"/>
      <c r="H122" s="566"/>
      <c r="I122" s="567">
        <f t="shared" si="58"/>
        <v>41.045200000000001</v>
      </c>
      <c r="J122" s="567">
        <f>'附件4-8甲供材料清单'!K144</f>
        <v>26.52</v>
      </c>
      <c r="K122" s="567">
        <v>1</v>
      </c>
      <c r="L122" s="567">
        <v>14.26</v>
      </c>
      <c r="M122" s="402">
        <f t="shared" si="43"/>
        <v>0</v>
      </c>
      <c r="N122" s="402">
        <f t="shared" si="44"/>
        <v>0</v>
      </c>
      <c r="O122" s="402">
        <f t="shared" si="45"/>
        <v>0</v>
      </c>
      <c r="P122" s="402">
        <f t="shared" si="46"/>
        <v>0</v>
      </c>
      <c r="Q122" s="402">
        <f t="shared" si="47"/>
        <v>0</v>
      </c>
      <c r="R122" s="409" t="s">
        <v>244</v>
      </c>
      <c r="S122" s="455">
        <f>M122</f>
        <v>0</v>
      </c>
      <c r="T122" s="403">
        <f>N122</f>
        <v>0</v>
      </c>
      <c r="U122" s="403">
        <f>O122</f>
        <v>0</v>
      </c>
      <c r="V122" s="403">
        <f>P122</f>
        <v>0</v>
      </c>
      <c r="W122" s="403">
        <f>Q122</f>
        <v>0</v>
      </c>
      <c r="X122" s="323"/>
      <c r="Y122" s="403">
        <f>D122*$J122*(1+$K122%)</f>
        <v>0</v>
      </c>
      <c r="Z122" s="403">
        <f>E122*$J122*(1+$K122%)</f>
        <v>0</v>
      </c>
      <c r="AA122" s="403">
        <f>F122*$J122*(1+$K122%)</f>
        <v>0</v>
      </c>
      <c r="AB122" s="403">
        <f>G122*$J122*(1+$K122%)</f>
        <v>0</v>
      </c>
      <c r="AC122" s="403">
        <f>H122*$J122*(1+$K122%)</f>
        <v>0</v>
      </c>
    </row>
    <row r="123" spans="1:29">
      <c r="A123" s="689" t="s">
        <v>278</v>
      </c>
      <c r="B123" s="407" t="s">
        <v>344</v>
      </c>
      <c r="C123" s="689"/>
      <c r="D123" s="566"/>
      <c r="E123" s="566"/>
      <c r="F123" s="566"/>
      <c r="G123" s="566"/>
      <c r="H123" s="566"/>
      <c r="I123" s="567"/>
      <c r="J123" s="567"/>
      <c r="K123" s="567"/>
      <c r="L123" s="567"/>
      <c r="M123" s="402"/>
      <c r="N123" s="402"/>
      <c r="O123" s="402"/>
      <c r="P123" s="402"/>
      <c r="Q123" s="402"/>
      <c r="R123" s="409"/>
      <c r="S123" s="455"/>
      <c r="T123" s="403"/>
      <c r="U123" s="403"/>
      <c r="V123" s="403"/>
      <c r="W123" s="403"/>
      <c r="X123" s="323"/>
      <c r="Y123" s="403"/>
      <c r="Z123" s="403"/>
      <c r="AA123" s="403"/>
      <c r="AB123" s="403"/>
      <c r="AC123" s="403"/>
    </row>
    <row r="124" spans="1:29" ht="56.25">
      <c r="A124" s="689" t="s">
        <v>278</v>
      </c>
      <c r="B124" s="414" t="s">
        <v>345</v>
      </c>
      <c r="C124" s="416" t="s">
        <v>320</v>
      </c>
      <c r="D124" s="566"/>
      <c r="E124" s="566"/>
      <c r="F124" s="566"/>
      <c r="G124" s="566"/>
      <c r="H124" s="566"/>
      <c r="I124" s="567">
        <f t="shared" ref="I124" si="71">J124+J124*K124%+L124</f>
        <v>1062.789</v>
      </c>
      <c r="J124" s="567">
        <f>'附件4-8甲供材料清单'!$K$146</f>
        <v>839</v>
      </c>
      <c r="K124" s="411">
        <v>2</v>
      </c>
      <c r="L124" s="411">
        <v>207.00899999999999</v>
      </c>
      <c r="M124" s="402">
        <f t="shared" ref="M124:M155" si="72">D124*$I124</f>
        <v>0</v>
      </c>
      <c r="N124" s="402">
        <f t="shared" ref="N124:N155" si="73">E124*$I124</f>
        <v>0</v>
      </c>
      <c r="O124" s="402">
        <f t="shared" ref="O124:O155" si="74">F124*$I124</f>
        <v>0</v>
      </c>
      <c r="P124" s="402">
        <f t="shared" ref="P124:P155" si="75">G124*$I124</f>
        <v>0</v>
      </c>
      <c r="Q124" s="402">
        <f t="shared" ref="Q124:Q155" si="76">H124*$I124</f>
        <v>0</v>
      </c>
      <c r="R124" s="409" t="s">
        <v>244</v>
      </c>
      <c r="S124" s="455">
        <f t="shared" ref="S124:S133" si="77">M124</f>
        <v>0</v>
      </c>
      <c r="T124" s="403">
        <f t="shared" ref="T124:T133" si="78">N124</f>
        <v>0</v>
      </c>
      <c r="U124" s="403">
        <f t="shared" ref="U124:U133" si="79">O124</f>
        <v>0</v>
      </c>
      <c r="V124" s="403">
        <f t="shared" ref="V124:V133" si="80">P124</f>
        <v>0</v>
      </c>
      <c r="W124" s="403">
        <f t="shared" ref="W124:W133" si="81">Q124</f>
        <v>0</v>
      </c>
      <c r="X124" s="323"/>
      <c r="Y124" s="403">
        <f t="shared" ref="Y124:Y133" si="82">D124*$J124*(1+$K124%)</f>
        <v>0</v>
      </c>
      <c r="Z124" s="403">
        <f t="shared" ref="Z124:Z133" si="83">E124*$J124*(1+$K124%)</f>
        <v>0</v>
      </c>
      <c r="AA124" s="403">
        <f t="shared" ref="AA124:AA133" si="84">F124*$J124*(1+$K124%)</f>
        <v>0</v>
      </c>
      <c r="AB124" s="403">
        <f t="shared" ref="AB124:AB133" si="85">G124*$J124*(1+$K124%)</f>
        <v>0</v>
      </c>
      <c r="AC124" s="403">
        <f t="shared" ref="AC124:AC133" si="86">H124*$J124*(1+$K124%)</f>
        <v>0</v>
      </c>
    </row>
    <row r="125" spans="1:29" ht="56.25">
      <c r="A125" s="689" t="s">
        <v>278</v>
      </c>
      <c r="B125" s="414" t="s">
        <v>346</v>
      </c>
      <c r="C125" s="416" t="s">
        <v>320</v>
      </c>
      <c r="D125" s="566"/>
      <c r="E125" s="566"/>
      <c r="F125" s="566"/>
      <c r="G125" s="566"/>
      <c r="H125" s="566"/>
      <c r="I125" s="567">
        <f t="shared" ref="I125:I156" si="87">J125+J125*K125%+L125</f>
        <v>1168.7429999999999</v>
      </c>
      <c r="J125" s="567">
        <f>'附件4-8甲供材料清单'!$K$147</f>
        <v>919</v>
      </c>
      <c r="K125" s="411">
        <v>2</v>
      </c>
      <c r="L125" s="411">
        <v>231.363</v>
      </c>
      <c r="M125" s="402">
        <f t="shared" si="72"/>
        <v>0</v>
      </c>
      <c r="N125" s="402">
        <f t="shared" si="73"/>
        <v>0</v>
      </c>
      <c r="O125" s="402">
        <f t="shared" si="74"/>
        <v>0</v>
      </c>
      <c r="P125" s="402">
        <f t="shared" si="75"/>
        <v>0</v>
      </c>
      <c r="Q125" s="402">
        <f t="shared" si="76"/>
        <v>0</v>
      </c>
      <c r="R125" s="409" t="s">
        <v>244</v>
      </c>
      <c r="S125" s="455">
        <f t="shared" si="77"/>
        <v>0</v>
      </c>
      <c r="T125" s="403">
        <f t="shared" si="78"/>
        <v>0</v>
      </c>
      <c r="U125" s="403">
        <f t="shared" si="79"/>
        <v>0</v>
      </c>
      <c r="V125" s="403">
        <f t="shared" si="80"/>
        <v>0</v>
      </c>
      <c r="W125" s="403">
        <f t="shared" si="81"/>
        <v>0</v>
      </c>
      <c r="X125" s="323"/>
      <c r="Y125" s="403">
        <f t="shared" si="82"/>
        <v>0</v>
      </c>
      <c r="Z125" s="403">
        <f t="shared" si="83"/>
        <v>0</v>
      </c>
      <c r="AA125" s="403">
        <f t="shared" si="84"/>
        <v>0</v>
      </c>
      <c r="AB125" s="403">
        <f t="shared" si="85"/>
        <v>0</v>
      </c>
      <c r="AC125" s="403">
        <f t="shared" si="86"/>
        <v>0</v>
      </c>
    </row>
    <row r="126" spans="1:29" ht="56.25">
      <c r="A126" s="689" t="s">
        <v>278</v>
      </c>
      <c r="B126" s="414" t="s">
        <v>347</v>
      </c>
      <c r="C126" s="416" t="s">
        <v>320</v>
      </c>
      <c r="D126" s="566"/>
      <c r="E126" s="566"/>
      <c r="F126" s="566"/>
      <c r="G126" s="566"/>
      <c r="H126" s="566"/>
      <c r="I126" s="567">
        <f t="shared" si="87"/>
        <v>1276.7370000000001</v>
      </c>
      <c r="J126" s="567">
        <f>'附件4-8甲供材料清单'!$K$148</f>
        <v>1001</v>
      </c>
      <c r="K126" s="411">
        <v>2</v>
      </c>
      <c r="L126" s="411">
        <v>255.71700000000001</v>
      </c>
      <c r="M126" s="402">
        <f t="shared" si="72"/>
        <v>0</v>
      </c>
      <c r="N126" s="402">
        <f t="shared" si="73"/>
        <v>0</v>
      </c>
      <c r="O126" s="402">
        <f t="shared" si="74"/>
        <v>0</v>
      </c>
      <c r="P126" s="402">
        <f t="shared" si="75"/>
        <v>0</v>
      </c>
      <c r="Q126" s="402">
        <f t="shared" si="76"/>
        <v>0</v>
      </c>
      <c r="R126" s="409" t="s">
        <v>244</v>
      </c>
      <c r="S126" s="455">
        <f t="shared" si="77"/>
        <v>0</v>
      </c>
      <c r="T126" s="403">
        <f t="shared" si="78"/>
        <v>0</v>
      </c>
      <c r="U126" s="403">
        <f t="shared" si="79"/>
        <v>0</v>
      </c>
      <c r="V126" s="403">
        <f t="shared" si="80"/>
        <v>0</v>
      </c>
      <c r="W126" s="403">
        <f t="shared" si="81"/>
        <v>0</v>
      </c>
      <c r="X126" s="323"/>
      <c r="Y126" s="403">
        <f t="shared" si="82"/>
        <v>0</v>
      </c>
      <c r="Z126" s="403">
        <f t="shared" si="83"/>
        <v>0</v>
      </c>
      <c r="AA126" s="403">
        <f t="shared" si="84"/>
        <v>0</v>
      </c>
      <c r="AB126" s="403">
        <f t="shared" si="85"/>
        <v>0</v>
      </c>
      <c r="AC126" s="403">
        <f t="shared" si="86"/>
        <v>0</v>
      </c>
    </row>
    <row r="127" spans="1:29" ht="56.25">
      <c r="A127" s="689" t="s">
        <v>278</v>
      </c>
      <c r="B127" s="414" t="s">
        <v>348</v>
      </c>
      <c r="C127" s="416" t="s">
        <v>320</v>
      </c>
      <c r="D127" s="566"/>
      <c r="E127" s="566"/>
      <c r="F127" s="566"/>
      <c r="G127" s="566"/>
      <c r="H127" s="566"/>
      <c r="I127" s="567">
        <f t="shared" si="87"/>
        <v>865.92899999999997</v>
      </c>
      <c r="J127" s="567">
        <f>'附件4-8甲供材料清单'!$K$149</f>
        <v>646</v>
      </c>
      <c r="K127" s="411">
        <v>2</v>
      </c>
      <c r="L127" s="411">
        <v>207.00899999999999</v>
      </c>
      <c r="M127" s="402">
        <f t="shared" si="72"/>
        <v>0</v>
      </c>
      <c r="N127" s="402">
        <f t="shared" si="73"/>
        <v>0</v>
      </c>
      <c r="O127" s="402">
        <f t="shared" si="74"/>
        <v>0</v>
      </c>
      <c r="P127" s="402">
        <f t="shared" si="75"/>
        <v>0</v>
      </c>
      <c r="Q127" s="402">
        <f t="shared" si="76"/>
        <v>0</v>
      </c>
      <c r="R127" s="409" t="s">
        <v>244</v>
      </c>
      <c r="S127" s="455">
        <f t="shared" si="77"/>
        <v>0</v>
      </c>
      <c r="T127" s="403">
        <f t="shared" si="78"/>
        <v>0</v>
      </c>
      <c r="U127" s="403">
        <f t="shared" si="79"/>
        <v>0</v>
      </c>
      <c r="V127" s="403">
        <f t="shared" si="80"/>
        <v>0</v>
      </c>
      <c r="W127" s="403">
        <f t="shared" si="81"/>
        <v>0</v>
      </c>
      <c r="X127" s="323"/>
      <c r="Y127" s="403">
        <f t="shared" si="82"/>
        <v>0</v>
      </c>
      <c r="Z127" s="403">
        <f t="shared" si="83"/>
        <v>0</v>
      </c>
      <c r="AA127" s="403">
        <f t="shared" si="84"/>
        <v>0</v>
      </c>
      <c r="AB127" s="403">
        <f t="shared" si="85"/>
        <v>0</v>
      </c>
      <c r="AC127" s="403">
        <f t="shared" si="86"/>
        <v>0</v>
      </c>
    </row>
    <row r="128" spans="1:29" ht="56.25">
      <c r="A128" s="689" t="s">
        <v>278</v>
      </c>
      <c r="B128" s="414" t="s">
        <v>349</v>
      </c>
      <c r="C128" s="416" t="s">
        <v>320</v>
      </c>
      <c r="D128" s="566"/>
      <c r="E128" s="566"/>
      <c r="F128" s="566"/>
      <c r="G128" s="566"/>
      <c r="H128" s="566"/>
      <c r="I128" s="567">
        <f t="shared" si="87"/>
        <v>962.70299999999997</v>
      </c>
      <c r="J128" s="567">
        <f>'附件4-8甲供材料清单'!$K$150</f>
        <v>717</v>
      </c>
      <c r="K128" s="411">
        <v>2</v>
      </c>
      <c r="L128" s="411">
        <v>231.363</v>
      </c>
      <c r="M128" s="402">
        <f t="shared" si="72"/>
        <v>0</v>
      </c>
      <c r="N128" s="402">
        <f t="shared" si="73"/>
        <v>0</v>
      </c>
      <c r="O128" s="402">
        <f t="shared" si="74"/>
        <v>0</v>
      </c>
      <c r="P128" s="402">
        <f t="shared" si="75"/>
        <v>0</v>
      </c>
      <c r="Q128" s="402">
        <f t="shared" si="76"/>
        <v>0</v>
      </c>
      <c r="R128" s="409" t="s">
        <v>244</v>
      </c>
      <c r="S128" s="455">
        <f t="shared" si="77"/>
        <v>0</v>
      </c>
      <c r="T128" s="403">
        <f t="shared" si="78"/>
        <v>0</v>
      </c>
      <c r="U128" s="403">
        <f t="shared" si="79"/>
        <v>0</v>
      </c>
      <c r="V128" s="403">
        <f t="shared" si="80"/>
        <v>0</v>
      </c>
      <c r="W128" s="403">
        <f t="shared" si="81"/>
        <v>0</v>
      </c>
      <c r="X128" s="323"/>
      <c r="Y128" s="403">
        <f t="shared" si="82"/>
        <v>0</v>
      </c>
      <c r="Z128" s="403">
        <f t="shared" si="83"/>
        <v>0</v>
      </c>
      <c r="AA128" s="403">
        <f t="shared" si="84"/>
        <v>0</v>
      </c>
      <c r="AB128" s="403">
        <f t="shared" si="85"/>
        <v>0</v>
      </c>
      <c r="AC128" s="403">
        <f t="shared" si="86"/>
        <v>0</v>
      </c>
    </row>
    <row r="129" spans="1:29" ht="56.25">
      <c r="A129" s="689" t="s">
        <v>278</v>
      </c>
      <c r="B129" s="414" t="s">
        <v>350</v>
      </c>
      <c r="C129" s="416" t="s">
        <v>320</v>
      </c>
      <c r="D129" s="566"/>
      <c r="E129" s="566"/>
      <c r="F129" s="566"/>
      <c r="G129" s="566"/>
      <c r="H129" s="566"/>
      <c r="I129" s="567">
        <f t="shared" si="87"/>
        <v>1050.297</v>
      </c>
      <c r="J129" s="567">
        <f>'附件4-8甲供材料清单'!$K$151</f>
        <v>779</v>
      </c>
      <c r="K129" s="411">
        <v>2</v>
      </c>
      <c r="L129" s="411">
        <v>255.71700000000001</v>
      </c>
      <c r="M129" s="402">
        <f t="shared" si="72"/>
        <v>0</v>
      </c>
      <c r="N129" s="402">
        <f t="shared" si="73"/>
        <v>0</v>
      </c>
      <c r="O129" s="402">
        <f t="shared" si="74"/>
        <v>0</v>
      </c>
      <c r="P129" s="402">
        <f t="shared" si="75"/>
        <v>0</v>
      </c>
      <c r="Q129" s="402">
        <f t="shared" si="76"/>
        <v>0</v>
      </c>
      <c r="R129" s="409" t="s">
        <v>244</v>
      </c>
      <c r="S129" s="455">
        <f t="shared" si="77"/>
        <v>0</v>
      </c>
      <c r="T129" s="403">
        <f t="shared" si="78"/>
        <v>0</v>
      </c>
      <c r="U129" s="403">
        <f t="shared" si="79"/>
        <v>0</v>
      </c>
      <c r="V129" s="403">
        <f t="shared" si="80"/>
        <v>0</v>
      </c>
      <c r="W129" s="403">
        <f t="shared" si="81"/>
        <v>0</v>
      </c>
      <c r="X129" s="323"/>
      <c r="Y129" s="403">
        <f t="shared" si="82"/>
        <v>0</v>
      </c>
      <c r="Z129" s="403">
        <f t="shared" si="83"/>
        <v>0</v>
      </c>
      <c r="AA129" s="403">
        <f t="shared" si="84"/>
        <v>0</v>
      </c>
      <c r="AB129" s="403">
        <f t="shared" si="85"/>
        <v>0</v>
      </c>
      <c r="AC129" s="403">
        <f t="shared" si="86"/>
        <v>0</v>
      </c>
    </row>
    <row r="130" spans="1:29" ht="78.75">
      <c r="A130" s="689" t="s">
        <v>278</v>
      </c>
      <c r="B130" s="414" t="s">
        <v>351</v>
      </c>
      <c r="C130" s="416" t="s">
        <v>231</v>
      </c>
      <c r="D130" s="566"/>
      <c r="E130" s="566"/>
      <c r="F130" s="566"/>
      <c r="G130" s="566"/>
      <c r="H130" s="566"/>
      <c r="I130" s="567">
        <f t="shared" si="87"/>
        <v>1513.38</v>
      </c>
      <c r="J130" s="567">
        <f>'附件4-8甲供材料清单'!$K$152</f>
        <v>1169</v>
      </c>
      <c r="K130" s="411">
        <v>2</v>
      </c>
      <c r="L130" s="411">
        <v>321</v>
      </c>
      <c r="M130" s="402">
        <f t="shared" si="72"/>
        <v>0</v>
      </c>
      <c r="N130" s="402">
        <f t="shared" si="73"/>
        <v>0</v>
      </c>
      <c r="O130" s="402">
        <f t="shared" si="74"/>
        <v>0</v>
      </c>
      <c r="P130" s="402">
        <f t="shared" si="75"/>
        <v>0</v>
      </c>
      <c r="Q130" s="402">
        <f t="shared" si="76"/>
        <v>0</v>
      </c>
      <c r="R130" s="409" t="s">
        <v>244</v>
      </c>
      <c r="S130" s="455">
        <f t="shared" si="77"/>
        <v>0</v>
      </c>
      <c r="T130" s="403">
        <f t="shared" si="78"/>
        <v>0</v>
      </c>
      <c r="U130" s="403">
        <f t="shared" si="79"/>
        <v>0</v>
      </c>
      <c r="V130" s="403">
        <f t="shared" si="80"/>
        <v>0</v>
      </c>
      <c r="W130" s="403">
        <f t="shared" si="81"/>
        <v>0</v>
      </c>
      <c r="X130" s="323"/>
      <c r="Y130" s="403">
        <f t="shared" si="82"/>
        <v>0</v>
      </c>
      <c r="Z130" s="403">
        <f t="shared" si="83"/>
        <v>0</v>
      </c>
      <c r="AA130" s="403">
        <f t="shared" si="84"/>
        <v>0</v>
      </c>
      <c r="AB130" s="403">
        <f t="shared" si="85"/>
        <v>0</v>
      </c>
      <c r="AC130" s="403">
        <f t="shared" si="86"/>
        <v>0</v>
      </c>
    </row>
    <row r="131" spans="1:29" ht="78.75">
      <c r="A131" s="689" t="s">
        <v>278</v>
      </c>
      <c r="B131" s="414" t="s">
        <v>352</v>
      </c>
      <c r="C131" s="416" t="s">
        <v>231</v>
      </c>
      <c r="D131" s="566"/>
      <c r="E131" s="566"/>
      <c r="F131" s="566"/>
      <c r="G131" s="566"/>
      <c r="H131" s="566"/>
      <c r="I131" s="567">
        <f t="shared" si="87"/>
        <v>1555.2</v>
      </c>
      <c r="J131" s="567">
        <f>'附件4-8甲供材料清单'!$K$153</f>
        <v>1210</v>
      </c>
      <c r="K131" s="411">
        <v>2</v>
      </c>
      <c r="L131" s="411">
        <v>321</v>
      </c>
      <c r="M131" s="402">
        <f t="shared" si="72"/>
        <v>0</v>
      </c>
      <c r="N131" s="402">
        <f t="shared" si="73"/>
        <v>0</v>
      </c>
      <c r="O131" s="402">
        <f t="shared" si="74"/>
        <v>0</v>
      </c>
      <c r="P131" s="402">
        <f t="shared" si="75"/>
        <v>0</v>
      </c>
      <c r="Q131" s="402">
        <f t="shared" si="76"/>
        <v>0</v>
      </c>
      <c r="R131" s="409" t="s">
        <v>244</v>
      </c>
      <c r="S131" s="455">
        <f t="shared" si="77"/>
        <v>0</v>
      </c>
      <c r="T131" s="403">
        <f t="shared" si="78"/>
        <v>0</v>
      </c>
      <c r="U131" s="403">
        <f t="shared" si="79"/>
        <v>0</v>
      </c>
      <c r="V131" s="403">
        <f t="shared" si="80"/>
        <v>0</v>
      </c>
      <c r="W131" s="403">
        <f t="shared" si="81"/>
        <v>0</v>
      </c>
      <c r="X131" s="323"/>
      <c r="Y131" s="403">
        <f t="shared" si="82"/>
        <v>0</v>
      </c>
      <c r="Z131" s="403">
        <f t="shared" si="83"/>
        <v>0</v>
      </c>
      <c r="AA131" s="403">
        <f t="shared" si="84"/>
        <v>0</v>
      </c>
      <c r="AB131" s="403">
        <f t="shared" si="85"/>
        <v>0</v>
      </c>
      <c r="AC131" s="403">
        <f t="shared" si="86"/>
        <v>0</v>
      </c>
    </row>
    <row r="132" spans="1:29" ht="22.5">
      <c r="A132" s="689" t="s">
        <v>278</v>
      </c>
      <c r="B132" s="414" t="s">
        <v>353</v>
      </c>
      <c r="C132" s="416" t="s">
        <v>270</v>
      </c>
      <c r="D132" s="566"/>
      <c r="E132" s="566"/>
      <c r="F132" s="566"/>
      <c r="G132" s="566"/>
      <c r="H132" s="566"/>
      <c r="I132" s="567">
        <f t="shared" si="87"/>
        <v>95</v>
      </c>
      <c r="J132" s="567">
        <f>'附件4-8甲供材料清单'!$K$154</f>
        <v>95</v>
      </c>
      <c r="K132" s="411"/>
      <c r="L132" s="411"/>
      <c r="M132" s="402">
        <f t="shared" si="72"/>
        <v>0</v>
      </c>
      <c r="N132" s="402">
        <f t="shared" si="73"/>
        <v>0</v>
      </c>
      <c r="O132" s="402">
        <f t="shared" si="74"/>
        <v>0</v>
      </c>
      <c r="P132" s="402">
        <f t="shared" si="75"/>
        <v>0</v>
      </c>
      <c r="Q132" s="402">
        <f t="shared" si="76"/>
        <v>0</v>
      </c>
      <c r="R132" s="409" t="s">
        <v>244</v>
      </c>
      <c r="S132" s="455">
        <f t="shared" si="77"/>
        <v>0</v>
      </c>
      <c r="T132" s="403">
        <f t="shared" si="78"/>
        <v>0</v>
      </c>
      <c r="U132" s="403">
        <f t="shared" si="79"/>
        <v>0</v>
      </c>
      <c r="V132" s="403">
        <f t="shared" si="80"/>
        <v>0</v>
      </c>
      <c r="W132" s="403">
        <f t="shared" si="81"/>
        <v>0</v>
      </c>
      <c r="X132" s="323"/>
      <c r="Y132" s="403">
        <f t="shared" si="82"/>
        <v>0</v>
      </c>
      <c r="Z132" s="403">
        <f t="shared" si="83"/>
        <v>0</v>
      </c>
      <c r="AA132" s="403">
        <f t="shared" si="84"/>
        <v>0</v>
      </c>
      <c r="AB132" s="403">
        <f t="shared" si="85"/>
        <v>0</v>
      </c>
      <c r="AC132" s="403">
        <f t="shared" si="86"/>
        <v>0</v>
      </c>
    </row>
    <row r="133" spans="1:29" ht="22.5">
      <c r="A133" s="689" t="s">
        <v>278</v>
      </c>
      <c r="B133" s="414" t="s">
        <v>354</v>
      </c>
      <c r="C133" s="416" t="s">
        <v>270</v>
      </c>
      <c r="D133" s="566"/>
      <c r="E133" s="566"/>
      <c r="F133" s="566"/>
      <c r="G133" s="566"/>
      <c r="H133" s="566"/>
      <c r="I133" s="567">
        <f t="shared" si="87"/>
        <v>71</v>
      </c>
      <c r="J133" s="567">
        <f>'附件4-8甲供材料清单'!$K$155</f>
        <v>71</v>
      </c>
      <c r="K133" s="411"/>
      <c r="L133" s="411"/>
      <c r="M133" s="402">
        <f t="shared" si="72"/>
        <v>0</v>
      </c>
      <c r="N133" s="402">
        <f t="shared" si="73"/>
        <v>0</v>
      </c>
      <c r="O133" s="402">
        <f t="shared" si="74"/>
        <v>0</v>
      </c>
      <c r="P133" s="402">
        <f t="shared" si="75"/>
        <v>0</v>
      </c>
      <c r="Q133" s="402">
        <f t="shared" si="76"/>
        <v>0</v>
      </c>
      <c r="R133" s="409" t="s">
        <v>244</v>
      </c>
      <c r="S133" s="455">
        <f t="shared" si="77"/>
        <v>0</v>
      </c>
      <c r="T133" s="403">
        <f t="shared" si="78"/>
        <v>0</v>
      </c>
      <c r="U133" s="403">
        <f t="shared" si="79"/>
        <v>0</v>
      </c>
      <c r="V133" s="403">
        <f t="shared" si="80"/>
        <v>0</v>
      </c>
      <c r="W133" s="403">
        <f t="shared" si="81"/>
        <v>0</v>
      </c>
      <c r="X133" s="323"/>
      <c r="Y133" s="403">
        <f t="shared" si="82"/>
        <v>0</v>
      </c>
      <c r="Z133" s="403">
        <f t="shared" si="83"/>
        <v>0</v>
      </c>
      <c r="AA133" s="403">
        <f t="shared" si="84"/>
        <v>0</v>
      </c>
      <c r="AB133" s="403">
        <f t="shared" si="85"/>
        <v>0</v>
      </c>
      <c r="AC133" s="403">
        <f t="shared" si="86"/>
        <v>0</v>
      </c>
    </row>
    <row r="134" spans="1:29" s="451" customFormat="1">
      <c r="A134" s="635" t="s">
        <v>146</v>
      </c>
      <c r="B134" s="636" t="s">
        <v>356</v>
      </c>
      <c r="C134" s="635"/>
      <c r="D134" s="647"/>
      <c r="E134" s="647"/>
      <c r="F134" s="647"/>
      <c r="G134" s="647"/>
      <c r="H134" s="647"/>
      <c r="I134" s="648"/>
      <c r="J134" s="648"/>
      <c r="K134" s="648"/>
      <c r="L134" s="648"/>
      <c r="M134" s="645"/>
      <c r="N134" s="645"/>
      <c r="O134" s="645"/>
      <c r="P134" s="645"/>
      <c r="Q134" s="645"/>
      <c r="R134" s="640" t="s">
        <v>1864</v>
      </c>
      <c r="S134" s="444"/>
      <c r="T134" s="437"/>
      <c r="U134" s="437"/>
      <c r="V134" s="437"/>
      <c r="W134" s="437"/>
      <c r="X134" s="362"/>
      <c r="Y134" s="446"/>
      <c r="Z134" s="446"/>
      <c r="AA134" s="446"/>
      <c r="AB134" s="446"/>
      <c r="AC134" s="446"/>
    </row>
    <row r="135" spans="1:29" ht="33.75">
      <c r="A135" s="689">
        <v>1</v>
      </c>
      <c r="B135" s="407" t="s">
        <v>357</v>
      </c>
      <c r="C135" s="689" t="s">
        <v>231</v>
      </c>
      <c r="D135" s="566">
        <f t="shared" ref="D135" si="88">D115*1.95</f>
        <v>6.2009999999999996</v>
      </c>
      <c r="E135" s="566">
        <f>E115*1.95</f>
        <v>6.6104999999999992</v>
      </c>
      <c r="F135" s="566">
        <f>F115*1.95</f>
        <v>6.4349999999999996</v>
      </c>
      <c r="G135" s="566">
        <f>G115*1.95</f>
        <v>3.1784999999999997</v>
      </c>
      <c r="H135" s="566">
        <f t="shared" ref="H135" si="89">H115*1.95</f>
        <v>6.2009999999999996</v>
      </c>
      <c r="I135" s="567">
        <f t="shared" si="87"/>
        <v>299</v>
      </c>
      <c r="J135" s="567">
        <f>'附件4-8甲供材料清单'!K161</f>
        <v>299</v>
      </c>
      <c r="K135" s="567"/>
      <c r="L135" s="567">
        <v>0</v>
      </c>
      <c r="M135" s="402">
        <f t="shared" si="72"/>
        <v>1854.0989999999999</v>
      </c>
      <c r="N135" s="402">
        <f t="shared" si="73"/>
        <v>1976.5394999999996</v>
      </c>
      <c r="O135" s="402">
        <f t="shared" si="74"/>
        <v>1924.0649999999998</v>
      </c>
      <c r="P135" s="402">
        <f t="shared" si="75"/>
        <v>950.37149999999986</v>
      </c>
      <c r="Q135" s="402">
        <f t="shared" si="76"/>
        <v>1854.0989999999999</v>
      </c>
      <c r="R135" s="409" t="s">
        <v>316</v>
      </c>
      <c r="S135" s="455"/>
      <c r="T135" s="403"/>
      <c r="U135" s="403"/>
      <c r="V135" s="403"/>
      <c r="W135" s="403"/>
      <c r="X135" s="323"/>
      <c r="Y135" s="403"/>
      <c r="Z135" s="403"/>
      <c r="AA135" s="403"/>
      <c r="AB135" s="403"/>
      <c r="AC135" s="403"/>
    </row>
    <row r="136" spans="1:29" ht="45">
      <c r="A136" s="689">
        <v>2</v>
      </c>
      <c r="B136" s="407" t="s">
        <v>358</v>
      </c>
      <c r="C136" s="689" t="s">
        <v>320</v>
      </c>
      <c r="D136" s="566">
        <f>D4</f>
        <v>2</v>
      </c>
      <c r="E136" s="566">
        <f>E4</f>
        <v>2</v>
      </c>
      <c r="F136" s="566">
        <f>F4</f>
        <v>2</v>
      </c>
      <c r="G136" s="566">
        <f>G4</f>
        <v>1</v>
      </c>
      <c r="H136" s="566">
        <f>H4</f>
        <v>2</v>
      </c>
      <c r="I136" s="567">
        <f t="shared" si="87"/>
        <v>402.40999999999997</v>
      </c>
      <c r="J136" s="567">
        <f>'附件4-8甲供材料清单'!K25</f>
        <v>253</v>
      </c>
      <c r="K136" s="567">
        <v>1</v>
      </c>
      <c r="L136" s="567">
        <v>146.88</v>
      </c>
      <c r="M136" s="402">
        <f t="shared" si="72"/>
        <v>804.81999999999994</v>
      </c>
      <c r="N136" s="402">
        <f t="shared" si="73"/>
        <v>804.81999999999994</v>
      </c>
      <c r="O136" s="402">
        <f t="shared" si="74"/>
        <v>804.81999999999994</v>
      </c>
      <c r="P136" s="402">
        <f t="shared" si="75"/>
        <v>402.40999999999997</v>
      </c>
      <c r="Q136" s="402">
        <f t="shared" si="76"/>
        <v>804.81999999999994</v>
      </c>
      <c r="R136" s="409" t="s">
        <v>359</v>
      </c>
      <c r="S136" s="455">
        <f t="shared" ref="S136:W143" si="90">M136</f>
        <v>804.81999999999994</v>
      </c>
      <c r="T136" s="403">
        <f t="shared" si="90"/>
        <v>804.81999999999994</v>
      </c>
      <c r="U136" s="403">
        <f t="shared" si="90"/>
        <v>804.81999999999994</v>
      </c>
      <c r="V136" s="403">
        <f t="shared" si="90"/>
        <v>402.40999999999997</v>
      </c>
      <c r="W136" s="403">
        <f t="shared" si="90"/>
        <v>804.81999999999994</v>
      </c>
      <c r="X136" s="323"/>
      <c r="Y136" s="403">
        <f t="shared" ref="Y136:AC143" si="91">D136*$J136*(1+$K136%)</f>
        <v>511.06</v>
      </c>
      <c r="Z136" s="403">
        <f t="shared" si="91"/>
        <v>511.06</v>
      </c>
      <c r="AA136" s="403">
        <f t="shared" si="91"/>
        <v>511.06</v>
      </c>
      <c r="AB136" s="403">
        <f t="shared" si="91"/>
        <v>255.53</v>
      </c>
      <c r="AC136" s="403">
        <f t="shared" si="91"/>
        <v>511.06</v>
      </c>
    </row>
    <row r="137" spans="1:29" ht="45">
      <c r="A137" s="689">
        <v>3</v>
      </c>
      <c r="B137" s="407" t="s">
        <v>360</v>
      </c>
      <c r="C137" s="689" t="s">
        <v>320</v>
      </c>
      <c r="D137" s="566"/>
      <c r="E137" s="566"/>
      <c r="F137" s="566"/>
      <c r="G137" s="566"/>
      <c r="H137" s="566"/>
      <c r="I137" s="567">
        <f t="shared" si="87"/>
        <v>597.33999999999992</v>
      </c>
      <c r="J137" s="567">
        <f>'附件4-8甲供材料清单'!K26</f>
        <v>446</v>
      </c>
      <c r="K137" s="567">
        <v>1</v>
      </c>
      <c r="L137" s="567">
        <v>146.88</v>
      </c>
      <c r="M137" s="402">
        <f t="shared" si="72"/>
        <v>0</v>
      </c>
      <c r="N137" s="402">
        <f t="shared" si="73"/>
        <v>0</v>
      </c>
      <c r="O137" s="402">
        <f t="shared" si="74"/>
        <v>0</v>
      </c>
      <c r="P137" s="402">
        <f t="shared" si="75"/>
        <v>0</v>
      </c>
      <c r="Q137" s="402">
        <f t="shared" si="76"/>
        <v>0</v>
      </c>
      <c r="R137" s="409" t="s">
        <v>359</v>
      </c>
      <c r="S137" s="455">
        <f t="shared" si="90"/>
        <v>0</v>
      </c>
      <c r="T137" s="403">
        <f t="shared" si="90"/>
        <v>0</v>
      </c>
      <c r="U137" s="403">
        <f t="shared" si="90"/>
        <v>0</v>
      </c>
      <c r="V137" s="403">
        <f t="shared" si="90"/>
        <v>0</v>
      </c>
      <c r="W137" s="403">
        <f t="shared" si="90"/>
        <v>0</v>
      </c>
      <c r="X137" s="323"/>
      <c r="Y137" s="403">
        <f t="shared" si="91"/>
        <v>0</v>
      </c>
      <c r="Z137" s="403">
        <f t="shared" si="91"/>
        <v>0</v>
      </c>
      <c r="AA137" s="403">
        <f t="shared" si="91"/>
        <v>0</v>
      </c>
      <c r="AB137" s="403">
        <f t="shared" si="91"/>
        <v>0</v>
      </c>
      <c r="AC137" s="403">
        <f t="shared" si="91"/>
        <v>0</v>
      </c>
    </row>
    <row r="138" spans="1:29" ht="33.75">
      <c r="A138" s="689">
        <v>4</v>
      </c>
      <c r="B138" s="415" t="s">
        <v>361</v>
      </c>
      <c r="C138" s="689" t="s">
        <v>320</v>
      </c>
      <c r="D138" s="566">
        <f>D4+D5</f>
        <v>2</v>
      </c>
      <c r="E138" s="566">
        <f>E4+E5</f>
        <v>2</v>
      </c>
      <c r="F138" s="566">
        <f>F4+F5</f>
        <v>2</v>
      </c>
      <c r="G138" s="566">
        <f>G4+G5</f>
        <v>1</v>
      </c>
      <c r="H138" s="566">
        <f>H4+H5</f>
        <v>2</v>
      </c>
      <c r="I138" s="567">
        <f t="shared" si="87"/>
        <v>1292.2199999999998</v>
      </c>
      <c r="J138" s="567">
        <f>'附件4-8甲供材料清单'!K27</f>
        <v>1134</v>
      </c>
      <c r="K138" s="567">
        <v>1</v>
      </c>
      <c r="L138" s="567">
        <v>146.88</v>
      </c>
      <c r="M138" s="402">
        <f t="shared" si="72"/>
        <v>2584.4399999999996</v>
      </c>
      <c r="N138" s="402">
        <f t="shared" si="73"/>
        <v>2584.4399999999996</v>
      </c>
      <c r="O138" s="402">
        <f t="shared" si="74"/>
        <v>2584.4399999999996</v>
      </c>
      <c r="P138" s="402">
        <f t="shared" si="75"/>
        <v>1292.2199999999998</v>
      </c>
      <c r="Q138" s="402">
        <f t="shared" si="76"/>
        <v>2584.4399999999996</v>
      </c>
      <c r="R138" s="409" t="s">
        <v>362</v>
      </c>
      <c r="S138" s="455">
        <f t="shared" si="90"/>
        <v>2584.4399999999996</v>
      </c>
      <c r="T138" s="403">
        <f t="shared" si="90"/>
        <v>2584.4399999999996</v>
      </c>
      <c r="U138" s="403">
        <f t="shared" si="90"/>
        <v>2584.4399999999996</v>
      </c>
      <c r="V138" s="403">
        <f t="shared" si="90"/>
        <v>1292.2199999999998</v>
      </c>
      <c r="W138" s="403">
        <f t="shared" si="90"/>
        <v>2584.4399999999996</v>
      </c>
      <c r="X138" s="323"/>
      <c r="Y138" s="403">
        <f t="shared" si="91"/>
        <v>2290.6799999999998</v>
      </c>
      <c r="Z138" s="403">
        <f t="shared" si="91"/>
        <v>2290.6799999999998</v>
      </c>
      <c r="AA138" s="403">
        <f t="shared" si="91"/>
        <v>2290.6799999999998</v>
      </c>
      <c r="AB138" s="403">
        <f t="shared" si="91"/>
        <v>1145.3399999999999</v>
      </c>
      <c r="AC138" s="403">
        <f t="shared" si="91"/>
        <v>2290.6799999999998</v>
      </c>
    </row>
    <row r="139" spans="1:29" ht="22.5">
      <c r="A139" s="689">
        <v>5</v>
      </c>
      <c r="B139" s="407" t="s">
        <v>363</v>
      </c>
      <c r="C139" s="689" t="s">
        <v>270</v>
      </c>
      <c r="D139" s="566"/>
      <c r="E139" s="566"/>
      <c r="F139" s="566"/>
      <c r="G139" s="566"/>
      <c r="H139" s="566"/>
      <c r="I139" s="567">
        <f t="shared" si="87"/>
        <v>147.68</v>
      </c>
      <c r="J139" s="567">
        <f>'附件4-8甲供材料清单'!K31</f>
        <v>112</v>
      </c>
      <c r="K139" s="567">
        <v>1</v>
      </c>
      <c r="L139" s="567">
        <v>34.56</v>
      </c>
      <c r="M139" s="402">
        <f t="shared" si="72"/>
        <v>0</v>
      </c>
      <c r="N139" s="402">
        <f t="shared" si="73"/>
        <v>0</v>
      </c>
      <c r="O139" s="402">
        <f t="shared" si="74"/>
        <v>0</v>
      </c>
      <c r="P139" s="402">
        <f t="shared" si="75"/>
        <v>0</v>
      </c>
      <c r="Q139" s="402">
        <f t="shared" si="76"/>
        <v>0</v>
      </c>
      <c r="R139" s="409" t="s">
        <v>244</v>
      </c>
      <c r="S139" s="455">
        <f t="shared" si="90"/>
        <v>0</v>
      </c>
      <c r="T139" s="403">
        <f t="shared" si="90"/>
        <v>0</v>
      </c>
      <c r="U139" s="403">
        <f t="shared" si="90"/>
        <v>0</v>
      </c>
      <c r="V139" s="403">
        <f t="shared" si="90"/>
        <v>0</v>
      </c>
      <c r="W139" s="403">
        <f t="shared" si="90"/>
        <v>0</v>
      </c>
      <c r="X139" s="323"/>
      <c r="Y139" s="403">
        <f t="shared" si="91"/>
        <v>0</v>
      </c>
      <c r="Z139" s="403">
        <f t="shared" si="91"/>
        <v>0</v>
      </c>
      <c r="AA139" s="403">
        <f t="shared" si="91"/>
        <v>0</v>
      </c>
      <c r="AB139" s="403">
        <f t="shared" si="91"/>
        <v>0</v>
      </c>
      <c r="AC139" s="403">
        <f t="shared" si="91"/>
        <v>0</v>
      </c>
    </row>
    <row r="140" spans="1:29" ht="22.5">
      <c r="A140" s="689">
        <v>6</v>
      </c>
      <c r="B140" s="407" t="s">
        <v>364</v>
      </c>
      <c r="C140" s="689" t="s">
        <v>320</v>
      </c>
      <c r="D140" s="566">
        <f>D4+D5</f>
        <v>2</v>
      </c>
      <c r="E140" s="566">
        <f>E4+E5</f>
        <v>2</v>
      </c>
      <c r="F140" s="566">
        <f>F4+F5</f>
        <v>2</v>
      </c>
      <c r="G140" s="566">
        <f>G4+G5</f>
        <v>1</v>
      </c>
      <c r="H140" s="566">
        <f>H4+H5</f>
        <v>2</v>
      </c>
      <c r="I140" s="567">
        <f t="shared" si="87"/>
        <v>298.17</v>
      </c>
      <c r="J140" s="567">
        <f>'附件4-8甲供材料清单'!K29</f>
        <v>261</v>
      </c>
      <c r="K140" s="567">
        <v>1</v>
      </c>
      <c r="L140" s="567">
        <v>34.56</v>
      </c>
      <c r="M140" s="402">
        <f t="shared" si="72"/>
        <v>596.34</v>
      </c>
      <c r="N140" s="402">
        <f t="shared" si="73"/>
        <v>596.34</v>
      </c>
      <c r="O140" s="402">
        <f t="shared" si="74"/>
        <v>596.34</v>
      </c>
      <c r="P140" s="402">
        <f t="shared" si="75"/>
        <v>298.17</v>
      </c>
      <c r="Q140" s="402">
        <f t="shared" si="76"/>
        <v>596.34</v>
      </c>
      <c r="R140" s="409" t="s">
        <v>244</v>
      </c>
      <c r="S140" s="455">
        <f t="shared" si="90"/>
        <v>596.34</v>
      </c>
      <c r="T140" s="403">
        <f t="shared" si="90"/>
        <v>596.34</v>
      </c>
      <c r="U140" s="403">
        <f t="shared" si="90"/>
        <v>596.34</v>
      </c>
      <c r="V140" s="403">
        <f t="shared" si="90"/>
        <v>298.17</v>
      </c>
      <c r="W140" s="403">
        <f t="shared" si="90"/>
        <v>596.34</v>
      </c>
      <c r="X140" s="323"/>
      <c r="Y140" s="403">
        <f t="shared" si="91"/>
        <v>527.22</v>
      </c>
      <c r="Z140" s="403">
        <f t="shared" si="91"/>
        <v>527.22</v>
      </c>
      <c r="AA140" s="403">
        <f t="shared" si="91"/>
        <v>527.22</v>
      </c>
      <c r="AB140" s="403">
        <f t="shared" si="91"/>
        <v>263.61</v>
      </c>
      <c r="AC140" s="403">
        <f t="shared" si="91"/>
        <v>527.22</v>
      </c>
    </row>
    <row r="141" spans="1:29" ht="22.5">
      <c r="A141" s="689">
        <v>7</v>
      </c>
      <c r="B141" s="407" t="s">
        <v>365</v>
      </c>
      <c r="C141" s="689" t="s">
        <v>320</v>
      </c>
      <c r="D141" s="566">
        <f>D4+D5</f>
        <v>2</v>
      </c>
      <c r="E141" s="566">
        <f>E4+E5</f>
        <v>2</v>
      </c>
      <c r="F141" s="566">
        <f>F4+F5</f>
        <v>2</v>
      </c>
      <c r="G141" s="566">
        <f>G4+G5</f>
        <v>1</v>
      </c>
      <c r="H141" s="566">
        <f>H4+H5</f>
        <v>2</v>
      </c>
      <c r="I141" s="567">
        <f t="shared" si="87"/>
        <v>312.31</v>
      </c>
      <c r="J141" s="567">
        <f>'附件4-8甲供材料清单'!K30</f>
        <v>275</v>
      </c>
      <c r="K141" s="567">
        <v>1</v>
      </c>
      <c r="L141" s="567">
        <v>34.56</v>
      </c>
      <c r="M141" s="402">
        <f t="shared" si="72"/>
        <v>624.62</v>
      </c>
      <c r="N141" s="402">
        <f t="shared" si="73"/>
        <v>624.62</v>
      </c>
      <c r="O141" s="402">
        <f t="shared" si="74"/>
        <v>624.62</v>
      </c>
      <c r="P141" s="402">
        <f t="shared" si="75"/>
        <v>312.31</v>
      </c>
      <c r="Q141" s="402">
        <f t="shared" si="76"/>
        <v>624.62</v>
      </c>
      <c r="R141" s="409" t="s">
        <v>244</v>
      </c>
      <c r="S141" s="455">
        <f t="shared" si="90"/>
        <v>624.62</v>
      </c>
      <c r="T141" s="403">
        <f t="shared" si="90"/>
        <v>624.62</v>
      </c>
      <c r="U141" s="403">
        <f t="shared" si="90"/>
        <v>624.62</v>
      </c>
      <c r="V141" s="403">
        <f t="shared" si="90"/>
        <v>312.31</v>
      </c>
      <c r="W141" s="403">
        <f t="shared" si="90"/>
        <v>624.62</v>
      </c>
      <c r="X141" s="323"/>
      <c r="Y141" s="403">
        <f t="shared" si="91"/>
        <v>555.5</v>
      </c>
      <c r="Z141" s="403">
        <f t="shared" si="91"/>
        <v>555.5</v>
      </c>
      <c r="AA141" s="403">
        <f t="shared" si="91"/>
        <v>555.5</v>
      </c>
      <c r="AB141" s="403">
        <f t="shared" si="91"/>
        <v>277.75</v>
      </c>
      <c r="AC141" s="403">
        <f t="shared" si="91"/>
        <v>555.5</v>
      </c>
    </row>
    <row r="142" spans="1:29" ht="22.5">
      <c r="A142" s="689">
        <v>8</v>
      </c>
      <c r="B142" s="407" t="s">
        <v>366</v>
      </c>
      <c r="C142" s="689" t="s">
        <v>270</v>
      </c>
      <c r="D142" s="566">
        <f>D4+D5</f>
        <v>2</v>
      </c>
      <c r="E142" s="566">
        <f>E4+E5</f>
        <v>2</v>
      </c>
      <c r="F142" s="566">
        <f>F4+F5</f>
        <v>2</v>
      </c>
      <c r="G142" s="566">
        <f>G4+G5</f>
        <v>1</v>
      </c>
      <c r="H142" s="566">
        <f>H4+H5</f>
        <v>2</v>
      </c>
      <c r="I142" s="567">
        <f t="shared" si="87"/>
        <v>73.91</v>
      </c>
      <c r="J142" s="567">
        <f>'附件4-8甲供材料清单'!K35</f>
        <v>55</v>
      </c>
      <c r="K142" s="567">
        <v>1</v>
      </c>
      <c r="L142" s="567">
        <v>18.36</v>
      </c>
      <c r="M142" s="402">
        <f t="shared" si="72"/>
        <v>147.82</v>
      </c>
      <c r="N142" s="402">
        <f t="shared" si="73"/>
        <v>147.82</v>
      </c>
      <c r="O142" s="402">
        <f t="shared" si="74"/>
        <v>147.82</v>
      </c>
      <c r="P142" s="402">
        <f t="shared" si="75"/>
        <v>73.91</v>
      </c>
      <c r="Q142" s="402">
        <f t="shared" si="76"/>
        <v>147.82</v>
      </c>
      <c r="R142" s="409" t="s">
        <v>244</v>
      </c>
      <c r="S142" s="455">
        <f t="shared" si="90"/>
        <v>147.82</v>
      </c>
      <c r="T142" s="403">
        <f t="shared" si="90"/>
        <v>147.82</v>
      </c>
      <c r="U142" s="403">
        <f t="shared" si="90"/>
        <v>147.82</v>
      </c>
      <c r="V142" s="403">
        <f t="shared" si="90"/>
        <v>73.91</v>
      </c>
      <c r="W142" s="403">
        <f t="shared" si="90"/>
        <v>147.82</v>
      </c>
      <c r="X142" s="323"/>
      <c r="Y142" s="403">
        <f t="shared" si="91"/>
        <v>111.1</v>
      </c>
      <c r="Z142" s="403">
        <f t="shared" si="91"/>
        <v>111.1</v>
      </c>
      <c r="AA142" s="403">
        <f t="shared" si="91"/>
        <v>111.1</v>
      </c>
      <c r="AB142" s="403">
        <f t="shared" si="91"/>
        <v>55.55</v>
      </c>
      <c r="AC142" s="403">
        <f t="shared" si="91"/>
        <v>111.1</v>
      </c>
    </row>
    <row r="143" spans="1:29" ht="22.5">
      <c r="A143" s="689">
        <v>9</v>
      </c>
      <c r="B143" s="407" t="s">
        <v>367</v>
      </c>
      <c r="C143" s="689" t="s">
        <v>270</v>
      </c>
      <c r="D143" s="566">
        <f>D4+D5</f>
        <v>2</v>
      </c>
      <c r="E143" s="566">
        <f>E4+E5</f>
        <v>2</v>
      </c>
      <c r="F143" s="566">
        <f>F4+F5</f>
        <v>2</v>
      </c>
      <c r="G143" s="566">
        <f>G4+G5</f>
        <v>1</v>
      </c>
      <c r="H143" s="566">
        <f>H4+H5</f>
        <v>2</v>
      </c>
      <c r="I143" s="567">
        <f t="shared" si="87"/>
        <v>109.26</v>
      </c>
      <c r="J143" s="567">
        <f>'附件4-8甲供材料清单'!K36</f>
        <v>90</v>
      </c>
      <c r="K143" s="567">
        <v>1</v>
      </c>
      <c r="L143" s="567">
        <v>18.36</v>
      </c>
      <c r="M143" s="402">
        <f t="shared" si="72"/>
        <v>218.52</v>
      </c>
      <c r="N143" s="402">
        <f t="shared" si="73"/>
        <v>218.52</v>
      </c>
      <c r="O143" s="402">
        <f t="shared" si="74"/>
        <v>218.52</v>
      </c>
      <c r="P143" s="402">
        <f t="shared" si="75"/>
        <v>109.26</v>
      </c>
      <c r="Q143" s="402">
        <f t="shared" si="76"/>
        <v>218.52</v>
      </c>
      <c r="R143" s="409" t="s">
        <v>244</v>
      </c>
      <c r="S143" s="455">
        <f t="shared" si="90"/>
        <v>218.52</v>
      </c>
      <c r="T143" s="403">
        <f t="shared" si="90"/>
        <v>218.52</v>
      </c>
      <c r="U143" s="403">
        <f t="shared" si="90"/>
        <v>218.52</v>
      </c>
      <c r="V143" s="403">
        <f t="shared" si="90"/>
        <v>109.26</v>
      </c>
      <c r="W143" s="403">
        <f t="shared" si="90"/>
        <v>218.52</v>
      </c>
      <c r="X143" s="323"/>
      <c r="Y143" s="403">
        <f t="shared" si="91"/>
        <v>181.8</v>
      </c>
      <c r="Z143" s="403">
        <f t="shared" si="91"/>
        <v>181.8</v>
      </c>
      <c r="AA143" s="403">
        <f t="shared" si="91"/>
        <v>181.8</v>
      </c>
      <c r="AB143" s="403">
        <f t="shared" si="91"/>
        <v>90.9</v>
      </c>
      <c r="AC143" s="403">
        <f t="shared" si="91"/>
        <v>181.8</v>
      </c>
    </row>
    <row r="144" spans="1:29">
      <c r="A144" s="635" t="s">
        <v>64</v>
      </c>
      <c r="B144" s="636" t="s">
        <v>368</v>
      </c>
      <c r="C144" s="637"/>
      <c r="D144" s="714"/>
      <c r="E144" s="714"/>
      <c r="F144" s="714"/>
      <c r="G144" s="714"/>
      <c r="H144" s="714"/>
      <c r="I144" s="713"/>
      <c r="J144" s="713"/>
      <c r="K144" s="713"/>
      <c r="L144" s="713"/>
      <c r="M144" s="639"/>
      <c r="N144" s="639"/>
      <c r="O144" s="639"/>
      <c r="P144" s="639"/>
      <c r="Q144" s="639"/>
      <c r="R144" s="640" t="s">
        <v>1864</v>
      </c>
      <c r="S144" s="455"/>
      <c r="T144" s="403"/>
      <c r="U144" s="403"/>
      <c r="V144" s="403"/>
      <c r="W144" s="403"/>
      <c r="X144" s="323"/>
      <c r="Y144" s="423"/>
      <c r="Z144" s="423"/>
      <c r="AA144" s="423"/>
      <c r="AB144" s="423"/>
      <c r="AC144" s="423"/>
    </row>
    <row r="145" spans="1:29">
      <c r="A145" s="635" t="s">
        <v>133</v>
      </c>
      <c r="B145" s="636" t="s">
        <v>229</v>
      </c>
      <c r="C145" s="637"/>
      <c r="D145" s="714"/>
      <c r="E145" s="714"/>
      <c r="F145" s="714"/>
      <c r="G145" s="714"/>
      <c r="H145" s="714"/>
      <c r="I145" s="713"/>
      <c r="J145" s="713"/>
      <c r="K145" s="713"/>
      <c r="L145" s="713"/>
      <c r="M145" s="639"/>
      <c r="N145" s="639"/>
      <c r="O145" s="639"/>
      <c r="P145" s="639"/>
      <c r="Q145" s="639"/>
      <c r="R145" s="640" t="s">
        <v>1864</v>
      </c>
      <c r="S145" s="455"/>
      <c r="T145" s="403"/>
      <c r="U145" s="403"/>
      <c r="V145" s="403"/>
      <c r="W145" s="403"/>
      <c r="X145" s="323"/>
      <c r="Y145" s="423"/>
      <c r="Z145" s="423"/>
      <c r="AA145" s="423"/>
      <c r="AB145" s="423"/>
      <c r="AC145" s="423"/>
    </row>
    <row r="146" spans="1:29" ht="33.75">
      <c r="A146" s="689">
        <v>1</v>
      </c>
      <c r="B146" s="407" t="s">
        <v>300</v>
      </c>
      <c r="C146" s="689" t="s">
        <v>231</v>
      </c>
      <c r="D146" s="566"/>
      <c r="E146" s="566"/>
      <c r="F146" s="566"/>
      <c r="G146" s="566"/>
      <c r="H146" s="566"/>
      <c r="I146" s="567">
        <f t="shared" si="87"/>
        <v>95.70204081632653</v>
      </c>
      <c r="J146" s="567">
        <f>'附件4-8甲供材料清单'!M130</f>
        <v>55.183673469387763</v>
      </c>
      <c r="K146" s="567">
        <v>10</v>
      </c>
      <c r="L146" s="567">
        <v>35</v>
      </c>
      <c r="M146" s="402">
        <f t="shared" si="72"/>
        <v>0</v>
      </c>
      <c r="N146" s="402">
        <f t="shared" si="73"/>
        <v>0</v>
      </c>
      <c r="O146" s="402">
        <f t="shared" si="74"/>
        <v>0</v>
      </c>
      <c r="P146" s="402">
        <f t="shared" si="75"/>
        <v>0</v>
      </c>
      <c r="Q146" s="402">
        <f t="shared" si="76"/>
        <v>0</v>
      </c>
      <c r="R146" s="409" t="s">
        <v>244</v>
      </c>
      <c r="S146" s="455">
        <f>M146</f>
        <v>0</v>
      </c>
      <c r="T146" s="403">
        <f>N146</f>
        <v>0</v>
      </c>
      <c r="U146" s="403">
        <f>O146</f>
        <v>0</v>
      </c>
      <c r="V146" s="403">
        <f>P146</f>
        <v>0</v>
      </c>
      <c r="W146" s="403">
        <f>Q146</f>
        <v>0</v>
      </c>
      <c r="X146" s="323"/>
      <c r="Y146" s="403">
        <f>D146*$J146*(1+$K146%)</f>
        <v>0</v>
      </c>
      <c r="Z146" s="403">
        <f>E146*$J146*(1+$K146%)</f>
        <v>0</v>
      </c>
      <c r="AA146" s="403">
        <f>F146*$J146*(1+$K146%)</f>
        <v>0</v>
      </c>
      <c r="AB146" s="403">
        <f>G146*$J146*(1+$K146%)</f>
        <v>0</v>
      </c>
      <c r="AC146" s="403">
        <f>H146*$J146*(1+$K146%)</f>
        <v>0</v>
      </c>
    </row>
    <row r="147" spans="1:29" ht="22.5">
      <c r="A147" s="689" t="s">
        <v>233</v>
      </c>
      <c r="B147" s="407" t="s">
        <v>369</v>
      </c>
      <c r="C147" s="689" t="s">
        <v>231</v>
      </c>
      <c r="D147" s="566">
        <f t="shared" ref="D147" si="92">D148</f>
        <v>5.7199999999999989</v>
      </c>
      <c r="E147" s="566">
        <f>E148</f>
        <v>8.24</v>
      </c>
      <c r="F147" s="566">
        <f>F148</f>
        <v>8.86</v>
      </c>
      <c r="G147" s="566">
        <f>G148</f>
        <v>8.27</v>
      </c>
      <c r="H147" s="566">
        <f>H148</f>
        <v>5.7199999999999989</v>
      </c>
      <c r="I147" s="567">
        <f t="shared" si="87"/>
        <v>79.14</v>
      </c>
      <c r="J147" s="567">
        <v>15</v>
      </c>
      <c r="K147" s="567">
        <v>10</v>
      </c>
      <c r="L147" s="567">
        <v>62.64</v>
      </c>
      <c r="M147" s="402">
        <f t="shared" si="72"/>
        <v>452.68079999999992</v>
      </c>
      <c r="N147" s="402">
        <f t="shared" si="73"/>
        <v>652.11360000000002</v>
      </c>
      <c r="O147" s="402">
        <f t="shared" si="74"/>
        <v>701.18039999999996</v>
      </c>
      <c r="P147" s="402">
        <f t="shared" si="75"/>
        <v>654.48779999999999</v>
      </c>
      <c r="Q147" s="402">
        <f t="shared" si="76"/>
        <v>452.68079999999992</v>
      </c>
      <c r="R147" s="409"/>
      <c r="S147" s="455"/>
      <c r="T147" s="403"/>
      <c r="U147" s="403"/>
      <c r="V147" s="403"/>
      <c r="W147" s="403"/>
      <c r="X147" s="323"/>
      <c r="Y147" s="423"/>
      <c r="Z147" s="423"/>
      <c r="AA147" s="423"/>
      <c r="AB147" s="423"/>
      <c r="AC147" s="423"/>
    </row>
    <row r="148" spans="1:29" ht="22.5">
      <c r="A148" s="689" t="s">
        <v>233</v>
      </c>
      <c r="B148" s="407" t="s">
        <v>302</v>
      </c>
      <c r="C148" s="689" t="s">
        <v>231</v>
      </c>
      <c r="D148" s="566">
        <f t="shared" ref="D148" si="93">D152+D153</f>
        <v>5.7199999999999989</v>
      </c>
      <c r="E148" s="566">
        <f>E152+E153</f>
        <v>8.24</v>
      </c>
      <c r="F148" s="566">
        <f>F152+F153</f>
        <v>8.86</v>
      </c>
      <c r="G148" s="566">
        <f>G152+G153</f>
        <v>8.27</v>
      </c>
      <c r="H148" s="566">
        <f t="shared" ref="H148" si="94">H152+H153</f>
        <v>5.7199999999999989</v>
      </c>
      <c r="I148" s="567">
        <f t="shared" si="87"/>
        <v>22.012509999999999</v>
      </c>
      <c r="J148" s="567">
        <f>'附件4-8甲供材料清单'!N127</f>
        <v>2.79251</v>
      </c>
      <c r="K148" s="567"/>
      <c r="L148" s="567">
        <v>19.22</v>
      </c>
      <c r="M148" s="402">
        <f t="shared" si="72"/>
        <v>125.91155719999996</v>
      </c>
      <c r="N148" s="402">
        <f t="shared" si="73"/>
        <v>181.38308240000001</v>
      </c>
      <c r="O148" s="402">
        <f t="shared" si="74"/>
        <v>195.03083859999998</v>
      </c>
      <c r="P148" s="402">
        <f t="shared" si="75"/>
        <v>182.04345769999998</v>
      </c>
      <c r="Q148" s="402">
        <f t="shared" si="76"/>
        <v>125.91155719999996</v>
      </c>
      <c r="R148" s="409" t="s">
        <v>244</v>
      </c>
      <c r="S148" s="455">
        <f t="shared" ref="S148:W149" si="95">M148</f>
        <v>125.91155719999996</v>
      </c>
      <c r="T148" s="403">
        <f t="shared" si="95"/>
        <v>181.38308240000001</v>
      </c>
      <c r="U148" s="403">
        <f t="shared" si="95"/>
        <v>195.03083859999998</v>
      </c>
      <c r="V148" s="403">
        <f t="shared" si="95"/>
        <v>182.04345769999998</v>
      </c>
      <c r="W148" s="403">
        <f t="shared" si="95"/>
        <v>125.91155719999996</v>
      </c>
      <c r="X148" s="323"/>
      <c r="Y148" s="403">
        <f t="shared" ref="Y148:AC149" si="96">D148*$J148*(1+$K148%)</f>
        <v>15.973157199999998</v>
      </c>
      <c r="Z148" s="403">
        <f t="shared" si="96"/>
        <v>23.010282400000001</v>
      </c>
      <c r="AA148" s="403">
        <f t="shared" si="96"/>
        <v>24.741638599999998</v>
      </c>
      <c r="AB148" s="403">
        <f t="shared" si="96"/>
        <v>23.0940577</v>
      </c>
      <c r="AC148" s="403">
        <f t="shared" si="96"/>
        <v>15.973157199999998</v>
      </c>
    </row>
    <row r="149" spans="1:29" ht="22.5">
      <c r="A149" s="689" t="s">
        <v>233</v>
      </c>
      <c r="B149" s="407" t="s">
        <v>303</v>
      </c>
      <c r="C149" s="689" t="s">
        <v>231</v>
      </c>
      <c r="D149" s="566"/>
      <c r="E149" s="566"/>
      <c r="F149" s="566"/>
      <c r="G149" s="566"/>
      <c r="H149" s="566"/>
      <c r="I149" s="567">
        <f t="shared" si="87"/>
        <v>24.572509999999998</v>
      </c>
      <c r="J149" s="567">
        <f>J148</f>
        <v>2.79251</v>
      </c>
      <c r="K149" s="567"/>
      <c r="L149" s="567">
        <f>2.56+19.22</f>
        <v>21.779999999999998</v>
      </c>
      <c r="M149" s="402">
        <f t="shared" si="72"/>
        <v>0</v>
      </c>
      <c r="N149" s="402">
        <f t="shared" si="73"/>
        <v>0</v>
      </c>
      <c r="O149" s="402">
        <f t="shared" si="74"/>
        <v>0</v>
      </c>
      <c r="P149" s="402">
        <f t="shared" si="75"/>
        <v>0</v>
      </c>
      <c r="Q149" s="402">
        <f t="shared" si="76"/>
        <v>0</v>
      </c>
      <c r="R149" s="409" t="s">
        <v>244</v>
      </c>
      <c r="S149" s="455">
        <f t="shared" si="95"/>
        <v>0</v>
      </c>
      <c r="T149" s="403">
        <f t="shared" si="95"/>
        <v>0</v>
      </c>
      <c r="U149" s="403">
        <f t="shared" si="95"/>
        <v>0</v>
      </c>
      <c r="V149" s="403">
        <f t="shared" si="95"/>
        <v>0</v>
      </c>
      <c r="W149" s="403">
        <f t="shared" si="95"/>
        <v>0</v>
      </c>
      <c r="X149" s="323"/>
      <c r="Y149" s="403">
        <f t="shared" si="96"/>
        <v>0</v>
      </c>
      <c r="Z149" s="403">
        <f t="shared" si="96"/>
        <v>0</v>
      </c>
      <c r="AA149" s="403">
        <f t="shared" si="96"/>
        <v>0</v>
      </c>
      <c r="AB149" s="403">
        <f t="shared" si="96"/>
        <v>0</v>
      </c>
      <c r="AC149" s="403">
        <f t="shared" si="96"/>
        <v>0</v>
      </c>
    </row>
    <row r="150" spans="1:29" ht="33.75">
      <c r="A150" s="689" t="s">
        <v>233</v>
      </c>
      <c r="B150" s="407" t="s">
        <v>370</v>
      </c>
      <c r="C150" s="689" t="s">
        <v>270</v>
      </c>
      <c r="D150" s="566">
        <v>1</v>
      </c>
      <c r="E150" s="566">
        <v>1</v>
      </c>
      <c r="F150" s="566">
        <v>1</v>
      </c>
      <c r="G150" s="566">
        <v>1</v>
      </c>
      <c r="H150" s="566">
        <v>1</v>
      </c>
      <c r="I150" s="567">
        <f t="shared" si="87"/>
        <v>56.25</v>
      </c>
      <c r="J150" s="567">
        <v>45</v>
      </c>
      <c r="K150" s="567">
        <v>1</v>
      </c>
      <c r="L150" s="567">
        <v>10.8</v>
      </c>
      <c r="M150" s="402">
        <f t="shared" si="72"/>
        <v>56.25</v>
      </c>
      <c r="N150" s="402">
        <f t="shared" si="73"/>
        <v>56.25</v>
      </c>
      <c r="O150" s="402">
        <f t="shared" si="74"/>
        <v>56.25</v>
      </c>
      <c r="P150" s="402">
        <f t="shared" si="75"/>
        <v>56.25</v>
      </c>
      <c r="Q150" s="402">
        <f t="shared" si="76"/>
        <v>56.25</v>
      </c>
      <c r="R150" s="409"/>
      <c r="S150" s="455"/>
      <c r="T150" s="403"/>
      <c r="U150" s="403"/>
      <c r="V150" s="403"/>
      <c r="W150" s="403"/>
      <c r="X150" s="323"/>
      <c r="Y150" s="423"/>
      <c r="Z150" s="423"/>
      <c r="AA150" s="423"/>
      <c r="AB150" s="423"/>
      <c r="AC150" s="423"/>
    </row>
    <row r="151" spans="1:29">
      <c r="A151" s="635" t="s">
        <v>246</v>
      </c>
      <c r="B151" s="636" t="s">
        <v>247</v>
      </c>
      <c r="C151" s="637"/>
      <c r="D151" s="714"/>
      <c r="E151" s="714"/>
      <c r="F151" s="714"/>
      <c r="G151" s="714"/>
      <c r="H151" s="714"/>
      <c r="I151" s="713"/>
      <c r="J151" s="713"/>
      <c r="K151" s="713"/>
      <c r="L151" s="713"/>
      <c r="M151" s="639"/>
      <c r="N151" s="639"/>
      <c r="O151" s="639"/>
      <c r="P151" s="639"/>
      <c r="Q151" s="639"/>
      <c r="R151" s="640" t="s">
        <v>1864</v>
      </c>
      <c r="S151" s="455"/>
      <c r="T151" s="403"/>
      <c r="U151" s="403"/>
      <c r="V151" s="403"/>
      <c r="W151" s="403"/>
      <c r="X151" s="323"/>
      <c r="Y151" s="423"/>
      <c r="Z151" s="423"/>
      <c r="AA151" s="423"/>
      <c r="AB151" s="423"/>
      <c r="AC151" s="423"/>
    </row>
    <row r="152" spans="1:29">
      <c r="A152" s="689">
        <v>1</v>
      </c>
      <c r="B152" s="407" t="s">
        <v>371</v>
      </c>
      <c r="C152" s="689" t="s">
        <v>231</v>
      </c>
      <c r="D152" s="566">
        <f>'G单元 '!$E$55</f>
        <v>1.35</v>
      </c>
      <c r="E152" s="566">
        <f>J单元!$E$55</f>
        <v>2.61</v>
      </c>
      <c r="F152" s="566">
        <f>'K单元 '!$E$55</f>
        <v>3.53</v>
      </c>
      <c r="G152" s="566">
        <f>'A1单元 '!E55</f>
        <v>1.1299999999999999</v>
      </c>
      <c r="H152" s="566">
        <f>'G单元 '!$E$55</f>
        <v>1.35</v>
      </c>
      <c r="I152" s="567">
        <f t="shared" si="87"/>
        <v>24.44</v>
      </c>
      <c r="J152" s="567"/>
      <c r="K152" s="567"/>
      <c r="L152" s="567">
        <v>24.44</v>
      </c>
      <c r="M152" s="402">
        <f t="shared" si="72"/>
        <v>32.994000000000007</v>
      </c>
      <c r="N152" s="402">
        <f t="shared" si="73"/>
        <v>63.788400000000003</v>
      </c>
      <c r="O152" s="402">
        <f t="shared" si="74"/>
        <v>86.273200000000003</v>
      </c>
      <c r="P152" s="402">
        <f t="shared" si="75"/>
        <v>27.6172</v>
      </c>
      <c r="Q152" s="402">
        <f t="shared" si="76"/>
        <v>32.994000000000007</v>
      </c>
      <c r="R152" s="409"/>
      <c r="S152" s="455"/>
      <c r="T152" s="403"/>
      <c r="U152" s="403"/>
      <c r="V152" s="403"/>
      <c r="W152" s="403"/>
      <c r="X152" s="323"/>
      <c r="Y152" s="423"/>
      <c r="Z152" s="423"/>
      <c r="AA152" s="423"/>
      <c r="AB152" s="423"/>
      <c r="AC152" s="423"/>
    </row>
    <row r="153" spans="1:29" ht="22.5">
      <c r="A153" s="689">
        <v>2</v>
      </c>
      <c r="B153" s="407" t="s">
        <v>304</v>
      </c>
      <c r="C153" s="689" t="s">
        <v>231</v>
      </c>
      <c r="D153" s="566">
        <f>'G单元 '!$E$56</f>
        <v>4.3699999999999992</v>
      </c>
      <c r="E153" s="566">
        <f>J单元!$E$56</f>
        <v>5.6300000000000008</v>
      </c>
      <c r="F153" s="566">
        <f>'K单元 '!$E$56</f>
        <v>5.33</v>
      </c>
      <c r="G153" s="566">
        <f>'A1单元 '!E56</f>
        <v>7.14</v>
      </c>
      <c r="H153" s="566">
        <f>'G单元 '!$E$56</f>
        <v>4.3699999999999992</v>
      </c>
      <c r="I153" s="567">
        <f t="shared" si="87"/>
        <v>109.54749999999999</v>
      </c>
      <c r="J153" s="567">
        <f>'附件4-8甲供材料清单'!M13</f>
        <v>57.874999999999986</v>
      </c>
      <c r="K153" s="567">
        <v>6</v>
      </c>
      <c r="L153" s="567">
        <v>48.2</v>
      </c>
      <c r="M153" s="402">
        <f t="shared" si="72"/>
        <v>478.72257499999984</v>
      </c>
      <c r="N153" s="402">
        <f t="shared" si="73"/>
        <v>616.75242500000002</v>
      </c>
      <c r="O153" s="402">
        <f t="shared" si="74"/>
        <v>583.88817499999993</v>
      </c>
      <c r="P153" s="402">
        <f t="shared" si="75"/>
        <v>782.16914999999983</v>
      </c>
      <c r="Q153" s="402">
        <f t="shared" si="76"/>
        <v>478.72257499999984</v>
      </c>
      <c r="R153" s="409" t="s">
        <v>244</v>
      </c>
      <c r="S153" s="455">
        <f>M153</f>
        <v>478.72257499999984</v>
      </c>
      <c r="T153" s="403">
        <f>N153</f>
        <v>616.75242500000002</v>
      </c>
      <c r="U153" s="403">
        <f>O153</f>
        <v>583.88817499999993</v>
      </c>
      <c r="V153" s="403">
        <f>P153</f>
        <v>782.16914999999983</v>
      </c>
      <c r="W153" s="403">
        <f>Q153</f>
        <v>478.72257499999984</v>
      </c>
      <c r="X153" s="323"/>
      <c r="Y153" s="403">
        <f>D153*$J153*(1+$K153%)</f>
        <v>268.08857499999988</v>
      </c>
      <c r="Z153" s="403">
        <f>E153*$J153*(1+$K153%)</f>
        <v>345.38642499999997</v>
      </c>
      <c r="AA153" s="403">
        <f>F153*$J153*(1+$K153%)</f>
        <v>326.98217499999993</v>
      </c>
      <c r="AB153" s="403">
        <f>G153*$J153*(1+$K153%)</f>
        <v>438.02114999999992</v>
      </c>
      <c r="AC153" s="403">
        <f>H153*$J153*(1+$K153%)</f>
        <v>268.08857499999988</v>
      </c>
    </row>
    <row r="154" spans="1:29">
      <c r="A154" s="635" t="s">
        <v>136</v>
      </c>
      <c r="B154" s="636" t="s">
        <v>261</v>
      </c>
      <c r="C154" s="637"/>
      <c r="D154" s="714"/>
      <c r="E154" s="714"/>
      <c r="F154" s="714"/>
      <c r="G154" s="714"/>
      <c r="H154" s="714"/>
      <c r="I154" s="713"/>
      <c r="J154" s="713"/>
      <c r="K154" s="713"/>
      <c r="L154" s="713"/>
      <c r="M154" s="639"/>
      <c r="N154" s="639"/>
      <c r="O154" s="639"/>
      <c r="P154" s="639"/>
      <c r="Q154" s="639"/>
      <c r="R154" s="640" t="s">
        <v>1864</v>
      </c>
      <c r="S154" s="455"/>
      <c r="T154" s="403"/>
      <c r="U154" s="403"/>
      <c r="V154" s="403"/>
      <c r="W154" s="403"/>
      <c r="X154" s="323"/>
      <c r="Y154" s="423"/>
      <c r="Z154" s="423"/>
      <c r="AA154" s="423"/>
      <c r="AB154" s="423"/>
      <c r="AC154" s="423"/>
    </row>
    <row r="155" spans="1:29" ht="22.5">
      <c r="A155" s="689">
        <v>1</v>
      </c>
      <c r="B155" s="407" t="s">
        <v>372</v>
      </c>
      <c r="C155" s="689" t="s">
        <v>231</v>
      </c>
      <c r="D155" s="566">
        <f>4.83*'G单元 '!$F$54-D159</f>
        <v>9.4108000000000001</v>
      </c>
      <c r="E155" s="566">
        <f>J单元!$O$54</f>
        <v>19.114000000000001</v>
      </c>
      <c r="F155" s="566">
        <f>'K单元 '!$O$54</f>
        <v>23.841831999999997</v>
      </c>
      <c r="G155" s="566">
        <f>4.1*'A1单元 '!F54-G159</f>
        <v>7.9293999999999993</v>
      </c>
      <c r="H155" s="566">
        <f>4.83*'G单元 '!$F$54-H159</f>
        <v>9.4108000000000001</v>
      </c>
      <c r="I155" s="567">
        <f t="shared" si="87"/>
        <v>97.113333333333344</v>
      </c>
      <c r="J155" s="567">
        <f>'附件4-8甲供材料清单'!M18</f>
        <v>40.666666666666671</v>
      </c>
      <c r="K155" s="567">
        <v>7</v>
      </c>
      <c r="L155" s="567">
        <v>53.6</v>
      </c>
      <c r="M155" s="402">
        <f t="shared" si="72"/>
        <v>913.91415733333349</v>
      </c>
      <c r="N155" s="402">
        <f t="shared" si="73"/>
        <v>1856.2242533333335</v>
      </c>
      <c r="O155" s="402">
        <f t="shared" si="74"/>
        <v>2315.3597782933334</v>
      </c>
      <c r="P155" s="402">
        <f t="shared" si="75"/>
        <v>770.05046533333336</v>
      </c>
      <c r="Q155" s="402">
        <f t="shared" si="76"/>
        <v>913.91415733333349</v>
      </c>
      <c r="R155" s="409" t="s">
        <v>244</v>
      </c>
      <c r="S155" s="455">
        <f>M155</f>
        <v>913.91415733333349</v>
      </c>
      <c r="T155" s="403">
        <f>N155</f>
        <v>1856.2242533333335</v>
      </c>
      <c r="U155" s="403">
        <f>O155</f>
        <v>2315.3597782933334</v>
      </c>
      <c r="V155" s="403">
        <f>P155</f>
        <v>770.05046533333336</v>
      </c>
      <c r="W155" s="403">
        <f>Q155</f>
        <v>913.91415733333349</v>
      </c>
      <c r="X155" s="323"/>
      <c r="Y155" s="403">
        <f>D155*$J155*(1+$K155%)</f>
        <v>409.49527733333343</v>
      </c>
      <c r="Z155" s="403">
        <f>E155*$J155*(1+$K155%)</f>
        <v>831.71385333333353</v>
      </c>
      <c r="AA155" s="403">
        <f>F155*$J155*(1+$K155%)</f>
        <v>1037.4375830933334</v>
      </c>
      <c r="AB155" s="403">
        <f>G155*$J155*(1+$K155%)</f>
        <v>345.03462533333334</v>
      </c>
      <c r="AC155" s="403">
        <f>H155*$J155*(1+$K155%)</f>
        <v>409.49527733333343</v>
      </c>
    </row>
    <row r="156" spans="1:29" ht="22.5">
      <c r="A156" s="689">
        <v>2</v>
      </c>
      <c r="B156" s="407" t="s">
        <v>374</v>
      </c>
      <c r="C156" s="689" t="s">
        <v>231</v>
      </c>
      <c r="D156" s="566"/>
      <c r="E156" s="566"/>
      <c r="F156" s="566"/>
      <c r="G156" s="566"/>
      <c r="H156" s="566"/>
      <c r="I156" s="567">
        <f t="shared" si="87"/>
        <v>415.85</v>
      </c>
      <c r="J156" s="567">
        <v>300</v>
      </c>
      <c r="K156" s="567">
        <v>6</v>
      </c>
      <c r="L156" s="567">
        <v>97.85</v>
      </c>
      <c r="M156" s="402">
        <f t="shared" ref="M156:M191" si="97">D156*$I156</f>
        <v>0</v>
      </c>
      <c r="N156" s="402">
        <f t="shared" ref="N156:N191" si="98">E156*$I156</f>
        <v>0</v>
      </c>
      <c r="O156" s="402">
        <f t="shared" ref="O156:O191" si="99">F156*$I156</f>
        <v>0</v>
      </c>
      <c r="P156" s="402">
        <f t="shared" ref="P156:P191" si="100">G156*$I156</f>
        <v>0</v>
      </c>
      <c r="Q156" s="402">
        <f t="shared" ref="Q156:Q191" si="101">H156*$I156</f>
        <v>0</v>
      </c>
      <c r="R156" s="409"/>
      <c r="S156" s="455"/>
      <c r="T156" s="403"/>
      <c r="U156" s="403"/>
      <c r="V156" s="403"/>
      <c r="W156" s="403"/>
      <c r="X156" s="323"/>
      <c r="Y156" s="423"/>
      <c r="Z156" s="423"/>
      <c r="AA156" s="423"/>
      <c r="AB156" s="423"/>
      <c r="AC156" s="423"/>
    </row>
    <row r="157" spans="1:29">
      <c r="A157" s="689">
        <v>3</v>
      </c>
      <c r="B157" s="407" t="s">
        <v>342</v>
      </c>
      <c r="C157" s="689" t="s">
        <v>270</v>
      </c>
      <c r="D157" s="566">
        <v>0</v>
      </c>
      <c r="E157" s="566">
        <v>2</v>
      </c>
      <c r="F157" s="566">
        <v>2</v>
      </c>
      <c r="G157" s="566">
        <v>0</v>
      </c>
      <c r="H157" s="566">
        <v>0</v>
      </c>
      <c r="I157" s="567">
        <f t="shared" ref="I157:I188" si="102">J157+J157*K157%+L157</f>
        <v>27.995999999999999</v>
      </c>
      <c r="J157" s="567">
        <v>13.6</v>
      </c>
      <c r="K157" s="567">
        <v>1</v>
      </c>
      <c r="L157" s="567">
        <v>14.26</v>
      </c>
      <c r="M157" s="402">
        <f t="shared" si="97"/>
        <v>0</v>
      </c>
      <c r="N157" s="402">
        <f t="shared" si="98"/>
        <v>55.991999999999997</v>
      </c>
      <c r="O157" s="402">
        <f t="shared" si="99"/>
        <v>55.991999999999997</v>
      </c>
      <c r="P157" s="402">
        <f t="shared" si="100"/>
        <v>0</v>
      </c>
      <c r="Q157" s="402">
        <f t="shared" si="101"/>
        <v>0</v>
      </c>
      <c r="R157" s="409"/>
      <c r="S157" s="455"/>
      <c r="T157" s="403"/>
      <c r="U157" s="403"/>
      <c r="V157" s="403"/>
      <c r="W157" s="403"/>
      <c r="X157" s="323"/>
      <c r="Y157" s="423"/>
      <c r="Z157" s="423"/>
      <c r="AA157" s="423"/>
      <c r="AB157" s="423"/>
      <c r="AC157" s="423"/>
    </row>
    <row r="158" spans="1:29" ht="22.5">
      <c r="A158" s="689" t="s">
        <v>233</v>
      </c>
      <c r="B158" s="407" t="s">
        <v>343</v>
      </c>
      <c r="C158" s="689" t="s">
        <v>270</v>
      </c>
      <c r="D158" s="566"/>
      <c r="E158" s="566"/>
      <c r="F158" s="566"/>
      <c r="G158" s="566"/>
      <c r="H158" s="566"/>
      <c r="I158" s="567">
        <f t="shared" si="102"/>
        <v>41.045200000000001</v>
      </c>
      <c r="J158" s="567">
        <f>'附件4-8甲供材料清单'!K144</f>
        <v>26.52</v>
      </c>
      <c r="K158" s="567">
        <v>1</v>
      </c>
      <c r="L158" s="567">
        <v>14.26</v>
      </c>
      <c r="M158" s="402">
        <f t="shared" si="97"/>
        <v>0</v>
      </c>
      <c r="N158" s="402">
        <f t="shared" si="98"/>
        <v>0</v>
      </c>
      <c r="O158" s="402">
        <f t="shared" si="99"/>
        <v>0</v>
      </c>
      <c r="P158" s="402">
        <f t="shared" si="100"/>
        <v>0</v>
      </c>
      <c r="Q158" s="402">
        <f t="shared" si="101"/>
        <v>0</v>
      </c>
      <c r="R158" s="409" t="s">
        <v>244</v>
      </c>
      <c r="S158" s="455">
        <f>M158</f>
        <v>0</v>
      </c>
      <c r="T158" s="403">
        <f>N158</f>
        <v>0</v>
      </c>
      <c r="U158" s="403">
        <f>O158</f>
        <v>0</v>
      </c>
      <c r="V158" s="403">
        <f>P158</f>
        <v>0</v>
      </c>
      <c r="W158" s="403">
        <f>Q158</f>
        <v>0</v>
      </c>
      <c r="X158" s="323"/>
      <c r="Y158" s="403">
        <f>D158*$J158*(1+$K158%)</f>
        <v>0</v>
      </c>
      <c r="Z158" s="403">
        <f>E158*$J158*(1+$K158%)</f>
        <v>0</v>
      </c>
      <c r="AA158" s="403">
        <f>F158*$J158*(1+$K158%)</f>
        <v>0</v>
      </c>
      <c r="AB158" s="403">
        <f>G158*$J158*(1+$K158%)</f>
        <v>0</v>
      </c>
      <c r="AC158" s="403">
        <f>H158*$J158*(1+$K158%)</f>
        <v>0</v>
      </c>
    </row>
    <row r="159" spans="1:29">
      <c r="A159" s="689">
        <v>4</v>
      </c>
      <c r="B159" s="407" t="s">
        <v>375</v>
      </c>
      <c r="C159" s="689" t="s">
        <v>231</v>
      </c>
      <c r="D159" s="566">
        <f>2.66*0.82</f>
        <v>2.1812</v>
      </c>
      <c r="E159" s="566">
        <v>4.7149999999999999</v>
      </c>
      <c r="F159" s="566">
        <v>4.6166</v>
      </c>
      <c r="G159" s="566">
        <f>(0.8+1.43)*0.82</f>
        <v>1.8285999999999998</v>
      </c>
      <c r="H159" s="566">
        <f>2.66*0.82</f>
        <v>2.1812</v>
      </c>
      <c r="I159" s="567">
        <f t="shared" si="102"/>
        <v>18.5</v>
      </c>
      <c r="J159" s="567"/>
      <c r="K159" s="567"/>
      <c r="L159" s="567">
        <v>18.5</v>
      </c>
      <c r="M159" s="402">
        <f t="shared" si="97"/>
        <v>40.352200000000003</v>
      </c>
      <c r="N159" s="402">
        <f t="shared" si="98"/>
        <v>87.227499999999992</v>
      </c>
      <c r="O159" s="402">
        <f t="shared" si="99"/>
        <v>85.4071</v>
      </c>
      <c r="P159" s="402">
        <f t="shared" si="100"/>
        <v>33.829099999999997</v>
      </c>
      <c r="Q159" s="402">
        <f t="shared" si="101"/>
        <v>40.352200000000003</v>
      </c>
      <c r="R159" s="409"/>
      <c r="S159" s="455"/>
      <c r="T159" s="403"/>
      <c r="U159" s="403"/>
      <c r="V159" s="403"/>
      <c r="W159" s="403"/>
      <c r="X159" s="323"/>
      <c r="Y159" s="423"/>
      <c r="Z159" s="423"/>
      <c r="AA159" s="423"/>
      <c r="AB159" s="423"/>
      <c r="AC159" s="423"/>
    </row>
    <row r="160" spans="1:29">
      <c r="A160" s="689">
        <v>5</v>
      </c>
      <c r="B160" s="407" t="s">
        <v>334</v>
      </c>
      <c r="C160" s="689" t="s">
        <v>231</v>
      </c>
      <c r="D160" s="566">
        <f>4.83*1</f>
        <v>4.83</v>
      </c>
      <c r="E160" s="566">
        <v>9.75</v>
      </c>
      <c r="F160" s="566">
        <v>11.95</v>
      </c>
      <c r="G160" s="566">
        <f>4.1*1</f>
        <v>4.0999999999999996</v>
      </c>
      <c r="H160" s="566">
        <f>4.83*1</f>
        <v>4.83</v>
      </c>
      <c r="I160" s="567">
        <f t="shared" si="102"/>
        <v>20.56</v>
      </c>
      <c r="J160" s="567">
        <v>13</v>
      </c>
      <c r="K160" s="567"/>
      <c r="L160" s="567">
        <v>7.56</v>
      </c>
      <c r="M160" s="402">
        <f t="shared" si="97"/>
        <v>99.3048</v>
      </c>
      <c r="N160" s="402">
        <f t="shared" si="98"/>
        <v>200.45999999999998</v>
      </c>
      <c r="O160" s="402">
        <f t="shared" si="99"/>
        <v>245.69199999999998</v>
      </c>
      <c r="P160" s="402">
        <f t="shared" si="100"/>
        <v>84.295999999999992</v>
      </c>
      <c r="Q160" s="402">
        <f t="shared" si="101"/>
        <v>99.3048</v>
      </c>
      <c r="R160" s="409"/>
      <c r="S160" s="455"/>
      <c r="T160" s="403"/>
      <c r="U160" s="403"/>
      <c r="V160" s="403"/>
      <c r="W160" s="403"/>
      <c r="X160" s="323"/>
      <c r="Y160" s="423"/>
      <c r="Z160" s="423"/>
      <c r="AA160" s="423"/>
      <c r="AB160" s="423"/>
      <c r="AC160" s="423"/>
    </row>
    <row r="161" spans="1:29" ht="45">
      <c r="A161" s="689">
        <v>6</v>
      </c>
      <c r="B161" s="415" t="s">
        <v>376</v>
      </c>
      <c r="C161" s="689" t="s">
        <v>340</v>
      </c>
      <c r="D161" s="566">
        <v>1</v>
      </c>
      <c r="E161" s="566">
        <v>1</v>
      </c>
      <c r="F161" s="566">
        <v>1</v>
      </c>
      <c r="G161" s="566">
        <v>1</v>
      </c>
      <c r="H161" s="566">
        <v>1</v>
      </c>
      <c r="I161" s="567">
        <f t="shared" si="102"/>
        <v>32.4</v>
      </c>
      <c r="J161" s="567"/>
      <c r="K161" s="567"/>
      <c r="L161" s="567">
        <v>32.4</v>
      </c>
      <c r="M161" s="402">
        <f t="shared" si="97"/>
        <v>32.4</v>
      </c>
      <c r="N161" s="402">
        <f t="shared" si="98"/>
        <v>32.4</v>
      </c>
      <c r="O161" s="402">
        <f t="shared" si="99"/>
        <v>32.4</v>
      </c>
      <c r="P161" s="402">
        <f t="shared" si="100"/>
        <v>32.4</v>
      </c>
      <c r="Q161" s="402">
        <f t="shared" si="101"/>
        <v>32.4</v>
      </c>
      <c r="R161" s="409" t="s">
        <v>341</v>
      </c>
      <c r="S161" s="455"/>
      <c r="T161" s="403"/>
      <c r="U161" s="403"/>
      <c r="V161" s="403"/>
      <c r="W161" s="403"/>
      <c r="X161" s="323"/>
      <c r="Y161" s="423"/>
      <c r="Z161" s="423"/>
      <c r="AA161" s="423"/>
      <c r="AB161" s="423"/>
      <c r="AC161" s="423"/>
    </row>
    <row r="162" spans="1:29" ht="33.75">
      <c r="A162" s="689">
        <v>7</v>
      </c>
      <c r="B162" s="417" t="s">
        <v>377</v>
      </c>
      <c r="C162" s="418" t="s">
        <v>231</v>
      </c>
      <c r="D162" s="566"/>
      <c r="E162" s="566"/>
      <c r="F162" s="566"/>
      <c r="G162" s="566"/>
      <c r="H162" s="566"/>
      <c r="I162" s="567">
        <f t="shared" si="102"/>
        <v>124</v>
      </c>
      <c r="J162" s="567"/>
      <c r="K162" s="567"/>
      <c r="L162" s="567">
        <v>124</v>
      </c>
      <c r="M162" s="402">
        <f t="shared" si="97"/>
        <v>0</v>
      </c>
      <c r="N162" s="402">
        <f t="shared" si="98"/>
        <v>0</v>
      </c>
      <c r="O162" s="402">
        <f t="shared" si="99"/>
        <v>0</v>
      </c>
      <c r="P162" s="402">
        <f t="shared" si="100"/>
        <v>0</v>
      </c>
      <c r="Q162" s="402">
        <f t="shared" si="101"/>
        <v>0</v>
      </c>
      <c r="R162" s="409" t="s">
        <v>378</v>
      </c>
      <c r="S162" s="455"/>
      <c r="T162" s="403"/>
      <c r="U162" s="403"/>
      <c r="V162" s="403"/>
      <c r="W162" s="403"/>
      <c r="X162" s="323"/>
      <c r="Y162" s="423"/>
      <c r="Z162" s="423"/>
      <c r="AA162" s="423"/>
      <c r="AB162" s="423"/>
      <c r="AC162" s="423"/>
    </row>
    <row r="163" spans="1:29" s="451" customFormat="1">
      <c r="A163" s="635" t="s">
        <v>115</v>
      </c>
      <c r="B163" s="636" t="s">
        <v>379</v>
      </c>
      <c r="C163" s="635"/>
      <c r="D163" s="647"/>
      <c r="E163" s="647"/>
      <c r="F163" s="647"/>
      <c r="G163" s="647"/>
      <c r="H163" s="647"/>
      <c r="I163" s="648"/>
      <c r="J163" s="648"/>
      <c r="K163" s="648"/>
      <c r="L163" s="648"/>
      <c r="M163" s="645"/>
      <c r="N163" s="645"/>
      <c r="O163" s="645"/>
      <c r="P163" s="645"/>
      <c r="Q163" s="645"/>
      <c r="R163" s="640" t="s">
        <v>1864</v>
      </c>
      <c r="S163" s="444"/>
      <c r="T163" s="437"/>
      <c r="U163" s="437"/>
      <c r="V163" s="437"/>
      <c r="W163" s="437"/>
      <c r="X163" s="362"/>
      <c r="Y163" s="446"/>
      <c r="Z163" s="446"/>
      <c r="AA163" s="446"/>
      <c r="AB163" s="446"/>
      <c r="AC163" s="446"/>
    </row>
    <row r="164" spans="1:29" ht="67.5">
      <c r="A164" s="689" t="s">
        <v>380</v>
      </c>
      <c r="B164" s="407" t="s">
        <v>381</v>
      </c>
      <c r="C164" s="689" t="s">
        <v>320</v>
      </c>
      <c r="D164" s="566">
        <v>1</v>
      </c>
      <c r="E164" s="566">
        <v>1</v>
      </c>
      <c r="F164" s="566">
        <v>1</v>
      </c>
      <c r="G164" s="566">
        <v>1</v>
      </c>
      <c r="H164" s="566">
        <v>1</v>
      </c>
      <c r="I164" s="567">
        <f t="shared" si="102"/>
        <v>4140</v>
      </c>
      <c r="J164" s="567">
        <f>'附件4-8甲供材料清单'!K69</f>
        <v>4140</v>
      </c>
      <c r="K164" s="567"/>
      <c r="L164" s="567"/>
      <c r="M164" s="402">
        <f t="shared" si="97"/>
        <v>4140</v>
      </c>
      <c r="N164" s="402">
        <f t="shared" si="98"/>
        <v>4140</v>
      </c>
      <c r="O164" s="402">
        <f t="shared" si="99"/>
        <v>4140</v>
      </c>
      <c r="P164" s="402">
        <f t="shared" si="100"/>
        <v>4140</v>
      </c>
      <c r="Q164" s="402">
        <f t="shared" si="101"/>
        <v>4140</v>
      </c>
      <c r="R164" s="409" t="s">
        <v>382</v>
      </c>
      <c r="S164" s="455"/>
      <c r="T164" s="403"/>
      <c r="U164" s="403"/>
      <c r="V164" s="403"/>
      <c r="W164" s="403"/>
      <c r="X164" s="323"/>
      <c r="Y164" s="403"/>
      <c r="Z164" s="403"/>
      <c r="AA164" s="403"/>
      <c r="AB164" s="403"/>
      <c r="AC164" s="403"/>
    </row>
    <row r="165" spans="1:29" ht="45">
      <c r="A165" s="689" t="s">
        <v>383</v>
      </c>
      <c r="B165" s="407" t="s">
        <v>384</v>
      </c>
      <c r="C165" s="689" t="s">
        <v>385</v>
      </c>
      <c r="D165" s="566">
        <v>1</v>
      </c>
      <c r="E165" s="566">
        <v>1</v>
      </c>
      <c r="F165" s="566">
        <v>1</v>
      </c>
      <c r="G165" s="566">
        <v>1</v>
      </c>
      <c r="H165" s="566">
        <v>1</v>
      </c>
      <c r="I165" s="567">
        <f t="shared" si="102"/>
        <v>54</v>
      </c>
      <c r="J165" s="567"/>
      <c r="K165" s="567"/>
      <c r="L165" s="567">
        <v>54</v>
      </c>
      <c r="M165" s="402">
        <f t="shared" si="97"/>
        <v>54</v>
      </c>
      <c r="N165" s="402">
        <f t="shared" si="98"/>
        <v>54</v>
      </c>
      <c r="O165" s="402">
        <f t="shared" si="99"/>
        <v>54</v>
      </c>
      <c r="P165" s="402">
        <f t="shared" si="100"/>
        <v>54</v>
      </c>
      <c r="Q165" s="402">
        <f t="shared" si="101"/>
        <v>54</v>
      </c>
      <c r="R165" s="409" t="s">
        <v>386</v>
      </c>
      <c r="S165" s="455">
        <f>M165</f>
        <v>54</v>
      </c>
      <c r="T165" s="403">
        <f>N165</f>
        <v>54</v>
      </c>
      <c r="U165" s="403">
        <f>O165</f>
        <v>54</v>
      </c>
      <c r="V165" s="403">
        <f>P165</f>
        <v>54</v>
      </c>
      <c r="W165" s="403">
        <f>Q165</f>
        <v>54</v>
      </c>
      <c r="X165" s="323"/>
      <c r="Y165" s="403">
        <f>D165*$J165*(1+$K165%)</f>
        <v>0</v>
      </c>
      <c r="Z165" s="403">
        <f>E165*$J165*(1+$K165%)</f>
        <v>0</v>
      </c>
      <c r="AA165" s="403">
        <f>F165*$J165*(1+$K165%)</f>
        <v>0</v>
      </c>
      <c r="AB165" s="403">
        <f>G165*$J165*(1+$K165%)</f>
        <v>0</v>
      </c>
      <c r="AC165" s="403">
        <f>H165*$J165*(1+$K165%)</f>
        <v>0</v>
      </c>
    </row>
    <row r="166" spans="1:29" s="694" customFormat="1">
      <c r="A166" s="695" t="s">
        <v>387</v>
      </c>
      <c r="B166" s="407" t="s">
        <v>388</v>
      </c>
      <c r="C166" s="695"/>
      <c r="D166" s="566"/>
      <c r="E166" s="566"/>
      <c r="F166" s="566"/>
      <c r="G166" s="566"/>
      <c r="H166" s="566"/>
      <c r="I166" s="567"/>
      <c r="J166" s="567"/>
      <c r="K166" s="567"/>
      <c r="L166" s="567"/>
      <c r="M166" s="402"/>
      <c r="N166" s="402"/>
      <c r="O166" s="402"/>
      <c r="P166" s="402"/>
      <c r="Q166" s="402"/>
      <c r="R166" s="409" t="s">
        <v>1864</v>
      </c>
      <c r="S166" s="455"/>
      <c r="T166" s="403"/>
      <c r="U166" s="403"/>
      <c r="V166" s="403"/>
      <c r="W166" s="403"/>
      <c r="X166" s="323"/>
      <c r="Y166" s="423"/>
      <c r="Z166" s="423"/>
      <c r="AA166" s="423"/>
      <c r="AB166" s="423"/>
      <c r="AC166" s="423"/>
    </row>
    <row r="167" spans="1:29" ht="33.75">
      <c r="A167" s="689">
        <v>1</v>
      </c>
      <c r="B167" s="415" t="s">
        <v>389</v>
      </c>
      <c r="C167" s="689" t="s">
        <v>320</v>
      </c>
      <c r="D167" s="566">
        <v>1</v>
      </c>
      <c r="E167" s="566">
        <v>1</v>
      </c>
      <c r="F167" s="566">
        <v>1</v>
      </c>
      <c r="G167" s="566">
        <v>1</v>
      </c>
      <c r="H167" s="566">
        <v>1</v>
      </c>
      <c r="I167" s="567">
        <f t="shared" si="102"/>
        <v>292</v>
      </c>
      <c r="J167" s="567">
        <f>'附件4-8甲供材料清单'!K33</f>
        <v>292</v>
      </c>
      <c r="K167" s="567"/>
      <c r="L167" s="567"/>
      <c r="M167" s="402">
        <f t="shared" si="97"/>
        <v>292</v>
      </c>
      <c r="N167" s="402">
        <f t="shared" si="98"/>
        <v>292</v>
      </c>
      <c r="O167" s="402">
        <f t="shared" si="99"/>
        <v>292</v>
      </c>
      <c r="P167" s="402">
        <f t="shared" si="100"/>
        <v>292</v>
      </c>
      <c r="Q167" s="402">
        <f t="shared" si="101"/>
        <v>292</v>
      </c>
      <c r="R167" s="409" t="s">
        <v>316</v>
      </c>
      <c r="S167" s="455"/>
      <c r="T167" s="403"/>
      <c r="U167" s="403"/>
      <c r="V167" s="403"/>
      <c r="W167" s="403"/>
      <c r="X167" s="323"/>
      <c r="Y167" s="403"/>
      <c r="Z167" s="403"/>
      <c r="AA167" s="403"/>
      <c r="AB167" s="403"/>
      <c r="AC167" s="403"/>
    </row>
    <row r="168" spans="1:29" ht="33.75">
      <c r="A168" s="689">
        <v>2</v>
      </c>
      <c r="B168" s="415" t="s">
        <v>390</v>
      </c>
      <c r="C168" s="689" t="s">
        <v>320</v>
      </c>
      <c r="D168" s="566"/>
      <c r="E168" s="566"/>
      <c r="F168" s="566"/>
      <c r="G168" s="566"/>
      <c r="H168" s="566"/>
      <c r="I168" s="567">
        <f t="shared" si="102"/>
        <v>162</v>
      </c>
      <c r="J168" s="567">
        <f>'附件4-8甲供材料清单'!K34</f>
        <v>162</v>
      </c>
      <c r="K168" s="567"/>
      <c r="L168" s="567"/>
      <c r="M168" s="402">
        <f t="shared" si="97"/>
        <v>0</v>
      </c>
      <c r="N168" s="402">
        <f t="shared" si="98"/>
        <v>0</v>
      </c>
      <c r="O168" s="402">
        <f t="shared" si="99"/>
        <v>0</v>
      </c>
      <c r="P168" s="402">
        <f t="shared" si="100"/>
        <v>0</v>
      </c>
      <c r="Q168" s="402">
        <f t="shared" si="101"/>
        <v>0</v>
      </c>
      <c r="R168" s="409" t="s">
        <v>316</v>
      </c>
      <c r="S168" s="455"/>
      <c r="T168" s="403"/>
      <c r="U168" s="403"/>
      <c r="V168" s="403"/>
      <c r="W168" s="403"/>
      <c r="X168" s="323"/>
      <c r="Y168" s="403"/>
      <c r="Z168" s="403"/>
      <c r="AA168" s="403"/>
      <c r="AB168" s="403"/>
      <c r="AC168" s="403"/>
    </row>
    <row r="169" spans="1:29" ht="22.5">
      <c r="A169" s="689" t="s">
        <v>278</v>
      </c>
      <c r="B169" s="407" t="s">
        <v>391</v>
      </c>
      <c r="C169" s="689" t="s">
        <v>320</v>
      </c>
      <c r="D169" s="566"/>
      <c r="E169" s="566"/>
      <c r="F169" s="566"/>
      <c r="G169" s="566"/>
      <c r="H169" s="566"/>
      <c r="I169" s="567">
        <f t="shared" si="102"/>
        <v>25</v>
      </c>
      <c r="J169" s="567"/>
      <c r="K169" s="567"/>
      <c r="L169" s="567">
        <v>25</v>
      </c>
      <c r="M169" s="402">
        <f t="shared" si="97"/>
        <v>0</v>
      </c>
      <c r="N169" s="402">
        <f t="shared" si="98"/>
        <v>0</v>
      </c>
      <c r="O169" s="402">
        <f t="shared" si="99"/>
        <v>0</v>
      </c>
      <c r="P169" s="402">
        <f t="shared" si="100"/>
        <v>0</v>
      </c>
      <c r="Q169" s="402">
        <f t="shared" si="101"/>
        <v>0</v>
      </c>
      <c r="R169" s="409" t="s">
        <v>392</v>
      </c>
      <c r="S169" s="455">
        <f t="shared" ref="S169:W170" si="103">M169</f>
        <v>0</v>
      </c>
      <c r="T169" s="403">
        <f t="shared" si="103"/>
        <v>0</v>
      </c>
      <c r="U169" s="403">
        <f t="shared" si="103"/>
        <v>0</v>
      </c>
      <c r="V169" s="403">
        <f t="shared" si="103"/>
        <v>0</v>
      </c>
      <c r="W169" s="403">
        <f t="shared" si="103"/>
        <v>0</v>
      </c>
      <c r="X169" s="323"/>
      <c r="Y169" s="403">
        <f t="shared" ref="Y169:AC170" si="104">D169*$J169*(1+$K169%)</f>
        <v>0</v>
      </c>
      <c r="Z169" s="403">
        <f t="shared" si="104"/>
        <v>0</v>
      </c>
      <c r="AA169" s="403">
        <f t="shared" si="104"/>
        <v>0</v>
      </c>
      <c r="AB169" s="403">
        <f t="shared" si="104"/>
        <v>0</v>
      </c>
      <c r="AC169" s="403">
        <f t="shared" si="104"/>
        <v>0</v>
      </c>
    </row>
    <row r="170" spans="1:29" ht="33.75">
      <c r="A170" s="689">
        <v>3</v>
      </c>
      <c r="B170" s="407" t="s">
        <v>393</v>
      </c>
      <c r="C170" s="689" t="s">
        <v>320</v>
      </c>
      <c r="D170" s="566">
        <v>1</v>
      </c>
      <c r="E170" s="566">
        <v>1</v>
      </c>
      <c r="F170" s="566">
        <v>1</v>
      </c>
      <c r="G170" s="566">
        <v>1</v>
      </c>
      <c r="H170" s="566">
        <v>1</v>
      </c>
      <c r="I170" s="567">
        <f t="shared" si="102"/>
        <v>265.93</v>
      </c>
      <c r="J170" s="567">
        <f>'附件4-8甲供材料清单'!K32</f>
        <v>197</v>
      </c>
      <c r="K170" s="567">
        <v>1</v>
      </c>
      <c r="L170" s="567">
        <v>66.959999999999994</v>
      </c>
      <c r="M170" s="402">
        <f t="shared" si="97"/>
        <v>265.93</v>
      </c>
      <c r="N170" s="402">
        <f t="shared" si="98"/>
        <v>265.93</v>
      </c>
      <c r="O170" s="402">
        <f t="shared" si="99"/>
        <v>265.93</v>
      </c>
      <c r="P170" s="402">
        <f t="shared" si="100"/>
        <v>265.93</v>
      </c>
      <c r="Q170" s="402">
        <f t="shared" si="101"/>
        <v>265.93</v>
      </c>
      <c r="R170" s="409" t="s">
        <v>362</v>
      </c>
      <c r="S170" s="455">
        <f t="shared" si="103"/>
        <v>265.93</v>
      </c>
      <c r="T170" s="403">
        <f t="shared" si="103"/>
        <v>265.93</v>
      </c>
      <c r="U170" s="403">
        <f t="shared" si="103"/>
        <v>265.93</v>
      </c>
      <c r="V170" s="403">
        <f t="shared" si="103"/>
        <v>265.93</v>
      </c>
      <c r="W170" s="403">
        <f t="shared" si="103"/>
        <v>265.93</v>
      </c>
      <c r="X170" s="323"/>
      <c r="Y170" s="403">
        <f t="shared" si="104"/>
        <v>198.97</v>
      </c>
      <c r="Z170" s="403">
        <f t="shared" si="104"/>
        <v>198.97</v>
      </c>
      <c r="AA170" s="403">
        <f t="shared" si="104"/>
        <v>198.97</v>
      </c>
      <c r="AB170" s="403">
        <f t="shared" si="104"/>
        <v>198.97</v>
      </c>
      <c r="AC170" s="403">
        <f t="shared" si="104"/>
        <v>198.97</v>
      </c>
    </row>
    <row r="171" spans="1:29">
      <c r="A171" s="635" t="s">
        <v>111</v>
      </c>
      <c r="B171" s="636" t="s">
        <v>394</v>
      </c>
      <c r="C171" s="637"/>
      <c r="D171" s="714"/>
      <c r="E171" s="714"/>
      <c r="F171" s="714"/>
      <c r="G171" s="714"/>
      <c r="H171" s="714"/>
      <c r="I171" s="713"/>
      <c r="J171" s="713"/>
      <c r="K171" s="713"/>
      <c r="L171" s="713"/>
      <c r="M171" s="639"/>
      <c r="N171" s="639"/>
      <c r="O171" s="639"/>
      <c r="P171" s="639"/>
      <c r="Q171" s="639"/>
      <c r="R171" s="640" t="s">
        <v>1864</v>
      </c>
      <c r="S171" s="455"/>
      <c r="T171" s="403"/>
      <c r="U171" s="403"/>
      <c r="V171" s="403"/>
      <c r="W171" s="403"/>
      <c r="X171" s="323"/>
      <c r="Y171" s="423"/>
      <c r="Z171" s="423"/>
      <c r="AA171" s="423"/>
      <c r="AB171" s="423"/>
      <c r="AC171" s="423"/>
    </row>
    <row r="172" spans="1:29">
      <c r="A172" s="635" t="s">
        <v>133</v>
      </c>
      <c r="B172" s="636" t="s">
        <v>229</v>
      </c>
      <c r="C172" s="637"/>
      <c r="D172" s="714"/>
      <c r="E172" s="714"/>
      <c r="F172" s="714"/>
      <c r="G172" s="714"/>
      <c r="H172" s="714"/>
      <c r="I172" s="713"/>
      <c r="J172" s="713"/>
      <c r="K172" s="713"/>
      <c r="L172" s="713"/>
      <c r="M172" s="639"/>
      <c r="N172" s="639"/>
      <c r="O172" s="639"/>
      <c r="P172" s="639"/>
      <c r="Q172" s="639"/>
      <c r="R172" s="640" t="s">
        <v>1864</v>
      </c>
      <c r="S172" s="455"/>
      <c r="T172" s="403"/>
      <c r="U172" s="403"/>
      <c r="V172" s="403"/>
      <c r="W172" s="403"/>
      <c r="X172" s="323"/>
      <c r="Y172" s="423"/>
      <c r="Z172" s="423"/>
      <c r="AA172" s="423"/>
      <c r="AB172" s="423"/>
      <c r="AC172" s="423"/>
    </row>
    <row r="173" spans="1:29" ht="22.5">
      <c r="A173" s="689">
        <v>1</v>
      </c>
      <c r="B173" s="407" t="s">
        <v>284</v>
      </c>
      <c r="C173" s="689" t="s">
        <v>231</v>
      </c>
      <c r="D173" s="566"/>
      <c r="E173" s="566"/>
      <c r="F173" s="566"/>
      <c r="G173" s="566"/>
      <c r="H173" s="566"/>
      <c r="I173" s="567">
        <f t="shared" si="102"/>
        <v>84.64</v>
      </c>
      <c r="J173" s="567">
        <v>20</v>
      </c>
      <c r="K173" s="567">
        <v>10</v>
      </c>
      <c r="L173" s="567">
        <v>62.64</v>
      </c>
      <c r="M173" s="402">
        <f t="shared" si="97"/>
        <v>0</v>
      </c>
      <c r="N173" s="402">
        <f t="shared" si="98"/>
        <v>0</v>
      </c>
      <c r="O173" s="402">
        <f t="shared" si="99"/>
        <v>0</v>
      </c>
      <c r="P173" s="402">
        <f t="shared" si="100"/>
        <v>0</v>
      </c>
      <c r="Q173" s="402">
        <f t="shared" si="101"/>
        <v>0</v>
      </c>
      <c r="R173" s="409"/>
      <c r="S173" s="455"/>
      <c r="T173" s="403"/>
      <c r="U173" s="403"/>
      <c r="V173" s="403"/>
      <c r="W173" s="403"/>
      <c r="X173" s="323"/>
      <c r="Y173" s="423"/>
      <c r="Z173" s="423"/>
      <c r="AA173" s="423"/>
      <c r="AB173" s="423"/>
      <c r="AC173" s="423"/>
    </row>
    <row r="174" spans="1:29" ht="22.5">
      <c r="A174" s="689">
        <v>2</v>
      </c>
      <c r="B174" s="415" t="s">
        <v>243</v>
      </c>
      <c r="C174" s="689" t="s">
        <v>231</v>
      </c>
      <c r="D174" s="566"/>
      <c r="E174" s="566"/>
      <c r="F174" s="566"/>
      <c r="G174" s="566"/>
      <c r="H174" s="566"/>
      <c r="I174" s="567">
        <f t="shared" si="102"/>
        <v>21.428709999999999</v>
      </c>
      <c r="J174" s="567">
        <f>'附件4-8甲供材料清单'!N123</f>
        <v>2.2087100000000004</v>
      </c>
      <c r="K174" s="567"/>
      <c r="L174" s="567">
        <v>19.22</v>
      </c>
      <c r="M174" s="402">
        <f t="shared" si="97"/>
        <v>0</v>
      </c>
      <c r="N174" s="402">
        <f t="shared" si="98"/>
        <v>0</v>
      </c>
      <c r="O174" s="402">
        <f t="shared" si="99"/>
        <v>0</v>
      </c>
      <c r="P174" s="402">
        <f t="shared" si="100"/>
        <v>0</v>
      </c>
      <c r="Q174" s="402">
        <f t="shared" si="101"/>
        <v>0</v>
      </c>
      <c r="R174" s="409" t="s">
        <v>244</v>
      </c>
      <c r="S174" s="455">
        <f t="shared" ref="S174:W176" si="105">M174</f>
        <v>0</v>
      </c>
      <c r="T174" s="403">
        <f t="shared" si="105"/>
        <v>0</v>
      </c>
      <c r="U174" s="403">
        <f t="shared" si="105"/>
        <v>0</v>
      </c>
      <c r="V174" s="403">
        <f t="shared" si="105"/>
        <v>0</v>
      </c>
      <c r="W174" s="403">
        <f t="shared" si="105"/>
        <v>0</v>
      </c>
      <c r="X174" s="323"/>
      <c r="Y174" s="403">
        <f t="shared" ref="Y174:AC176" si="106">D174*$J174*(1+$K174%)</f>
        <v>0</v>
      </c>
      <c r="Z174" s="403">
        <f t="shared" si="106"/>
        <v>0</v>
      </c>
      <c r="AA174" s="403">
        <f t="shared" si="106"/>
        <v>0</v>
      </c>
      <c r="AB174" s="403">
        <f t="shared" si="106"/>
        <v>0</v>
      </c>
      <c r="AC174" s="403">
        <f t="shared" si="106"/>
        <v>0</v>
      </c>
    </row>
    <row r="175" spans="1:29" ht="22.5">
      <c r="A175" s="689" t="s">
        <v>233</v>
      </c>
      <c r="B175" s="415" t="s">
        <v>245</v>
      </c>
      <c r="C175" s="689" t="s">
        <v>231</v>
      </c>
      <c r="D175" s="566"/>
      <c r="E175" s="566"/>
      <c r="F175" s="566"/>
      <c r="G175" s="566"/>
      <c r="H175" s="566"/>
      <c r="I175" s="567">
        <f t="shared" si="102"/>
        <v>23.988709999999998</v>
      </c>
      <c r="J175" s="567">
        <f>J174</f>
        <v>2.2087100000000004</v>
      </c>
      <c r="K175" s="567"/>
      <c r="L175" s="567">
        <f>2.56+19.22</f>
        <v>21.779999999999998</v>
      </c>
      <c r="M175" s="402">
        <f t="shared" si="97"/>
        <v>0</v>
      </c>
      <c r="N175" s="402">
        <f t="shared" si="98"/>
        <v>0</v>
      </c>
      <c r="O175" s="402">
        <f t="shared" si="99"/>
        <v>0</v>
      </c>
      <c r="P175" s="402">
        <f t="shared" si="100"/>
        <v>0</v>
      </c>
      <c r="Q175" s="402">
        <f t="shared" si="101"/>
        <v>0</v>
      </c>
      <c r="R175" s="409" t="s">
        <v>244</v>
      </c>
      <c r="S175" s="455">
        <f t="shared" si="105"/>
        <v>0</v>
      </c>
      <c r="T175" s="403">
        <f t="shared" si="105"/>
        <v>0</v>
      </c>
      <c r="U175" s="403">
        <f t="shared" si="105"/>
        <v>0</v>
      </c>
      <c r="V175" s="403">
        <f t="shared" si="105"/>
        <v>0</v>
      </c>
      <c r="W175" s="403">
        <f t="shared" si="105"/>
        <v>0</v>
      </c>
      <c r="X175" s="323"/>
      <c r="Y175" s="403">
        <f t="shared" si="106"/>
        <v>0</v>
      </c>
      <c r="Z175" s="403">
        <f t="shared" si="106"/>
        <v>0</v>
      </c>
      <c r="AA175" s="403">
        <f t="shared" si="106"/>
        <v>0</v>
      </c>
      <c r="AB175" s="403">
        <f t="shared" si="106"/>
        <v>0</v>
      </c>
      <c r="AC175" s="403">
        <f t="shared" si="106"/>
        <v>0</v>
      </c>
    </row>
    <row r="176" spans="1:29" ht="33.75">
      <c r="A176" s="689">
        <v>3</v>
      </c>
      <c r="B176" s="407" t="s">
        <v>300</v>
      </c>
      <c r="C176" s="689" t="s">
        <v>231</v>
      </c>
      <c r="D176" s="566"/>
      <c r="E176" s="566"/>
      <c r="F176" s="566"/>
      <c r="G176" s="566"/>
      <c r="H176" s="566"/>
      <c r="I176" s="567">
        <f t="shared" si="102"/>
        <v>95.70204081632653</v>
      </c>
      <c r="J176" s="567">
        <f>'附件4-8甲供材料清单'!M130</f>
        <v>55.183673469387763</v>
      </c>
      <c r="K176" s="567">
        <v>10</v>
      </c>
      <c r="L176" s="567">
        <v>35</v>
      </c>
      <c r="M176" s="402">
        <f t="shared" si="97"/>
        <v>0</v>
      </c>
      <c r="N176" s="402">
        <f t="shared" si="98"/>
        <v>0</v>
      </c>
      <c r="O176" s="402">
        <f t="shared" si="99"/>
        <v>0</v>
      </c>
      <c r="P176" s="402">
        <f t="shared" si="100"/>
        <v>0</v>
      </c>
      <c r="Q176" s="402">
        <f t="shared" si="101"/>
        <v>0</v>
      </c>
      <c r="R176" s="409" t="s">
        <v>244</v>
      </c>
      <c r="S176" s="455">
        <f t="shared" si="105"/>
        <v>0</v>
      </c>
      <c r="T176" s="403">
        <f t="shared" si="105"/>
        <v>0</v>
      </c>
      <c r="U176" s="403">
        <f t="shared" si="105"/>
        <v>0</v>
      </c>
      <c r="V176" s="403">
        <f t="shared" si="105"/>
        <v>0</v>
      </c>
      <c r="W176" s="403">
        <f t="shared" si="105"/>
        <v>0</v>
      </c>
      <c r="X176" s="323"/>
      <c r="Y176" s="403">
        <f t="shared" si="106"/>
        <v>0</v>
      </c>
      <c r="Z176" s="403">
        <f t="shared" si="106"/>
        <v>0</v>
      </c>
      <c r="AA176" s="403">
        <f t="shared" si="106"/>
        <v>0</v>
      </c>
      <c r="AB176" s="403">
        <f t="shared" si="106"/>
        <v>0</v>
      </c>
      <c r="AC176" s="403">
        <f t="shared" si="106"/>
        <v>0</v>
      </c>
    </row>
    <row r="177" spans="1:29">
      <c r="A177" s="637" t="s">
        <v>246</v>
      </c>
      <c r="B177" s="636" t="s">
        <v>247</v>
      </c>
      <c r="C177" s="637"/>
      <c r="D177" s="714"/>
      <c r="E177" s="714"/>
      <c r="F177" s="714"/>
      <c r="G177" s="714"/>
      <c r="H177" s="714"/>
      <c r="I177" s="713"/>
      <c r="J177" s="713"/>
      <c r="K177" s="713"/>
      <c r="L177" s="713"/>
      <c r="M177" s="639"/>
      <c r="N177" s="639"/>
      <c r="O177" s="639"/>
      <c r="P177" s="639"/>
      <c r="Q177" s="639"/>
      <c r="R177" s="640" t="s">
        <v>1864</v>
      </c>
      <c r="S177" s="455"/>
      <c r="T177" s="403"/>
      <c r="U177" s="403"/>
      <c r="V177" s="403"/>
      <c r="W177" s="403"/>
      <c r="X177" s="323"/>
      <c r="Y177" s="423"/>
      <c r="Z177" s="423"/>
      <c r="AA177" s="423"/>
      <c r="AB177" s="423"/>
      <c r="AC177" s="423"/>
    </row>
    <row r="178" spans="1:29" ht="22.5">
      <c r="A178" s="421" t="s">
        <v>395</v>
      </c>
      <c r="B178" s="420" t="s">
        <v>396</v>
      </c>
      <c r="C178" s="689" t="s">
        <v>231</v>
      </c>
      <c r="D178" s="566"/>
      <c r="E178" s="566"/>
      <c r="F178" s="566"/>
      <c r="G178" s="566"/>
      <c r="H178" s="566"/>
      <c r="I178" s="567">
        <f t="shared" si="102"/>
        <v>109.54749999999999</v>
      </c>
      <c r="J178" s="567">
        <f>'附件4-8甲供材料清单'!M14</f>
        <v>57.874999999999986</v>
      </c>
      <c r="K178" s="567">
        <v>6</v>
      </c>
      <c r="L178" s="567">
        <v>48.2</v>
      </c>
      <c r="M178" s="402">
        <f t="shared" si="97"/>
        <v>0</v>
      </c>
      <c r="N178" s="402">
        <f t="shared" si="98"/>
        <v>0</v>
      </c>
      <c r="O178" s="402">
        <f t="shared" si="99"/>
        <v>0</v>
      </c>
      <c r="P178" s="402">
        <f t="shared" si="100"/>
        <v>0</v>
      </c>
      <c r="Q178" s="402">
        <f t="shared" si="101"/>
        <v>0</v>
      </c>
      <c r="R178" s="409" t="s">
        <v>244</v>
      </c>
      <c r="S178" s="455">
        <f t="shared" ref="S178:W181" si="107">M178</f>
        <v>0</v>
      </c>
      <c r="T178" s="403">
        <f t="shared" si="107"/>
        <v>0</v>
      </c>
      <c r="U178" s="403">
        <f t="shared" si="107"/>
        <v>0</v>
      </c>
      <c r="V178" s="403">
        <f t="shared" si="107"/>
        <v>0</v>
      </c>
      <c r="W178" s="403">
        <f t="shared" si="107"/>
        <v>0</v>
      </c>
      <c r="X178" s="323"/>
      <c r="Y178" s="403">
        <f t="shared" ref="Y178:AC181" si="108">D178*$J178*(1+$K178%)</f>
        <v>0</v>
      </c>
      <c r="Z178" s="403">
        <f t="shared" si="108"/>
        <v>0</v>
      </c>
      <c r="AA178" s="403">
        <f t="shared" si="108"/>
        <v>0</v>
      </c>
      <c r="AB178" s="403">
        <f t="shared" si="108"/>
        <v>0</v>
      </c>
      <c r="AC178" s="403">
        <f t="shared" si="108"/>
        <v>0</v>
      </c>
    </row>
    <row r="179" spans="1:29" ht="33.75">
      <c r="A179" s="421" t="s">
        <v>233</v>
      </c>
      <c r="B179" s="407" t="s">
        <v>397</v>
      </c>
      <c r="C179" s="689" t="s">
        <v>231</v>
      </c>
      <c r="D179" s="566"/>
      <c r="E179" s="566"/>
      <c r="F179" s="566"/>
      <c r="G179" s="566"/>
      <c r="H179" s="566"/>
      <c r="I179" s="567">
        <f t="shared" si="102"/>
        <v>39.800000000000004</v>
      </c>
      <c r="J179" s="567">
        <f>'附件4-8甲供材料清单'!M168</f>
        <v>30.800000000000004</v>
      </c>
      <c r="K179" s="567"/>
      <c r="L179" s="567">
        <v>9</v>
      </c>
      <c r="M179" s="402">
        <f t="shared" si="97"/>
        <v>0</v>
      </c>
      <c r="N179" s="402">
        <f t="shared" si="98"/>
        <v>0</v>
      </c>
      <c r="O179" s="402">
        <f t="shared" si="99"/>
        <v>0</v>
      </c>
      <c r="P179" s="402">
        <f t="shared" si="100"/>
        <v>0</v>
      </c>
      <c r="Q179" s="402">
        <f t="shared" si="101"/>
        <v>0</v>
      </c>
      <c r="R179" s="409" t="s">
        <v>244</v>
      </c>
      <c r="S179" s="455">
        <f t="shared" si="107"/>
        <v>0</v>
      </c>
      <c r="T179" s="403">
        <f t="shared" si="107"/>
        <v>0</v>
      </c>
      <c r="U179" s="403">
        <f t="shared" si="107"/>
        <v>0</v>
      </c>
      <c r="V179" s="403">
        <f t="shared" si="107"/>
        <v>0</v>
      </c>
      <c r="W179" s="403">
        <f t="shared" si="107"/>
        <v>0</v>
      </c>
      <c r="X179" s="323"/>
      <c r="Y179" s="403">
        <f t="shared" si="108"/>
        <v>0</v>
      </c>
      <c r="Z179" s="403">
        <f t="shared" si="108"/>
        <v>0</v>
      </c>
      <c r="AA179" s="403">
        <f t="shared" si="108"/>
        <v>0</v>
      </c>
      <c r="AB179" s="403">
        <f t="shared" si="108"/>
        <v>0</v>
      </c>
      <c r="AC179" s="403">
        <f t="shared" si="108"/>
        <v>0</v>
      </c>
    </row>
    <row r="180" spans="1:29" ht="33.75">
      <c r="A180" s="689">
        <v>2</v>
      </c>
      <c r="B180" s="407" t="s">
        <v>291</v>
      </c>
      <c r="C180" s="689" t="s">
        <v>231</v>
      </c>
      <c r="D180" s="566"/>
      <c r="E180" s="566"/>
      <c r="F180" s="566"/>
      <c r="G180" s="566"/>
      <c r="H180" s="566"/>
      <c r="I180" s="567">
        <f t="shared" si="102"/>
        <v>207.42</v>
      </c>
      <c r="J180" s="567">
        <f>'附件4-8甲供材料清单'!K21</f>
        <v>124</v>
      </c>
      <c r="K180" s="567">
        <v>5</v>
      </c>
      <c r="L180" s="567">
        <v>77.22</v>
      </c>
      <c r="M180" s="402">
        <f t="shared" si="97"/>
        <v>0</v>
      </c>
      <c r="N180" s="402">
        <f t="shared" si="98"/>
        <v>0</v>
      </c>
      <c r="O180" s="402">
        <f t="shared" si="99"/>
        <v>0</v>
      </c>
      <c r="P180" s="402">
        <f t="shared" si="100"/>
        <v>0</v>
      </c>
      <c r="Q180" s="402">
        <f t="shared" si="101"/>
        <v>0</v>
      </c>
      <c r="R180" s="409" t="s">
        <v>244</v>
      </c>
      <c r="S180" s="455">
        <f t="shared" si="107"/>
        <v>0</v>
      </c>
      <c r="T180" s="403">
        <f t="shared" si="107"/>
        <v>0</v>
      </c>
      <c r="U180" s="403">
        <f t="shared" si="107"/>
        <v>0</v>
      </c>
      <c r="V180" s="403">
        <f t="shared" si="107"/>
        <v>0</v>
      </c>
      <c r="W180" s="403">
        <f t="shared" si="107"/>
        <v>0</v>
      </c>
      <c r="X180" s="323"/>
      <c r="Y180" s="403">
        <f t="shared" si="108"/>
        <v>0</v>
      </c>
      <c r="Z180" s="403">
        <f t="shared" si="108"/>
        <v>0</v>
      </c>
      <c r="AA180" s="403">
        <f t="shared" si="108"/>
        <v>0</v>
      </c>
      <c r="AB180" s="403">
        <f t="shared" si="108"/>
        <v>0</v>
      </c>
      <c r="AC180" s="403">
        <f t="shared" si="108"/>
        <v>0</v>
      </c>
    </row>
    <row r="181" spans="1:29" ht="22.5">
      <c r="A181" s="421" t="s">
        <v>398</v>
      </c>
      <c r="B181" s="407" t="s">
        <v>292</v>
      </c>
      <c r="C181" s="689" t="s">
        <v>231</v>
      </c>
      <c r="D181" s="566"/>
      <c r="E181" s="566"/>
      <c r="F181" s="566"/>
      <c r="G181" s="566"/>
      <c r="H181" s="566"/>
      <c r="I181" s="567">
        <f t="shared" si="102"/>
        <v>164.22</v>
      </c>
      <c r="J181" s="567">
        <f>'附件4-8甲供材料清单'!K22</f>
        <v>124</v>
      </c>
      <c r="K181" s="567">
        <v>5</v>
      </c>
      <c r="L181" s="567">
        <v>34.020000000000003</v>
      </c>
      <c r="M181" s="402">
        <f t="shared" si="97"/>
        <v>0</v>
      </c>
      <c r="N181" s="402">
        <f t="shared" si="98"/>
        <v>0</v>
      </c>
      <c r="O181" s="402">
        <f t="shared" si="99"/>
        <v>0</v>
      </c>
      <c r="P181" s="402">
        <f t="shared" si="100"/>
        <v>0</v>
      </c>
      <c r="Q181" s="402">
        <f t="shared" si="101"/>
        <v>0</v>
      </c>
      <c r="R181" s="409" t="s">
        <v>244</v>
      </c>
      <c r="S181" s="455">
        <f t="shared" si="107"/>
        <v>0</v>
      </c>
      <c r="T181" s="403">
        <f t="shared" si="107"/>
        <v>0</v>
      </c>
      <c r="U181" s="403">
        <f t="shared" si="107"/>
        <v>0</v>
      </c>
      <c r="V181" s="403">
        <f t="shared" si="107"/>
        <v>0</v>
      </c>
      <c r="W181" s="403">
        <f t="shared" si="107"/>
        <v>0</v>
      </c>
      <c r="X181" s="323"/>
      <c r="Y181" s="403">
        <f t="shared" si="108"/>
        <v>0</v>
      </c>
      <c r="Z181" s="403">
        <f t="shared" si="108"/>
        <v>0</v>
      </c>
      <c r="AA181" s="403">
        <f t="shared" si="108"/>
        <v>0</v>
      </c>
      <c r="AB181" s="403">
        <f t="shared" si="108"/>
        <v>0</v>
      </c>
      <c r="AC181" s="403">
        <f t="shared" si="108"/>
        <v>0</v>
      </c>
    </row>
    <row r="182" spans="1:29">
      <c r="A182" s="689">
        <v>4</v>
      </c>
      <c r="B182" s="407" t="s">
        <v>399</v>
      </c>
      <c r="C182" s="689" t="s">
        <v>231</v>
      </c>
      <c r="D182" s="566"/>
      <c r="E182" s="566"/>
      <c r="F182" s="566"/>
      <c r="G182" s="566"/>
      <c r="H182" s="566"/>
      <c r="I182" s="567">
        <f t="shared" si="102"/>
        <v>24.44</v>
      </c>
      <c r="J182" s="567"/>
      <c r="K182" s="567"/>
      <c r="L182" s="567">
        <v>24.44</v>
      </c>
      <c r="M182" s="402">
        <f t="shared" si="97"/>
        <v>0</v>
      </c>
      <c r="N182" s="402">
        <f t="shared" si="98"/>
        <v>0</v>
      </c>
      <c r="O182" s="402">
        <f t="shared" si="99"/>
        <v>0</v>
      </c>
      <c r="P182" s="402">
        <f t="shared" si="100"/>
        <v>0</v>
      </c>
      <c r="Q182" s="402">
        <f t="shared" si="101"/>
        <v>0</v>
      </c>
      <c r="R182" s="409"/>
      <c r="S182" s="455"/>
      <c r="T182" s="403"/>
      <c r="U182" s="403"/>
      <c r="V182" s="403"/>
      <c r="W182" s="403"/>
      <c r="X182" s="323"/>
      <c r="Y182" s="423"/>
      <c r="Z182" s="423"/>
      <c r="AA182" s="423"/>
      <c r="AB182" s="423"/>
      <c r="AC182" s="423"/>
    </row>
    <row r="183" spans="1:29">
      <c r="A183" s="646" t="s">
        <v>136</v>
      </c>
      <c r="B183" s="636" t="s">
        <v>261</v>
      </c>
      <c r="C183" s="637"/>
      <c r="D183" s="714"/>
      <c r="E183" s="714"/>
      <c r="F183" s="714"/>
      <c r="G183" s="714"/>
      <c r="H183" s="714"/>
      <c r="I183" s="713"/>
      <c r="J183" s="713"/>
      <c r="K183" s="713"/>
      <c r="L183" s="713"/>
      <c r="M183" s="639"/>
      <c r="N183" s="639"/>
      <c r="O183" s="639"/>
      <c r="P183" s="639"/>
      <c r="Q183" s="639"/>
      <c r="R183" s="640" t="s">
        <v>1864</v>
      </c>
      <c r="S183" s="455"/>
      <c r="T183" s="403"/>
      <c r="U183" s="403"/>
      <c r="V183" s="403"/>
      <c r="W183" s="403"/>
      <c r="X183" s="323"/>
      <c r="Y183" s="423"/>
      <c r="Z183" s="423"/>
      <c r="AA183" s="423"/>
      <c r="AB183" s="423"/>
      <c r="AC183" s="423"/>
    </row>
    <row r="184" spans="1:29" ht="22.5">
      <c r="A184" s="421" t="s">
        <v>395</v>
      </c>
      <c r="B184" s="415" t="s">
        <v>400</v>
      </c>
      <c r="C184" s="689" t="s">
        <v>231</v>
      </c>
      <c r="D184" s="566"/>
      <c r="E184" s="566"/>
      <c r="F184" s="566"/>
      <c r="G184" s="566"/>
      <c r="H184" s="566"/>
      <c r="I184" s="567">
        <f t="shared" si="102"/>
        <v>21.428709999999999</v>
      </c>
      <c r="J184" s="567">
        <f>'附件4-8甲供材料清单'!N125</f>
        <v>2.2087100000000004</v>
      </c>
      <c r="K184" s="567"/>
      <c r="L184" s="567">
        <v>19.22</v>
      </c>
      <c r="M184" s="402">
        <f t="shared" si="97"/>
        <v>0</v>
      </c>
      <c r="N184" s="402">
        <f t="shared" si="98"/>
        <v>0</v>
      </c>
      <c r="O184" s="402">
        <f t="shared" si="99"/>
        <v>0</v>
      </c>
      <c r="P184" s="402">
        <f t="shared" si="100"/>
        <v>0</v>
      </c>
      <c r="Q184" s="402">
        <f t="shared" si="101"/>
        <v>0</v>
      </c>
      <c r="R184" s="409" t="s">
        <v>244</v>
      </c>
      <c r="S184" s="455">
        <f t="shared" ref="S184:W187" si="109">M184</f>
        <v>0</v>
      </c>
      <c r="T184" s="403">
        <f t="shared" si="109"/>
        <v>0</v>
      </c>
      <c r="U184" s="403">
        <f t="shared" si="109"/>
        <v>0</v>
      </c>
      <c r="V184" s="403">
        <f t="shared" si="109"/>
        <v>0</v>
      </c>
      <c r="W184" s="403">
        <f t="shared" si="109"/>
        <v>0</v>
      </c>
      <c r="X184" s="323"/>
      <c r="Y184" s="403">
        <f t="shared" ref="Y184:AC187" si="110">D184*$J184*(1+$K184%)</f>
        <v>0</v>
      </c>
      <c r="Z184" s="403">
        <f t="shared" si="110"/>
        <v>0</v>
      </c>
      <c r="AA184" s="403">
        <f t="shared" si="110"/>
        <v>0</v>
      </c>
      <c r="AB184" s="403">
        <f t="shared" si="110"/>
        <v>0</v>
      </c>
      <c r="AC184" s="403">
        <f t="shared" si="110"/>
        <v>0</v>
      </c>
    </row>
    <row r="185" spans="1:29" ht="33.75">
      <c r="A185" s="421" t="s">
        <v>395</v>
      </c>
      <c r="B185" s="415" t="s">
        <v>401</v>
      </c>
      <c r="C185" s="689" t="s">
        <v>231</v>
      </c>
      <c r="D185" s="566"/>
      <c r="E185" s="566"/>
      <c r="F185" s="566"/>
      <c r="G185" s="566"/>
      <c r="H185" s="566"/>
      <c r="I185" s="567">
        <f t="shared" si="102"/>
        <v>23.988709999999998</v>
      </c>
      <c r="J185" s="567">
        <f>J184</f>
        <v>2.2087100000000004</v>
      </c>
      <c r="K185" s="567"/>
      <c r="L185" s="567">
        <f>2.56+19.22</f>
        <v>21.779999999999998</v>
      </c>
      <c r="M185" s="402">
        <f t="shared" si="97"/>
        <v>0</v>
      </c>
      <c r="N185" s="402">
        <f t="shared" si="98"/>
        <v>0</v>
      </c>
      <c r="O185" s="402">
        <f t="shared" si="99"/>
        <v>0</v>
      </c>
      <c r="P185" s="402">
        <f t="shared" si="100"/>
        <v>0</v>
      </c>
      <c r="Q185" s="402">
        <f t="shared" si="101"/>
        <v>0</v>
      </c>
      <c r="R185" s="409" t="s">
        <v>244</v>
      </c>
      <c r="S185" s="455">
        <f t="shared" si="109"/>
        <v>0</v>
      </c>
      <c r="T185" s="403">
        <f t="shared" si="109"/>
        <v>0</v>
      </c>
      <c r="U185" s="403">
        <f t="shared" si="109"/>
        <v>0</v>
      </c>
      <c r="V185" s="403">
        <f t="shared" si="109"/>
        <v>0</v>
      </c>
      <c r="W185" s="403">
        <f t="shared" si="109"/>
        <v>0</v>
      </c>
      <c r="X185" s="323"/>
      <c r="Y185" s="403">
        <f t="shared" si="110"/>
        <v>0</v>
      </c>
      <c r="Z185" s="403">
        <f t="shared" si="110"/>
        <v>0</v>
      </c>
      <c r="AA185" s="403">
        <f t="shared" si="110"/>
        <v>0</v>
      </c>
      <c r="AB185" s="403">
        <f t="shared" si="110"/>
        <v>0</v>
      </c>
      <c r="AC185" s="403">
        <f t="shared" si="110"/>
        <v>0</v>
      </c>
    </row>
    <row r="186" spans="1:29" ht="22.5">
      <c r="A186" s="421" t="s">
        <v>402</v>
      </c>
      <c r="B186" s="407" t="s">
        <v>314</v>
      </c>
      <c r="C186" s="689" t="s">
        <v>231</v>
      </c>
      <c r="D186" s="566"/>
      <c r="E186" s="566"/>
      <c r="F186" s="566"/>
      <c r="G186" s="566"/>
      <c r="H186" s="566"/>
      <c r="I186" s="567">
        <f t="shared" si="102"/>
        <v>96.706666666666678</v>
      </c>
      <c r="J186" s="567">
        <f>'附件4-8甲供材料清单'!M15</f>
        <v>40.666666666666671</v>
      </c>
      <c r="K186" s="567">
        <v>6</v>
      </c>
      <c r="L186" s="567">
        <v>53.6</v>
      </c>
      <c r="M186" s="402">
        <f t="shared" si="97"/>
        <v>0</v>
      </c>
      <c r="N186" s="402">
        <f t="shared" si="98"/>
        <v>0</v>
      </c>
      <c r="O186" s="402">
        <f t="shared" si="99"/>
        <v>0</v>
      </c>
      <c r="P186" s="402">
        <f t="shared" si="100"/>
        <v>0</v>
      </c>
      <c r="Q186" s="402">
        <f t="shared" si="101"/>
        <v>0</v>
      </c>
      <c r="R186" s="409" t="s">
        <v>244</v>
      </c>
      <c r="S186" s="455">
        <f t="shared" si="109"/>
        <v>0</v>
      </c>
      <c r="T186" s="403">
        <f t="shared" si="109"/>
        <v>0</v>
      </c>
      <c r="U186" s="403">
        <f t="shared" si="109"/>
        <v>0</v>
      </c>
      <c r="V186" s="403">
        <f t="shared" si="109"/>
        <v>0</v>
      </c>
      <c r="W186" s="403">
        <f t="shared" si="109"/>
        <v>0</v>
      </c>
      <c r="X186" s="323"/>
      <c r="Y186" s="403">
        <f t="shared" si="110"/>
        <v>0</v>
      </c>
      <c r="Z186" s="403">
        <f t="shared" si="110"/>
        <v>0</v>
      </c>
      <c r="AA186" s="403">
        <f t="shared" si="110"/>
        <v>0</v>
      </c>
      <c r="AB186" s="403">
        <f t="shared" si="110"/>
        <v>0</v>
      </c>
      <c r="AC186" s="403">
        <f t="shared" si="110"/>
        <v>0</v>
      </c>
    </row>
    <row r="187" spans="1:29" ht="22.5">
      <c r="A187" s="421" t="s">
        <v>398</v>
      </c>
      <c r="B187" s="415" t="s">
        <v>403</v>
      </c>
      <c r="C187" s="689" t="s">
        <v>235</v>
      </c>
      <c r="D187" s="566"/>
      <c r="E187" s="566"/>
      <c r="F187" s="566"/>
      <c r="G187" s="566"/>
      <c r="H187" s="566"/>
      <c r="I187" s="567">
        <f t="shared" si="102"/>
        <v>23.25</v>
      </c>
      <c r="J187" s="567">
        <f>'附件4-8甲供材料清单'!K23</f>
        <v>17</v>
      </c>
      <c r="K187" s="567">
        <v>5</v>
      </c>
      <c r="L187" s="567">
        <v>5.4</v>
      </c>
      <c r="M187" s="402">
        <f t="shared" si="97"/>
        <v>0</v>
      </c>
      <c r="N187" s="402">
        <f t="shared" si="98"/>
        <v>0</v>
      </c>
      <c r="O187" s="402">
        <f t="shared" si="99"/>
        <v>0</v>
      </c>
      <c r="P187" s="402">
        <f t="shared" si="100"/>
        <v>0</v>
      </c>
      <c r="Q187" s="402">
        <f t="shared" si="101"/>
        <v>0</v>
      </c>
      <c r="R187" s="409" t="s">
        <v>244</v>
      </c>
      <c r="S187" s="455">
        <f t="shared" si="109"/>
        <v>0</v>
      </c>
      <c r="T187" s="403">
        <f t="shared" si="109"/>
        <v>0</v>
      </c>
      <c r="U187" s="403">
        <f t="shared" si="109"/>
        <v>0</v>
      </c>
      <c r="V187" s="403">
        <f t="shared" si="109"/>
        <v>0</v>
      </c>
      <c r="W187" s="403">
        <f t="shared" si="109"/>
        <v>0</v>
      </c>
      <c r="X187" s="323"/>
      <c r="Y187" s="403">
        <f t="shared" si="110"/>
        <v>0</v>
      </c>
      <c r="Z187" s="403">
        <f t="shared" si="110"/>
        <v>0</v>
      </c>
      <c r="AA187" s="403">
        <f t="shared" si="110"/>
        <v>0</v>
      </c>
      <c r="AB187" s="403">
        <f t="shared" si="110"/>
        <v>0</v>
      </c>
      <c r="AC187" s="403">
        <f t="shared" si="110"/>
        <v>0</v>
      </c>
    </row>
    <row r="188" spans="1:29">
      <c r="A188" s="421" t="s">
        <v>404</v>
      </c>
      <c r="B188" s="407" t="s">
        <v>405</v>
      </c>
      <c r="C188" s="689" t="s">
        <v>231</v>
      </c>
      <c r="D188" s="566"/>
      <c r="E188" s="566"/>
      <c r="F188" s="566"/>
      <c r="G188" s="566"/>
      <c r="H188" s="566"/>
      <c r="I188" s="567">
        <f t="shared" si="102"/>
        <v>20.56</v>
      </c>
      <c r="J188" s="411">
        <v>13</v>
      </c>
      <c r="K188" s="567"/>
      <c r="L188" s="567">
        <v>7.56</v>
      </c>
      <c r="M188" s="402">
        <f t="shared" si="97"/>
        <v>0</v>
      </c>
      <c r="N188" s="402">
        <f t="shared" si="98"/>
        <v>0</v>
      </c>
      <c r="O188" s="402">
        <f t="shared" si="99"/>
        <v>0</v>
      </c>
      <c r="P188" s="402">
        <f t="shared" si="100"/>
        <v>0</v>
      </c>
      <c r="Q188" s="402">
        <f t="shared" si="101"/>
        <v>0</v>
      </c>
      <c r="R188" s="409"/>
      <c r="S188" s="455"/>
      <c r="T188" s="403"/>
      <c r="U188" s="403"/>
      <c r="V188" s="403"/>
      <c r="W188" s="403"/>
      <c r="X188" s="323"/>
      <c r="Y188" s="403"/>
      <c r="Z188" s="403"/>
      <c r="AA188" s="403"/>
      <c r="AB188" s="403"/>
      <c r="AC188" s="403"/>
    </row>
    <row r="189" spans="1:29" ht="33.75">
      <c r="A189" s="421" t="s">
        <v>406</v>
      </c>
      <c r="B189" s="407" t="s">
        <v>407</v>
      </c>
      <c r="C189" s="689" t="s">
        <v>235</v>
      </c>
      <c r="D189" s="566"/>
      <c r="E189" s="566"/>
      <c r="F189" s="566"/>
      <c r="G189" s="566"/>
      <c r="H189" s="566"/>
      <c r="I189" s="567">
        <f t="shared" ref="I189:I191" si="111">J189+J189*K189%+L189</f>
        <v>68</v>
      </c>
      <c r="J189" s="567">
        <f>'附件4-8甲供材料清单'!K163</f>
        <v>68</v>
      </c>
      <c r="K189" s="567"/>
      <c r="L189" s="567"/>
      <c r="M189" s="402">
        <f t="shared" si="97"/>
        <v>0</v>
      </c>
      <c r="N189" s="402">
        <f t="shared" si="98"/>
        <v>0</v>
      </c>
      <c r="O189" s="402">
        <f t="shared" si="99"/>
        <v>0</v>
      </c>
      <c r="P189" s="402">
        <f t="shared" si="100"/>
        <v>0</v>
      </c>
      <c r="Q189" s="402">
        <f t="shared" si="101"/>
        <v>0</v>
      </c>
      <c r="R189" s="409" t="s">
        <v>316</v>
      </c>
      <c r="S189" s="455"/>
      <c r="T189" s="403"/>
      <c r="U189" s="403"/>
      <c r="V189" s="403"/>
      <c r="W189" s="403"/>
      <c r="X189" s="323"/>
      <c r="Y189" s="403"/>
      <c r="Z189" s="403"/>
      <c r="AA189" s="403"/>
      <c r="AB189" s="403"/>
      <c r="AC189" s="403"/>
    </row>
    <row r="190" spans="1:29" ht="22.5">
      <c r="A190" s="689" t="s">
        <v>233</v>
      </c>
      <c r="B190" s="407" t="s">
        <v>408</v>
      </c>
      <c r="C190" s="689" t="s">
        <v>235</v>
      </c>
      <c r="D190" s="566"/>
      <c r="E190" s="566"/>
      <c r="F190" s="566"/>
      <c r="G190" s="566"/>
      <c r="H190" s="566"/>
      <c r="I190" s="567">
        <f t="shared" si="111"/>
        <v>25.310000000000002</v>
      </c>
      <c r="J190" s="567">
        <f>'附件4-8甲供材料清单'!M11</f>
        <v>15</v>
      </c>
      <c r="K190" s="567">
        <v>5</v>
      </c>
      <c r="L190" s="567">
        <v>9.56</v>
      </c>
      <c r="M190" s="402">
        <f t="shared" si="97"/>
        <v>0</v>
      </c>
      <c r="N190" s="402">
        <f t="shared" si="98"/>
        <v>0</v>
      </c>
      <c r="O190" s="402">
        <f t="shared" si="99"/>
        <v>0</v>
      </c>
      <c r="P190" s="402">
        <f t="shared" si="100"/>
        <v>0</v>
      </c>
      <c r="Q190" s="402">
        <f t="shared" si="101"/>
        <v>0</v>
      </c>
      <c r="R190" s="409" t="s">
        <v>244</v>
      </c>
      <c r="S190" s="455">
        <f t="shared" ref="S190:W191" si="112">M190</f>
        <v>0</v>
      </c>
      <c r="T190" s="403">
        <f t="shared" si="112"/>
        <v>0</v>
      </c>
      <c r="U190" s="403">
        <f t="shared" si="112"/>
        <v>0</v>
      </c>
      <c r="V190" s="403">
        <f t="shared" si="112"/>
        <v>0</v>
      </c>
      <c r="W190" s="403">
        <f t="shared" si="112"/>
        <v>0</v>
      </c>
      <c r="X190" s="323"/>
      <c r="Y190" s="403">
        <f t="shared" ref="Y190:AC191" si="113">D190*$J190*(1+$K190%)</f>
        <v>0</v>
      </c>
      <c r="Z190" s="403">
        <f t="shared" si="113"/>
        <v>0</v>
      </c>
      <c r="AA190" s="403">
        <f t="shared" si="113"/>
        <v>0</v>
      </c>
      <c r="AB190" s="403">
        <f t="shared" si="113"/>
        <v>0</v>
      </c>
      <c r="AC190" s="403">
        <f t="shared" si="113"/>
        <v>0</v>
      </c>
    </row>
    <row r="191" spans="1:29" ht="33.75">
      <c r="A191" s="689" t="s">
        <v>233</v>
      </c>
      <c r="B191" s="407" t="s">
        <v>409</v>
      </c>
      <c r="C191" s="689" t="s">
        <v>235</v>
      </c>
      <c r="D191" s="566"/>
      <c r="E191" s="566"/>
      <c r="F191" s="566"/>
      <c r="G191" s="566"/>
      <c r="H191" s="566"/>
      <c r="I191" s="567">
        <f t="shared" si="111"/>
        <v>23.619999999999997</v>
      </c>
      <c r="J191" s="567">
        <f>'附件4-8甲供材料清单'!M10*0.1</f>
        <v>10</v>
      </c>
      <c r="K191" s="567">
        <v>6</v>
      </c>
      <c r="L191" s="567">
        <v>13.02</v>
      </c>
      <c r="M191" s="402">
        <f t="shared" si="97"/>
        <v>0</v>
      </c>
      <c r="N191" s="402">
        <f t="shared" si="98"/>
        <v>0</v>
      </c>
      <c r="O191" s="402">
        <f t="shared" si="99"/>
        <v>0</v>
      </c>
      <c r="P191" s="402">
        <f t="shared" si="100"/>
        <v>0</v>
      </c>
      <c r="Q191" s="402">
        <f t="shared" si="101"/>
        <v>0</v>
      </c>
      <c r="R191" s="409" t="s">
        <v>244</v>
      </c>
      <c r="S191" s="455">
        <f t="shared" si="112"/>
        <v>0</v>
      </c>
      <c r="T191" s="403">
        <f t="shared" si="112"/>
        <v>0</v>
      </c>
      <c r="U191" s="403">
        <f t="shared" si="112"/>
        <v>0</v>
      </c>
      <c r="V191" s="403">
        <f t="shared" si="112"/>
        <v>0</v>
      </c>
      <c r="W191" s="403">
        <f t="shared" si="112"/>
        <v>0</v>
      </c>
      <c r="X191" s="323"/>
      <c r="Y191" s="403">
        <f t="shared" si="113"/>
        <v>0</v>
      </c>
      <c r="Z191" s="403">
        <f t="shared" si="113"/>
        <v>0</v>
      </c>
      <c r="AA191" s="403">
        <f t="shared" si="113"/>
        <v>0</v>
      </c>
      <c r="AB191" s="403">
        <f t="shared" si="113"/>
        <v>0</v>
      </c>
      <c r="AC191" s="403">
        <f t="shared" si="113"/>
        <v>0</v>
      </c>
    </row>
    <row r="192" spans="1:29" s="451" customFormat="1">
      <c r="A192" s="635" t="s">
        <v>146</v>
      </c>
      <c r="B192" s="636" t="s">
        <v>410</v>
      </c>
      <c r="C192" s="635"/>
      <c r="D192" s="647"/>
      <c r="E192" s="647"/>
      <c r="F192" s="647"/>
      <c r="G192" s="647"/>
      <c r="H192" s="647"/>
      <c r="I192" s="648"/>
      <c r="J192" s="648"/>
      <c r="K192" s="648"/>
      <c r="L192" s="648"/>
      <c r="M192" s="645"/>
      <c r="N192" s="645"/>
      <c r="O192" s="645"/>
      <c r="P192" s="645"/>
      <c r="Q192" s="645"/>
      <c r="R192" s="640" t="s">
        <v>1864</v>
      </c>
      <c r="S192" s="444"/>
      <c r="T192" s="437"/>
      <c r="U192" s="437"/>
      <c r="V192" s="437"/>
      <c r="W192" s="437"/>
      <c r="X192" s="362"/>
      <c r="Y192" s="437"/>
      <c r="Z192" s="437"/>
      <c r="AA192" s="437"/>
      <c r="AB192" s="437"/>
      <c r="AC192" s="437"/>
    </row>
    <row r="193" spans="1:29">
      <c r="A193" s="689">
        <v>1</v>
      </c>
      <c r="B193" s="407" t="s">
        <v>411</v>
      </c>
      <c r="C193" s="689" t="s">
        <v>320</v>
      </c>
      <c r="D193" s="566"/>
      <c r="E193" s="566"/>
      <c r="F193" s="566"/>
      <c r="G193" s="566"/>
      <c r="H193" s="566"/>
      <c r="I193" s="567">
        <f t="shared" ref="I193" si="114">J193+J193*K193%+L193</f>
        <v>175.2</v>
      </c>
      <c r="J193" s="567">
        <v>120</v>
      </c>
      <c r="K193" s="567">
        <v>1</v>
      </c>
      <c r="L193" s="567">
        <v>54</v>
      </c>
      <c r="M193" s="402">
        <f t="shared" ref="M193:M224" si="115">D193*$I193</f>
        <v>0</v>
      </c>
      <c r="N193" s="402">
        <f t="shared" ref="N193:N224" si="116">E193*$I193</f>
        <v>0</v>
      </c>
      <c r="O193" s="402">
        <f t="shared" ref="O193:O224" si="117">F193*$I193</f>
        <v>0</v>
      </c>
      <c r="P193" s="402">
        <f t="shared" ref="P193:P224" si="118">G193*$I193</f>
        <v>0</v>
      </c>
      <c r="Q193" s="402">
        <f t="shared" ref="Q193:Q224" si="119">H193*$I193</f>
        <v>0</v>
      </c>
      <c r="R193" s="409"/>
      <c r="S193" s="455"/>
      <c r="T193" s="403"/>
      <c r="U193" s="403"/>
      <c r="V193" s="403"/>
      <c r="W193" s="403"/>
      <c r="X193" s="323"/>
      <c r="Y193" s="423"/>
      <c r="Z193" s="423"/>
      <c r="AA193" s="423"/>
      <c r="AB193" s="423"/>
      <c r="AC193" s="423"/>
    </row>
    <row r="194" spans="1:29" ht="22.5">
      <c r="A194" s="689">
        <v>2</v>
      </c>
      <c r="B194" s="407" t="s">
        <v>412</v>
      </c>
      <c r="C194" s="689" t="s">
        <v>320</v>
      </c>
      <c r="D194" s="566"/>
      <c r="E194" s="566"/>
      <c r="F194" s="566"/>
      <c r="G194" s="566"/>
      <c r="H194" s="566"/>
      <c r="I194" s="567">
        <f t="shared" ref="I194:I199" si="120">J194+J194*K194%+L194</f>
        <v>238.12550000000002</v>
      </c>
      <c r="J194" s="567">
        <v>201.55</v>
      </c>
      <c r="K194" s="567">
        <v>1</v>
      </c>
      <c r="L194" s="567">
        <v>34.56</v>
      </c>
      <c r="M194" s="402">
        <f t="shared" si="115"/>
        <v>0</v>
      </c>
      <c r="N194" s="402">
        <f t="shared" si="116"/>
        <v>0</v>
      </c>
      <c r="O194" s="402">
        <f t="shared" si="117"/>
        <v>0</v>
      </c>
      <c r="P194" s="402">
        <f t="shared" si="118"/>
        <v>0</v>
      </c>
      <c r="Q194" s="402">
        <f t="shared" si="119"/>
        <v>0</v>
      </c>
      <c r="R194" s="409"/>
      <c r="S194" s="455"/>
      <c r="T194" s="403"/>
      <c r="U194" s="403"/>
      <c r="V194" s="403"/>
      <c r="W194" s="403"/>
      <c r="X194" s="323"/>
      <c r="Y194" s="423"/>
      <c r="Z194" s="423"/>
      <c r="AA194" s="423"/>
      <c r="AB194" s="423"/>
      <c r="AC194" s="423"/>
    </row>
    <row r="195" spans="1:29">
      <c r="A195" s="689">
        <v>3</v>
      </c>
      <c r="B195" s="407" t="s">
        <v>413</v>
      </c>
      <c r="C195" s="689" t="s">
        <v>320</v>
      </c>
      <c r="D195" s="566"/>
      <c r="E195" s="566"/>
      <c r="F195" s="566"/>
      <c r="G195" s="566"/>
      <c r="H195" s="566"/>
      <c r="I195" s="567">
        <f t="shared" si="120"/>
        <v>238.12550000000002</v>
      </c>
      <c r="J195" s="567">
        <v>201.55</v>
      </c>
      <c r="K195" s="567">
        <v>1</v>
      </c>
      <c r="L195" s="567">
        <v>34.56</v>
      </c>
      <c r="M195" s="402">
        <f t="shared" si="115"/>
        <v>0</v>
      </c>
      <c r="N195" s="402">
        <f t="shared" si="116"/>
        <v>0</v>
      </c>
      <c r="O195" s="402">
        <f t="shared" si="117"/>
        <v>0</v>
      </c>
      <c r="P195" s="402">
        <f t="shared" si="118"/>
        <v>0</v>
      </c>
      <c r="Q195" s="402">
        <f t="shared" si="119"/>
        <v>0</v>
      </c>
      <c r="R195" s="409"/>
      <c r="S195" s="455"/>
      <c r="T195" s="403"/>
      <c r="U195" s="403"/>
      <c r="V195" s="403"/>
      <c r="W195" s="403"/>
      <c r="X195" s="323"/>
      <c r="Y195" s="423"/>
      <c r="Z195" s="423"/>
      <c r="AA195" s="423"/>
      <c r="AB195" s="423"/>
      <c r="AC195" s="423"/>
    </row>
    <row r="196" spans="1:29" ht="22.5">
      <c r="A196" s="689">
        <v>4</v>
      </c>
      <c r="B196" s="407" t="s">
        <v>414</v>
      </c>
      <c r="C196" s="689" t="s">
        <v>320</v>
      </c>
      <c r="D196" s="566"/>
      <c r="E196" s="566"/>
      <c r="F196" s="566"/>
      <c r="G196" s="566"/>
      <c r="H196" s="566"/>
      <c r="I196" s="567">
        <f t="shared" si="120"/>
        <v>516.04</v>
      </c>
      <c r="J196" s="567">
        <f>'附件4-8甲供材料清单'!$K$28</f>
        <v>404</v>
      </c>
      <c r="K196" s="567">
        <v>1</v>
      </c>
      <c r="L196" s="567">
        <v>108</v>
      </c>
      <c r="M196" s="402">
        <f t="shared" si="115"/>
        <v>0</v>
      </c>
      <c r="N196" s="402">
        <f t="shared" si="116"/>
        <v>0</v>
      </c>
      <c r="O196" s="402">
        <f t="shared" si="117"/>
        <v>0</v>
      </c>
      <c r="P196" s="402">
        <f t="shared" si="118"/>
        <v>0</v>
      </c>
      <c r="Q196" s="402">
        <f t="shared" si="119"/>
        <v>0</v>
      </c>
      <c r="R196" s="409" t="s">
        <v>244</v>
      </c>
      <c r="S196" s="455">
        <f t="shared" ref="S196:W197" si="121">M196</f>
        <v>0</v>
      </c>
      <c r="T196" s="403">
        <f t="shared" si="121"/>
        <v>0</v>
      </c>
      <c r="U196" s="403">
        <f t="shared" si="121"/>
        <v>0</v>
      </c>
      <c r="V196" s="403">
        <f t="shared" si="121"/>
        <v>0</v>
      </c>
      <c r="W196" s="403">
        <f t="shared" si="121"/>
        <v>0</v>
      </c>
      <c r="X196" s="323"/>
      <c r="Y196" s="403">
        <f t="shared" ref="Y196:AC197" si="122">D196*$J196*(1+$K196%)</f>
        <v>0</v>
      </c>
      <c r="Z196" s="403">
        <f t="shared" si="122"/>
        <v>0</v>
      </c>
      <c r="AA196" s="403">
        <f t="shared" si="122"/>
        <v>0</v>
      </c>
      <c r="AB196" s="403">
        <f t="shared" si="122"/>
        <v>0</v>
      </c>
      <c r="AC196" s="403">
        <f t="shared" si="122"/>
        <v>0</v>
      </c>
    </row>
    <row r="197" spans="1:29" ht="22.5">
      <c r="A197" s="689">
        <v>5</v>
      </c>
      <c r="B197" s="407" t="s">
        <v>415</v>
      </c>
      <c r="C197" s="689" t="s">
        <v>320</v>
      </c>
      <c r="D197" s="566"/>
      <c r="E197" s="566"/>
      <c r="F197" s="566"/>
      <c r="G197" s="566"/>
      <c r="H197" s="566"/>
      <c r="I197" s="567">
        <f t="shared" si="120"/>
        <v>448.66</v>
      </c>
      <c r="J197" s="567">
        <f>'附件4-8甲供材料清单'!$K$171</f>
        <v>410</v>
      </c>
      <c r="K197" s="567">
        <v>1</v>
      </c>
      <c r="L197" s="567">
        <v>34.56</v>
      </c>
      <c r="M197" s="402">
        <f t="shared" si="115"/>
        <v>0</v>
      </c>
      <c r="N197" s="402">
        <f t="shared" si="116"/>
        <v>0</v>
      </c>
      <c r="O197" s="402">
        <f t="shared" si="117"/>
        <v>0</v>
      </c>
      <c r="P197" s="402">
        <f t="shared" si="118"/>
        <v>0</v>
      </c>
      <c r="Q197" s="402">
        <f t="shared" si="119"/>
        <v>0</v>
      </c>
      <c r="R197" s="409" t="s">
        <v>244</v>
      </c>
      <c r="S197" s="455">
        <f t="shared" si="121"/>
        <v>0</v>
      </c>
      <c r="T197" s="403">
        <f t="shared" si="121"/>
        <v>0</v>
      </c>
      <c r="U197" s="403">
        <f t="shared" si="121"/>
        <v>0</v>
      </c>
      <c r="V197" s="403">
        <f t="shared" si="121"/>
        <v>0</v>
      </c>
      <c r="W197" s="403">
        <f t="shared" si="121"/>
        <v>0</v>
      </c>
      <c r="X197" s="323"/>
      <c r="Y197" s="403">
        <f t="shared" si="122"/>
        <v>0</v>
      </c>
      <c r="Z197" s="403">
        <f t="shared" si="122"/>
        <v>0</v>
      </c>
      <c r="AA197" s="403">
        <f t="shared" si="122"/>
        <v>0</v>
      </c>
      <c r="AB197" s="403">
        <f t="shared" si="122"/>
        <v>0</v>
      </c>
      <c r="AC197" s="403">
        <f t="shared" si="122"/>
        <v>0</v>
      </c>
    </row>
    <row r="198" spans="1:29" ht="22.5">
      <c r="A198" s="689">
        <v>6</v>
      </c>
      <c r="B198" s="407" t="s">
        <v>416</v>
      </c>
      <c r="C198" s="689" t="s">
        <v>320</v>
      </c>
      <c r="D198" s="566"/>
      <c r="E198" s="566"/>
      <c r="F198" s="566"/>
      <c r="G198" s="566"/>
      <c r="H198" s="566"/>
      <c r="I198" s="567">
        <f t="shared" si="120"/>
        <v>155.76</v>
      </c>
      <c r="J198" s="567">
        <v>120</v>
      </c>
      <c r="K198" s="567">
        <v>1</v>
      </c>
      <c r="L198" s="567">
        <v>34.56</v>
      </c>
      <c r="M198" s="402">
        <f t="shared" si="115"/>
        <v>0</v>
      </c>
      <c r="N198" s="402">
        <f t="shared" si="116"/>
        <v>0</v>
      </c>
      <c r="O198" s="402">
        <f t="shared" si="117"/>
        <v>0</v>
      </c>
      <c r="P198" s="402">
        <f t="shared" si="118"/>
        <v>0</v>
      </c>
      <c r="Q198" s="402">
        <f t="shared" si="119"/>
        <v>0</v>
      </c>
      <c r="R198" s="409"/>
      <c r="S198" s="455"/>
      <c r="T198" s="403"/>
      <c r="U198" s="403"/>
      <c r="V198" s="403"/>
      <c r="W198" s="403"/>
      <c r="X198" s="323"/>
      <c r="Y198" s="423"/>
      <c r="Z198" s="423"/>
      <c r="AA198" s="423"/>
      <c r="AB198" s="423"/>
      <c r="AC198" s="423"/>
    </row>
    <row r="199" spans="1:29" ht="22.5">
      <c r="A199" s="689">
        <v>7</v>
      </c>
      <c r="B199" s="407" t="s">
        <v>417</v>
      </c>
      <c r="C199" s="689" t="s">
        <v>320</v>
      </c>
      <c r="D199" s="566"/>
      <c r="E199" s="566"/>
      <c r="F199" s="566"/>
      <c r="G199" s="566"/>
      <c r="H199" s="566"/>
      <c r="I199" s="567">
        <f t="shared" si="120"/>
        <v>231.51</v>
      </c>
      <c r="J199" s="567">
        <f>'附件4-8甲供材料清单'!$K$172</f>
        <v>195</v>
      </c>
      <c r="K199" s="567">
        <v>1</v>
      </c>
      <c r="L199" s="567">
        <v>34.56</v>
      </c>
      <c r="M199" s="402">
        <f t="shared" si="115"/>
        <v>0</v>
      </c>
      <c r="N199" s="402">
        <f t="shared" si="116"/>
        <v>0</v>
      </c>
      <c r="O199" s="402">
        <f t="shared" si="117"/>
        <v>0</v>
      </c>
      <c r="P199" s="402">
        <f t="shared" si="118"/>
        <v>0</v>
      </c>
      <c r="Q199" s="402">
        <f t="shared" si="119"/>
        <v>0</v>
      </c>
      <c r="R199" s="409" t="s">
        <v>244</v>
      </c>
      <c r="S199" s="455">
        <f>M199</f>
        <v>0</v>
      </c>
      <c r="T199" s="403">
        <f>N199</f>
        <v>0</v>
      </c>
      <c r="U199" s="403">
        <f>O199</f>
        <v>0</v>
      </c>
      <c r="V199" s="403">
        <f>P199</f>
        <v>0</v>
      </c>
      <c r="W199" s="403">
        <f>Q199</f>
        <v>0</v>
      </c>
      <c r="X199" s="323"/>
      <c r="Y199" s="403">
        <f>D199*$J199*(1+$K199%)</f>
        <v>0</v>
      </c>
      <c r="Z199" s="403">
        <f>E199*$J199*(1+$K199%)</f>
        <v>0</v>
      </c>
      <c r="AA199" s="403">
        <f>F199*$J199*(1+$K199%)</f>
        <v>0</v>
      </c>
      <c r="AB199" s="403">
        <f>G199*$J199*(1+$K199%)</f>
        <v>0</v>
      </c>
      <c r="AC199" s="403">
        <f>H199*$J199*(1+$K199%)</f>
        <v>0</v>
      </c>
    </row>
    <row r="200" spans="1:29">
      <c r="A200" s="635" t="s">
        <v>113</v>
      </c>
      <c r="B200" s="636" t="s">
        <v>418</v>
      </c>
      <c r="C200" s="637"/>
      <c r="D200" s="714"/>
      <c r="E200" s="714"/>
      <c r="F200" s="714"/>
      <c r="G200" s="714"/>
      <c r="H200" s="714"/>
      <c r="I200" s="713"/>
      <c r="J200" s="713"/>
      <c r="K200" s="713"/>
      <c r="L200" s="713"/>
      <c r="M200" s="639"/>
      <c r="N200" s="639"/>
      <c r="O200" s="639"/>
      <c r="P200" s="639"/>
      <c r="Q200" s="639"/>
      <c r="R200" s="640" t="s">
        <v>1864</v>
      </c>
      <c r="S200" s="455"/>
      <c r="T200" s="403"/>
      <c r="U200" s="403"/>
      <c r="V200" s="403"/>
      <c r="W200" s="403"/>
      <c r="X200" s="323"/>
      <c r="Y200" s="423"/>
      <c r="Z200" s="423"/>
      <c r="AA200" s="423"/>
      <c r="AB200" s="423"/>
      <c r="AC200" s="423"/>
    </row>
    <row r="201" spans="1:29">
      <c r="A201" s="635" t="s">
        <v>133</v>
      </c>
      <c r="B201" s="636" t="s">
        <v>229</v>
      </c>
      <c r="C201" s="637"/>
      <c r="D201" s="714"/>
      <c r="E201" s="714"/>
      <c r="F201" s="714"/>
      <c r="G201" s="714"/>
      <c r="H201" s="714"/>
      <c r="I201" s="713"/>
      <c r="J201" s="713"/>
      <c r="K201" s="713"/>
      <c r="L201" s="713"/>
      <c r="M201" s="639"/>
      <c r="N201" s="639"/>
      <c r="O201" s="639"/>
      <c r="P201" s="639"/>
      <c r="Q201" s="639"/>
      <c r="R201" s="640" t="s">
        <v>1864</v>
      </c>
      <c r="S201" s="455"/>
      <c r="T201" s="403"/>
      <c r="U201" s="403"/>
      <c r="V201" s="403"/>
      <c r="W201" s="403"/>
      <c r="X201" s="323"/>
      <c r="Y201" s="423"/>
      <c r="Z201" s="423"/>
      <c r="AA201" s="423"/>
      <c r="AB201" s="423"/>
      <c r="AC201" s="423"/>
    </row>
    <row r="202" spans="1:29" ht="22.5">
      <c r="A202" s="689">
        <v>1</v>
      </c>
      <c r="B202" s="407" t="s">
        <v>419</v>
      </c>
      <c r="C202" s="689" t="s">
        <v>231</v>
      </c>
      <c r="D202" s="566">
        <f>28.34+(1.3*2+1.75+1.68+1.49+1.66+2.5+1.66+1.49+1.68+1.75)*(0.4-0.135)+19.84*(0.2+0.2)</f>
        <v>41.114899999999999</v>
      </c>
      <c r="E202" s="566">
        <f>76.65+(0.6+0.7+3.55*2+1.35+1.37+2.42+2.36+4.07+3.97+4.22+5.3+4.07+4.14+2.37+2.42)*(0.4-0.135)+(16.99+9.75+2.85)*(0.2+0.2)</f>
        <v>100.7979</v>
      </c>
      <c r="F202" s="566">
        <f>4.2+2.25*(0.2+0.2)+6.75+3.55*(0.2+0.2)</f>
        <v>13.270000000000001</v>
      </c>
      <c r="G202" s="566">
        <f>7.13+3.1*(0.2+0.2)+7.13+3.75*(0.2+0.2)</f>
        <v>17</v>
      </c>
      <c r="H202" s="566">
        <f>75.76+(1.3*2+1.75+1.68+1.49+1.66+2.5+1.66+1.49+1.68+1.75)*(0.4-0.135)+19.84*(0.2+0.2)</f>
        <v>88.534899999999993</v>
      </c>
      <c r="I202" s="567">
        <f t="shared" ref="I202:I233" si="123">J202+J202*K202%+L202</f>
        <v>22.012509999999999</v>
      </c>
      <c r="J202" s="567">
        <f>'附件4-8甲供材料清单'!N127</f>
        <v>2.79251</v>
      </c>
      <c r="K202" s="567"/>
      <c r="L202" s="567">
        <v>19.22</v>
      </c>
      <c r="M202" s="402">
        <f t="shared" si="115"/>
        <v>905.04214739899987</v>
      </c>
      <c r="N202" s="402">
        <f t="shared" si="116"/>
        <v>2218.8147817290001</v>
      </c>
      <c r="O202" s="402">
        <f t="shared" si="117"/>
        <v>292.10600770000002</v>
      </c>
      <c r="P202" s="402">
        <f t="shared" si="118"/>
        <v>374.21267</v>
      </c>
      <c r="Q202" s="402">
        <f t="shared" si="119"/>
        <v>1948.8753715989997</v>
      </c>
      <c r="R202" s="409" t="s">
        <v>244</v>
      </c>
      <c r="S202" s="455">
        <f t="shared" ref="S202:W205" si="124">M202</f>
        <v>905.04214739899987</v>
      </c>
      <c r="T202" s="403">
        <f t="shared" si="124"/>
        <v>2218.8147817290001</v>
      </c>
      <c r="U202" s="403">
        <f t="shared" si="124"/>
        <v>292.10600770000002</v>
      </c>
      <c r="V202" s="403">
        <f t="shared" si="124"/>
        <v>374.21267</v>
      </c>
      <c r="W202" s="403">
        <f t="shared" si="124"/>
        <v>1948.8753715989997</v>
      </c>
      <c r="X202" s="323"/>
      <c r="Y202" s="403">
        <f t="shared" ref="Y202:AC205" si="125">D202*$J202*(1+$K202%)</f>
        <v>114.81376939899999</v>
      </c>
      <c r="Z202" s="403">
        <f t="shared" si="125"/>
        <v>281.47914372899999</v>
      </c>
      <c r="AA202" s="403">
        <f t="shared" si="125"/>
        <v>37.056607700000008</v>
      </c>
      <c r="AB202" s="403">
        <f t="shared" si="125"/>
        <v>47.472670000000001</v>
      </c>
      <c r="AC202" s="403">
        <f t="shared" si="125"/>
        <v>247.23459359899999</v>
      </c>
    </row>
    <row r="203" spans="1:29" ht="33.75">
      <c r="A203" s="689" t="s">
        <v>233</v>
      </c>
      <c r="B203" s="407" t="s">
        <v>420</v>
      </c>
      <c r="C203" s="689" t="s">
        <v>231</v>
      </c>
      <c r="D203" s="566"/>
      <c r="E203" s="566"/>
      <c r="F203" s="566"/>
      <c r="G203" s="566"/>
      <c r="H203" s="566"/>
      <c r="I203" s="567">
        <f t="shared" si="123"/>
        <v>24.572509999999998</v>
      </c>
      <c r="J203" s="567">
        <f>J202</f>
        <v>2.79251</v>
      </c>
      <c r="K203" s="567"/>
      <c r="L203" s="567">
        <f>2.56+19.22</f>
        <v>21.779999999999998</v>
      </c>
      <c r="M203" s="402">
        <f t="shared" si="115"/>
        <v>0</v>
      </c>
      <c r="N203" s="402">
        <f t="shared" si="116"/>
        <v>0</v>
      </c>
      <c r="O203" s="402">
        <f t="shared" si="117"/>
        <v>0</v>
      </c>
      <c r="P203" s="402">
        <f t="shared" si="118"/>
        <v>0</v>
      </c>
      <c r="Q203" s="402">
        <f t="shared" si="119"/>
        <v>0</v>
      </c>
      <c r="R203" s="409" t="s">
        <v>244</v>
      </c>
      <c r="S203" s="455">
        <f t="shared" si="124"/>
        <v>0</v>
      </c>
      <c r="T203" s="403">
        <f t="shared" si="124"/>
        <v>0</v>
      </c>
      <c r="U203" s="403">
        <f t="shared" si="124"/>
        <v>0</v>
      </c>
      <c r="V203" s="403">
        <f t="shared" si="124"/>
        <v>0</v>
      </c>
      <c r="W203" s="403">
        <f t="shared" si="124"/>
        <v>0</v>
      </c>
      <c r="X203" s="323"/>
      <c r="Y203" s="403">
        <f t="shared" si="125"/>
        <v>0</v>
      </c>
      <c r="Z203" s="403">
        <f t="shared" si="125"/>
        <v>0</v>
      </c>
      <c r="AA203" s="403">
        <f t="shared" si="125"/>
        <v>0</v>
      </c>
      <c r="AB203" s="403">
        <f t="shared" si="125"/>
        <v>0</v>
      </c>
      <c r="AC203" s="403">
        <f t="shared" si="125"/>
        <v>0</v>
      </c>
    </row>
    <row r="204" spans="1:29" ht="22.5">
      <c r="A204" s="689">
        <v>2</v>
      </c>
      <c r="B204" s="407" t="s">
        <v>421</v>
      </c>
      <c r="C204" s="689" t="s">
        <v>231</v>
      </c>
      <c r="D204" s="566"/>
      <c r="E204" s="566"/>
      <c r="F204" s="566"/>
      <c r="G204" s="566"/>
      <c r="H204" s="566"/>
      <c r="I204" s="567">
        <f t="shared" si="123"/>
        <v>21.428709999999999</v>
      </c>
      <c r="J204" s="567">
        <f>'附件4-8甲供材料清单'!N125</f>
        <v>2.2087100000000004</v>
      </c>
      <c r="K204" s="567"/>
      <c r="L204" s="567">
        <v>19.22</v>
      </c>
      <c r="M204" s="402">
        <f t="shared" si="115"/>
        <v>0</v>
      </c>
      <c r="N204" s="402">
        <f t="shared" si="116"/>
        <v>0</v>
      </c>
      <c r="O204" s="402">
        <f t="shared" si="117"/>
        <v>0</v>
      </c>
      <c r="P204" s="402">
        <f t="shared" si="118"/>
        <v>0</v>
      </c>
      <c r="Q204" s="402">
        <f t="shared" si="119"/>
        <v>0</v>
      </c>
      <c r="R204" s="409" t="s">
        <v>244</v>
      </c>
      <c r="S204" s="455">
        <f t="shared" si="124"/>
        <v>0</v>
      </c>
      <c r="T204" s="403">
        <f t="shared" si="124"/>
        <v>0</v>
      </c>
      <c r="U204" s="403">
        <f t="shared" si="124"/>
        <v>0</v>
      </c>
      <c r="V204" s="403">
        <f t="shared" si="124"/>
        <v>0</v>
      </c>
      <c r="W204" s="403">
        <f t="shared" si="124"/>
        <v>0</v>
      </c>
      <c r="X204" s="323"/>
      <c r="Y204" s="403">
        <f t="shared" si="125"/>
        <v>0</v>
      </c>
      <c r="Z204" s="403">
        <f t="shared" si="125"/>
        <v>0</v>
      </c>
      <c r="AA204" s="403">
        <f t="shared" si="125"/>
        <v>0</v>
      </c>
      <c r="AB204" s="403">
        <f t="shared" si="125"/>
        <v>0</v>
      </c>
      <c r="AC204" s="403">
        <f t="shared" si="125"/>
        <v>0</v>
      </c>
    </row>
    <row r="205" spans="1:29" ht="33.75">
      <c r="A205" s="689" t="s">
        <v>233</v>
      </c>
      <c r="B205" s="407" t="s">
        <v>422</v>
      </c>
      <c r="C205" s="689" t="s">
        <v>231</v>
      </c>
      <c r="D205" s="566"/>
      <c r="E205" s="566"/>
      <c r="F205" s="566"/>
      <c r="G205" s="566"/>
      <c r="H205" s="566"/>
      <c r="I205" s="567">
        <f t="shared" si="123"/>
        <v>23.988709999999998</v>
      </c>
      <c r="J205" s="567">
        <f>J204</f>
        <v>2.2087100000000004</v>
      </c>
      <c r="K205" s="567"/>
      <c r="L205" s="567">
        <f>2.56+19.22</f>
        <v>21.779999999999998</v>
      </c>
      <c r="M205" s="402">
        <f t="shared" si="115"/>
        <v>0</v>
      </c>
      <c r="N205" s="402">
        <f t="shared" si="116"/>
        <v>0</v>
      </c>
      <c r="O205" s="402">
        <f t="shared" si="117"/>
        <v>0</v>
      </c>
      <c r="P205" s="402">
        <f t="shared" si="118"/>
        <v>0</v>
      </c>
      <c r="Q205" s="402">
        <f t="shared" si="119"/>
        <v>0</v>
      </c>
      <c r="R205" s="409" t="s">
        <v>244</v>
      </c>
      <c r="S205" s="455">
        <f t="shared" si="124"/>
        <v>0</v>
      </c>
      <c r="T205" s="403">
        <f t="shared" si="124"/>
        <v>0</v>
      </c>
      <c r="U205" s="403">
        <f t="shared" si="124"/>
        <v>0</v>
      </c>
      <c r="V205" s="403">
        <f t="shared" si="124"/>
        <v>0</v>
      </c>
      <c r="W205" s="403">
        <f t="shared" si="124"/>
        <v>0</v>
      </c>
      <c r="X205" s="323"/>
      <c r="Y205" s="403">
        <f t="shared" si="125"/>
        <v>0</v>
      </c>
      <c r="Z205" s="403">
        <f t="shared" si="125"/>
        <v>0</v>
      </c>
      <c r="AA205" s="403">
        <f t="shared" si="125"/>
        <v>0</v>
      </c>
      <c r="AB205" s="403">
        <f t="shared" si="125"/>
        <v>0</v>
      </c>
      <c r="AC205" s="403">
        <f t="shared" si="125"/>
        <v>0</v>
      </c>
    </row>
    <row r="206" spans="1:29">
      <c r="A206" s="635" t="s">
        <v>246</v>
      </c>
      <c r="B206" s="636" t="s">
        <v>247</v>
      </c>
      <c r="C206" s="637"/>
      <c r="D206" s="714"/>
      <c r="E206" s="714"/>
      <c r="F206" s="714"/>
      <c r="G206" s="714"/>
      <c r="H206" s="714"/>
      <c r="I206" s="713"/>
      <c r="J206" s="713"/>
      <c r="K206" s="713"/>
      <c r="L206" s="713"/>
      <c r="M206" s="639"/>
      <c r="N206" s="639"/>
      <c r="O206" s="639"/>
      <c r="P206" s="639"/>
      <c r="Q206" s="639"/>
      <c r="R206" s="640" t="s">
        <v>1864</v>
      </c>
      <c r="S206" s="455"/>
      <c r="T206" s="403"/>
      <c r="U206" s="403"/>
      <c r="V206" s="403"/>
      <c r="W206" s="403"/>
      <c r="X206" s="323"/>
      <c r="Y206" s="423"/>
      <c r="Z206" s="423"/>
      <c r="AA206" s="423"/>
      <c r="AB206" s="423"/>
      <c r="AC206" s="423"/>
    </row>
    <row r="207" spans="1:29" ht="22.5">
      <c r="A207" s="689">
        <v>1</v>
      </c>
      <c r="B207" s="407" t="s">
        <v>423</v>
      </c>
      <c r="C207" s="689" t="s">
        <v>231</v>
      </c>
      <c r="D207" s="566">
        <f>28.34+19.84*(0.1+0.1)</f>
        <v>32.308</v>
      </c>
      <c r="E207" s="566">
        <f>192.67+5.7+(2.85+32.55)*(0.1+0.1)</f>
        <v>205.45</v>
      </c>
      <c r="F207" s="566">
        <f>188.65+(17.44+17.44)*(0.1+0.1)</f>
        <v>195.626</v>
      </c>
      <c r="G207" s="566">
        <f>7.13+3.1*(0.1+0.1)+7.13+3.75*(0.1+0.1)</f>
        <v>15.629999999999999</v>
      </c>
      <c r="H207" s="566">
        <f>75.76+19.84*(0.1+0.1)</f>
        <v>79.728000000000009</v>
      </c>
      <c r="I207" s="567">
        <f t="shared" si="123"/>
        <v>113.58888888888889</v>
      </c>
      <c r="J207" s="567">
        <f>'附件4-8甲供材料清单'!M12</f>
        <v>61.111111111111114</v>
      </c>
      <c r="K207" s="567">
        <v>7</v>
      </c>
      <c r="L207" s="567">
        <v>48.2</v>
      </c>
      <c r="M207" s="402">
        <f t="shared" si="115"/>
        <v>3669.829822222222</v>
      </c>
      <c r="N207" s="402">
        <f t="shared" si="116"/>
        <v>23336.837222222221</v>
      </c>
      <c r="O207" s="402">
        <f t="shared" si="117"/>
        <v>22220.93997777778</v>
      </c>
      <c r="P207" s="402">
        <f t="shared" si="118"/>
        <v>1775.3943333333332</v>
      </c>
      <c r="Q207" s="402">
        <f t="shared" si="119"/>
        <v>9056.2149333333346</v>
      </c>
      <c r="R207" s="409" t="s">
        <v>244</v>
      </c>
      <c r="S207" s="455">
        <f>M207</f>
        <v>3669.829822222222</v>
      </c>
      <c r="T207" s="403">
        <f>N207</f>
        <v>23336.837222222221</v>
      </c>
      <c r="U207" s="403">
        <f>O207</f>
        <v>22220.93997777778</v>
      </c>
      <c r="V207" s="403">
        <f>P207</f>
        <v>1775.3943333333332</v>
      </c>
      <c r="W207" s="403">
        <f>Q207</f>
        <v>9056.2149333333346</v>
      </c>
      <c r="X207" s="323"/>
      <c r="Y207" s="403">
        <f>D207*$J207*(1+$K207%)</f>
        <v>2112.5842222222227</v>
      </c>
      <c r="Z207" s="403">
        <f>E207*$J207*(1+$K207%)</f>
        <v>13434.147222222222</v>
      </c>
      <c r="AA207" s="403">
        <f>F207*$J207*(1+$K207%)</f>
        <v>12791.766777777781</v>
      </c>
      <c r="AB207" s="403">
        <f>G207*$J207*(1+$K207%)</f>
        <v>1022.0283333333333</v>
      </c>
      <c r="AC207" s="403">
        <f>H207*$J207*(1+$K207%)</f>
        <v>5213.3253333333341</v>
      </c>
    </row>
    <row r="208" spans="1:29">
      <c r="A208" s="635" t="s">
        <v>136</v>
      </c>
      <c r="B208" s="636" t="s">
        <v>424</v>
      </c>
      <c r="C208" s="637"/>
      <c r="D208" s="714"/>
      <c r="E208" s="714"/>
      <c r="F208" s="714"/>
      <c r="G208" s="714"/>
      <c r="H208" s="714"/>
      <c r="I208" s="713"/>
      <c r="J208" s="713"/>
      <c r="K208" s="713"/>
      <c r="L208" s="713"/>
      <c r="M208" s="639"/>
      <c r="N208" s="639"/>
      <c r="O208" s="639"/>
      <c r="P208" s="639"/>
      <c r="Q208" s="639"/>
      <c r="R208" s="640" t="s">
        <v>1864</v>
      </c>
      <c r="S208" s="455"/>
      <c r="T208" s="403"/>
      <c r="U208" s="403"/>
      <c r="V208" s="403"/>
      <c r="W208" s="403"/>
      <c r="X208" s="323"/>
      <c r="Y208" s="423"/>
      <c r="Z208" s="423"/>
      <c r="AA208" s="423"/>
      <c r="AB208" s="423"/>
      <c r="AC208" s="423"/>
    </row>
    <row r="209" spans="1:29" ht="22.5">
      <c r="A209" s="689">
        <v>1</v>
      </c>
      <c r="B209" s="407" t="s">
        <v>425</v>
      </c>
      <c r="C209" s="689" t="s">
        <v>231</v>
      </c>
      <c r="D209" s="566">
        <f>(39.65-19.84)*2.7+0.047*('G单元 '!$L$17+'G单元 '!$L$7*2+'G单元 '!$L$22+'G单元 '!$L$7*2+'G单元 '!$L$28+'G单元 '!$L$7*2)-'G单元 '!$M$33*'G单元 '!$N$33-'G单元 '!$L$28*'G单元 '!$L$7-'G单元 '!$L$22*'G单元 '!$L$7-'G单元 '!$L$17*'G单元 '!$L$7</f>
        <v>36.787739999999999</v>
      </c>
      <c r="E209" s="566">
        <f>(69.29-32.55+9.7-2.85)*2.7+0.047*(J单元!$L$17+J单元!$L$7*2)+0.047*(J单元!$L$22+J单元!$L$7*2)+0.047*(J单元!$L$28+J单元!$L$7*2)-J单元!$M$33*J单元!$N$33-J单元!$L$28*J单元!$L$7-J单元!$L$22*J单元!$L$7-J单元!$L$17*J单元!$L$7</f>
        <v>100.99374000000002</v>
      </c>
      <c r="F209" s="566">
        <f>(68.32-34.88)*2.7+0.047*('K单元 '!$L$22+'K单元 '!$L$7*2)+(11.3-3.75)*2.7+0.047*('K单元 '!$L$17+'K单元 '!$L$7*2)+0.047*('K单元 '!L28+'K单元 '!L7*2)-'K单元 '!L7*'K单元 '!L17-'K单元 '!L7*'K单元 '!L22-'K单元 '!L7*'K单元 '!L28-'K单元 '!M22*'K单元 '!N22-'K单元 '!M28*'K单元 '!N28-'K单元 '!M33*'K单元 '!N33</f>
        <v>88.822670000000002</v>
      </c>
      <c r="G209" s="566">
        <f>(11.3-3.1)*2.7+0.047*('A1单元 '!$L$22+'A1单元 '!$L$7*2)+(11.3-3.75)*2.7+0.047*('A1单元 '!$L$17+'A1单元 '!$L$7*2)-'A1单元 '!$L$7*'A1单元 '!$L$17-'A1单元 '!$L$7*'A1单元 '!$L$22</f>
        <v>31.614460000000008</v>
      </c>
      <c r="H209" s="566">
        <f>(39.65-19.84)*2.7+0.047*('G单元 '!$L$17+'G单元 '!$L$7*2+'G单元 '!$L$22+'G单元 '!$L$7*2+'G单元 '!$L$28+'G单元 '!$L$7*2)-'G单元 '!$M$33*'G单元 '!$N$33-'G单元 '!$L$28*'G单元 '!$L$7-'G单元 '!$L$22*'G单元 '!$L$7-'G单元 '!$L$17*'G单元 '!$L$7</f>
        <v>36.787739999999999</v>
      </c>
      <c r="I209" s="567">
        <f t="shared" si="123"/>
        <v>21.428709999999999</v>
      </c>
      <c r="J209" s="567">
        <f>'附件4-8甲供材料清单'!N123</f>
        <v>2.2087100000000004</v>
      </c>
      <c r="K209" s="567"/>
      <c r="L209" s="567">
        <v>19.22</v>
      </c>
      <c r="M209" s="402">
        <f t="shared" si="115"/>
        <v>788.31381201539989</v>
      </c>
      <c r="N209" s="402">
        <f t="shared" si="116"/>
        <v>2164.1655662754001</v>
      </c>
      <c r="O209" s="402">
        <f t="shared" si="117"/>
        <v>1903.3552368557</v>
      </c>
      <c r="P209" s="402">
        <f t="shared" si="118"/>
        <v>677.45709514660018</v>
      </c>
      <c r="Q209" s="402">
        <f t="shared" si="119"/>
        <v>788.31381201539989</v>
      </c>
      <c r="R209" s="409" t="s">
        <v>244</v>
      </c>
      <c r="S209" s="455">
        <f t="shared" ref="S209:W210" si="126">M209</f>
        <v>788.31381201539989</v>
      </c>
      <c r="T209" s="403">
        <f t="shared" si="126"/>
        <v>2164.1655662754001</v>
      </c>
      <c r="U209" s="403">
        <f t="shared" si="126"/>
        <v>1903.3552368557</v>
      </c>
      <c r="V209" s="403">
        <f t="shared" si="126"/>
        <v>677.45709514660018</v>
      </c>
      <c r="W209" s="403">
        <f t="shared" si="126"/>
        <v>788.31381201539989</v>
      </c>
      <c r="X209" s="323"/>
      <c r="Y209" s="403">
        <f t="shared" ref="Y209:AC210" si="127">D209*$J209*(1+$K209%)</f>
        <v>81.253449215400011</v>
      </c>
      <c r="Z209" s="403">
        <f t="shared" si="127"/>
        <v>223.06588347540008</v>
      </c>
      <c r="AA209" s="403">
        <f t="shared" si="127"/>
        <v>196.18351945570004</v>
      </c>
      <c r="AB209" s="403">
        <f t="shared" si="127"/>
        <v>69.827173946600027</v>
      </c>
      <c r="AC209" s="403">
        <f t="shared" si="127"/>
        <v>81.253449215400011</v>
      </c>
    </row>
    <row r="210" spans="1:29" ht="33.75">
      <c r="A210" s="689" t="s">
        <v>233</v>
      </c>
      <c r="B210" s="407" t="s">
        <v>426</v>
      </c>
      <c r="C210" s="689" t="s">
        <v>231</v>
      </c>
      <c r="D210" s="566"/>
      <c r="E210" s="566"/>
      <c r="F210" s="566"/>
      <c r="G210" s="566"/>
      <c r="H210" s="566"/>
      <c r="I210" s="567">
        <f t="shared" si="123"/>
        <v>23.988709999999998</v>
      </c>
      <c r="J210" s="567">
        <f>J209</f>
        <v>2.2087100000000004</v>
      </c>
      <c r="K210" s="567"/>
      <c r="L210" s="567">
        <f>2.56+19.22</f>
        <v>21.779999999999998</v>
      </c>
      <c r="M210" s="402">
        <f t="shared" si="115"/>
        <v>0</v>
      </c>
      <c r="N210" s="402">
        <f t="shared" si="116"/>
        <v>0</v>
      </c>
      <c r="O210" s="402">
        <f t="shared" si="117"/>
        <v>0</v>
      </c>
      <c r="P210" s="402">
        <f t="shared" si="118"/>
        <v>0</v>
      </c>
      <c r="Q210" s="402">
        <f t="shared" si="119"/>
        <v>0</v>
      </c>
      <c r="R210" s="409" t="s">
        <v>244</v>
      </c>
      <c r="S210" s="455">
        <f t="shared" si="126"/>
        <v>0</v>
      </c>
      <c r="T210" s="403">
        <f t="shared" si="126"/>
        <v>0</v>
      </c>
      <c r="U210" s="403">
        <f t="shared" si="126"/>
        <v>0</v>
      </c>
      <c r="V210" s="403">
        <f t="shared" si="126"/>
        <v>0</v>
      </c>
      <c r="W210" s="403">
        <f t="shared" si="126"/>
        <v>0</v>
      </c>
      <c r="X210" s="323"/>
      <c r="Y210" s="403">
        <f t="shared" si="127"/>
        <v>0</v>
      </c>
      <c r="Z210" s="403">
        <f t="shared" si="127"/>
        <v>0</v>
      </c>
      <c r="AA210" s="403">
        <f t="shared" si="127"/>
        <v>0</v>
      </c>
      <c r="AB210" s="403">
        <f t="shared" si="127"/>
        <v>0</v>
      </c>
      <c r="AC210" s="403">
        <f t="shared" si="127"/>
        <v>0</v>
      </c>
    </row>
    <row r="211" spans="1:29" ht="22.5">
      <c r="A211" s="689">
        <v>2</v>
      </c>
      <c r="B211" s="407" t="s">
        <v>427</v>
      </c>
      <c r="C211" s="689" t="s">
        <v>231</v>
      </c>
      <c r="D211" s="566"/>
      <c r="E211" s="566"/>
      <c r="F211" s="566"/>
      <c r="G211" s="566"/>
      <c r="H211" s="566"/>
      <c r="I211" s="567">
        <f t="shared" si="123"/>
        <v>124</v>
      </c>
      <c r="J211" s="567"/>
      <c r="K211" s="567"/>
      <c r="L211" s="567">
        <v>124</v>
      </c>
      <c r="M211" s="402">
        <f t="shared" si="115"/>
        <v>0</v>
      </c>
      <c r="N211" s="402">
        <f t="shared" si="116"/>
        <v>0</v>
      </c>
      <c r="O211" s="402">
        <f t="shared" si="117"/>
        <v>0</v>
      </c>
      <c r="P211" s="402">
        <f t="shared" si="118"/>
        <v>0</v>
      </c>
      <c r="Q211" s="402">
        <f t="shared" si="119"/>
        <v>0</v>
      </c>
      <c r="R211" s="409" t="s">
        <v>378</v>
      </c>
      <c r="S211" s="455"/>
      <c r="T211" s="403"/>
      <c r="U211" s="403"/>
      <c r="V211" s="403"/>
      <c r="W211" s="403"/>
      <c r="X211" s="323"/>
      <c r="Y211" s="423"/>
      <c r="Z211" s="423"/>
      <c r="AA211" s="423"/>
      <c r="AB211" s="423"/>
      <c r="AC211" s="423"/>
    </row>
    <row r="212" spans="1:29" ht="22.5">
      <c r="A212" s="689">
        <v>3</v>
      </c>
      <c r="B212" s="407" t="s">
        <v>428</v>
      </c>
      <c r="C212" s="689" t="s">
        <v>235</v>
      </c>
      <c r="D212" s="566"/>
      <c r="E212" s="566"/>
      <c r="F212" s="566"/>
      <c r="G212" s="566"/>
      <c r="H212" s="566"/>
      <c r="I212" s="567">
        <f t="shared" si="123"/>
        <v>15.976666666666667</v>
      </c>
      <c r="J212" s="567">
        <f>'附件4-8甲供材料清单'!M12*0.1</f>
        <v>6.1111111111111116</v>
      </c>
      <c r="K212" s="567">
        <v>5</v>
      </c>
      <c r="L212" s="567">
        <v>9.56</v>
      </c>
      <c r="M212" s="402">
        <f t="shared" si="115"/>
        <v>0</v>
      </c>
      <c r="N212" s="402">
        <f t="shared" si="116"/>
        <v>0</v>
      </c>
      <c r="O212" s="402">
        <f t="shared" si="117"/>
        <v>0</v>
      </c>
      <c r="P212" s="402">
        <f t="shared" si="118"/>
        <v>0</v>
      </c>
      <c r="Q212" s="402">
        <f t="shared" si="119"/>
        <v>0</v>
      </c>
      <c r="R212" s="409" t="s">
        <v>244</v>
      </c>
      <c r="S212" s="455">
        <f t="shared" ref="S212:W213" si="128">M212</f>
        <v>0</v>
      </c>
      <c r="T212" s="403">
        <f t="shared" si="128"/>
        <v>0</v>
      </c>
      <c r="U212" s="403">
        <f t="shared" si="128"/>
        <v>0</v>
      </c>
      <c r="V212" s="403">
        <f t="shared" si="128"/>
        <v>0</v>
      </c>
      <c r="W212" s="403">
        <f t="shared" si="128"/>
        <v>0</v>
      </c>
      <c r="X212" s="323"/>
      <c r="Y212" s="403">
        <f t="shared" ref="Y212:AC213" si="129">D212*$J212*(1+$K212%)</f>
        <v>0</v>
      </c>
      <c r="Z212" s="403">
        <f t="shared" si="129"/>
        <v>0</v>
      </c>
      <c r="AA212" s="403">
        <f t="shared" si="129"/>
        <v>0</v>
      </c>
      <c r="AB212" s="403">
        <f t="shared" si="129"/>
        <v>0</v>
      </c>
      <c r="AC212" s="403">
        <f t="shared" si="129"/>
        <v>0</v>
      </c>
    </row>
    <row r="213" spans="1:29" ht="45">
      <c r="A213" s="689" t="s">
        <v>233</v>
      </c>
      <c r="B213" s="407" t="s">
        <v>429</v>
      </c>
      <c r="C213" s="689" t="s">
        <v>235</v>
      </c>
      <c r="D213" s="566"/>
      <c r="E213" s="566"/>
      <c r="F213" s="566"/>
      <c r="G213" s="566"/>
      <c r="H213" s="566"/>
      <c r="I213" s="567">
        <f t="shared" si="123"/>
        <v>19.497777777777777</v>
      </c>
      <c r="J213" s="567">
        <f>J212</f>
        <v>6.1111111111111116</v>
      </c>
      <c r="K213" s="567">
        <v>6</v>
      </c>
      <c r="L213" s="567">
        <v>13.02</v>
      </c>
      <c r="M213" s="402">
        <f t="shared" si="115"/>
        <v>0</v>
      </c>
      <c r="N213" s="402">
        <f t="shared" si="116"/>
        <v>0</v>
      </c>
      <c r="O213" s="402">
        <f t="shared" si="117"/>
        <v>0</v>
      </c>
      <c r="P213" s="402">
        <f t="shared" si="118"/>
        <v>0</v>
      </c>
      <c r="Q213" s="402">
        <f t="shared" si="119"/>
        <v>0</v>
      </c>
      <c r="R213" s="409" t="s">
        <v>244</v>
      </c>
      <c r="S213" s="455">
        <f t="shared" si="128"/>
        <v>0</v>
      </c>
      <c r="T213" s="403">
        <f t="shared" si="128"/>
        <v>0</v>
      </c>
      <c r="U213" s="403">
        <f t="shared" si="128"/>
        <v>0</v>
      </c>
      <c r="V213" s="403">
        <f t="shared" si="128"/>
        <v>0</v>
      </c>
      <c r="W213" s="403">
        <f t="shared" si="128"/>
        <v>0</v>
      </c>
      <c r="X213" s="323"/>
      <c r="Y213" s="403">
        <f t="shared" si="129"/>
        <v>0</v>
      </c>
      <c r="Z213" s="403">
        <f t="shared" si="129"/>
        <v>0</v>
      </c>
      <c r="AA213" s="403">
        <f t="shared" si="129"/>
        <v>0</v>
      </c>
      <c r="AB213" s="403">
        <f t="shared" si="129"/>
        <v>0</v>
      </c>
      <c r="AC213" s="403">
        <f t="shared" si="129"/>
        <v>0</v>
      </c>
    </row>
    <row r="214" spans="1:29">
      <c r="A214" s="689">
        <v>4</v>
      </c>
      <c r="B214" s="407" t="s">
        <v>430</v>
      </c>
      <c r="C214" s="689" t="s">
        <v>270</v>
      </c>
      <c r="D214" s="566">
        <v>6</v>
      </c>
      <c r="E214" s="566">
        <v>6</v>
      </c>
      <c r="F214" s="566">
        <v>6</v>
      </c>
      <c r="G214" s="566">
        <v>4</v>
      </c>
      <c r="H214" s="566">
        <v>6</v>
      </c>
      <c r="I214" s="567">
        <f t="shared" si="123"/>
        <v>31</v>
      </c>
      <c r="J214" s="567">
        <v>20</v>
      </c>
      <c r="K214" s="567">
        <v>1</v>
      </c>
      <c r="L214" s="567">
        <v>10.8</v>
      </c>
      <c r="M214" s="402">
        <f t="shared" si="115"/>
        <v>186</v>
      </c>
      <c r="N214" s="402">
        <f t="shared" si="116"/>
        <v>186</v>
      </c>
      <c r="O214" s="402">
        <f t="shared" si="117"/>
        <v>186</v>
      </c>
      <c r="P214" s="402">
        <f t="shared" si="118"/>
        <v>124</v>
      </c>
      <c r="Q214" s="402">
        <f t="shared" si="119"/>
        <v>186</v>
      </c>
      <c r="R214" s="409"/>
      <c r="S214" s="455"/>
      <c r="T214" s="403"/>
      <c r="U214" s="403"/>
      <c r="V214" s="403"/>
      <c r="W214" s="403"/>
      <c r="X214" s="323"/>
      <c r="Y214" s="423"/>
      <c r="Z214" s="423"/>
      <c r="AA214" s="423"/>
      <c r="AB214" s="423"/>
      <c r="AC214" s="423"/>
    </row>
    <row r="215" spans="1:29">
      <c r="A215" s="689">
        <v>5</v>
      </c>
      <c r="B215" s="407" t="s">
        <v>431</v>
      </c>
      <c r="C215" s="689" t="s">
        <v>270</v>
      </c>
      <c r="D215" s="566">
        <v>2</v>
      </c>
      <c r="E215" s="566">
        <v>2</v>
      </c>
      <c r="F215" s="566">
        <v>2</v>
      </c>
      <c r="G215" s="566">
        <v>2</v>
      </c>
      <c r="H215" s="566">
        <v>2</v>
      </c>
      <c r="I215" s="567">
        <f t="shared" si="123"/>
        <v>46.150000000000006</v>
      </c>
      <c r="J215" s="567">
        <v>35</v>
      </c>
      <c r="K215" s="567">
        <v>1</v>
      </c>
      <c r="L215" s="567">
        <v>10.8</v>
      </c>
      <c r="M215" s="402">
        <f t="shared" si="115"/>
        <v>92.300000000000011</v>
      </c>
      <c r="N215" s="402">
        <f t="shared" si="116"/>
        <v>92.300000000000011</v>
      </c>
      <c r="O215" s="402">
        <f t="shared" si="117"/>
        <v>92.300000000000011</v>
      </c>
      <c r="P215" s="402">
        <f t="shared" si="118"/>
        <v>92.300000000000011</v>
      </c>
      <c r="Q215" s="402">
        <f t="shared" si="119"/>
        <v>92.300000000000011</v>
      </c>
      <c r="R215" s="409"/>
      <c r="S215" s="455"/>
      <c r="T215" s="403"/>
      <c r="U215" s="403"/>
      <c r="V215" s="403"/>
      <c r="W215" s="403"/>
      <c r="X215" s="323"/>
      <c r="Y215" s="423"/>
      <c r="Z215" s="423"/>
      <c r="AA215" s="423"/>
      <c r="AB215" s="423"/>
      <c r="AC215" s="423"/>
    </row>
    <row r="216" spans="1:29" ht="33.75">
      <c r="A216" s="689">
        <v>6</v>
      </c>
      <c r="B216" s="407" t="s">
        <v>432</v>
      </c>
      <c r="C216" s="689" t="s">
        <v>231</v>
      </c>
      <c r="D216" s="566"/>
      <c r="E216" s="566"/>
      <c r="F216" s="566"/>
      <c r="G216" s="566"/>
      <c r="H216" s="566"/>
      <c r="I216" s="567">
        <f t="shared" si="123"/>
        <v>486.39</v>
      </c>
      <c r="J216" s="567">
        <f>'附件4-8甲供材料清单'!K156</f>
        <v>373</v>
      </c>
      <c r="K216" s="567">
        <v>3</v>
      </c>
      <c r="L216" s="567">
        <v>102.2</v>
      </c>
      <c r="M216" s="402">
        <f t="shared" si="115"/>
        <v>0</v>
      </c>
      <c r="N216" s="402">
        <f t="shared" si="116"/>
        <v>0</v>
      </c>
      <c r="O216" s="402">
        <f t="shared" si="117"/>
        <v>0</v>
      </c>
      <c r="P216" s="402">
        <f t="shared" si="118"/>
        <v>0</v>
      </c>
      <c r="Q216" s="402">
        <f t="shared" si="119"/>
        <v>0</v>
      </c>
      <c r="R216" s="409" t="s">
        <v>244</v>
      </c>
      <c r="S216" s="455">
        <f t="shared" ref="S216:W217" si="130">M216</f>
        <v>0</v>
      </c>
      <c r="T216" s="403">
        <f t="shared" si="130"/>
        <v>0</v>
      </c>
      <c r="U216" s="403">
        <f t="shared" si="130"/>
        <v>0</v>
      </c>
      <c r="V216" s="403">
        <f t="shared" si="130"/>
        <v>0</v>
      </c>
      <c r="W216" s="403">
        <f t="shared" si="130"/>
        <v>0</v>
      </c>
      <c r="X216" s="323"/>
      <c r="Y216" s="403">
        <f t="shared" ref="Y216:AC217" si="131">D216*$J216*(1+$K216%)</f>
        <v>0</v>
      </c>
      <c r="Z216" s="403">
        <f t="shared" si="131"/>
        <v>0</v>
      </c>
      <c r="AA216" s="403">
        <f t="shared" si="131"/>
        <v>0</v>
      </c>
      <c r="AB216" s="403">
        <f t="shared" si="131"/>
        <v>0</v>
      </c>
      <c r="AC216" s="403">
        <f t="shared" si="131"/>
        <v>0</v>
      </c>
    </row>
    <row r="217" spans="1:29" ht="22.5">
      <c r="A217" s="689">
        <v>7</v>
      </c>
      <c r="B217" s="407" t="s">
        <v>274</v>
      </c>
      <c r="C217" s="689" t="s">
        <v>235</v>
      </c>
      <c r="D217" s="566"/>
      <c r="E217" s="566"/>
      <c r="F217" s="566"/>
      <c r="G217" s="566"/>
      <c r="H217" s="566"/>
      <c r="I217" s="567">
        <f t="shared" si="123"/>
        <v>30</v>
      </c>
      <c r="J217" s="567">
        <f>'附件4-8甲供材料清单'!K157</f>
        <v>30</v>
      </c>
      <c r="K217" s="567"/>
      <c r="L217" s="567"/>
      <c r="M217" s="402">
        <f t="shared" si="115"/>
        <v>0</v>
      </c>
      <c r="N217" s="402">
        <f t="shared" si="116"/>
        <v>0</v>
      </c>
      <c r="O217" s="402">
        <f t="shared" si="117"/>
        <v>0</v>
      </c>
      <c r="P217" s="402">
        <f t="shared" si="118"/>
        <v>0</v>
      </c>
      <c r="Q217" s="402">
        <f t="shared" si="119"/>
        <v>0</v>
      </c>
      <c r="R217" s="409" t="s">
        <v>244</v>
      </c>
      <c r="S217" s="455">
        <f t="shared" si="130"/>
        <v>0</v>
      </c>
      <c r="T217" s="403">
        <f t="shared" si="130"/>
        <v>0</v>
      </c>
      <c r="U217" s="403">
        <f t="shared" si="130"/>
        <v>0</v>
      </c>
      <c r="V217" s="403">
        <f t="shared" si="130"/>
        <v>0</v>
      </c>
      <c r="W217" s="403">
        <f t="shared" si="130"/>
        <v>0</v>
      </c>
      <c r="X217" s="323"/>
      <c r="Y217" s="403">
        <f t="shared" si="131"/>
        <v>0</v>
      </c>
      <c r="Z217" s="403">
        <f t="shared" si="131"/>
        <v>0</v>
      </c>
      <c r="AA217" s="403">
        <f t="shared" si="131"/>
        <v>0</v>
      </c>
      <c r="AB217" s="403">
        <f t="shared" si="131"/>
        <v>0</v>
      </c>
      <c r="AC217" s="403">
        <f t="shared" si="131"/>
        <v>0</v>
      </c>
    </row>
    <row r="218" spans="1:29">
      <c r="A218" s="635" t="s">
        <v>433</v>
      </c>
      <c r="B218" s="636" t="s">
        <v>434</v>
      </c>
      <c r="C218" s="637"/>
      <c r="D218" s="714"/>
      <c r="E218" s="714"/>
      <c r="F218" s="714"/>
      <c r="G218" s="714"/>
      <c r="H218" s="714"/>
      <c r="I218" s="713"/>
      <c r="J218" s="713"/>
      <c r="K218" s="713"/>
      <c r="L218" s="713"/>
      <c r="M218" s="639"/>
      <c r="N218" s="639"/>
      <c r="O218" s="639"/>
      <c r="P218" s="639"/>
      <c r="Q218" s="639"/>
      <c r="R218" s="640" t="s">
        <v>1864</v>
      </c>
      <c r="S218" s="455"/>
      <c r="T218" s="403"/>
      <c r="U218" s="403"/>
      <c r="V218" s="403"/>
      <c r="W218" s="403"/>
      <c r="X218" s="323"/>
      <c r="Y218" s="423"/>
      <c r="Z218" s="423"/>
      <c r="AA218" s="423"/>
      <c r="AB218" s="423"/>
      <c r="AC218" s="423"/>
    </row>
    <row r="219" spans="1:29" ht="67.5">
      <c r="A219" s="689">
        <v>1</v>
      </c>
      <c r="B219" s="407" t="s">
        <v>435</v>
      </c>
      <c r="C219" s="689" t="s">
        <v>436</v>
      </c>
      <c r="D219" s="566">
        <f>D6</f>
        <v>0</v>
      </c>
      <c r="E219" s="566">
        <f>E6</f>
        <v>1</v>
      </c>
      <c r="F219" s="566">
        <f>F6</f>
        <v>0</v>
      </c>
      <c r="G219" s="566">
        <f>G6</f>
        <v>0</v>
      </c>
      <c r="H219" s="566">
        <f>H6</f>
        <v>0</v>
      </c>
      <c r="I219" s="567">
        <f t="shared" si="123"/>
        <v>3006.56</v>
      </c>
      <c r="J219" s="567">
        <f>'附件4-8甲供材料清单'!K82</f>
        <v>2646</v>
      </c>
      <c r="K219" s="567">
        <v>0.5</v>
      </c>
      <c r="L219" s="567">
        <v>347.33</v>
      </c>
      <c r="M219" s="402">
        <f t="shared" si="115"/>
        <v>0</v>
      </c>
      <c r="N219" s="402">
        <f t="shared" si="116"/>
        <v>3006.56</v>
      </c>
      <c r="O219" s="402">
        <f t="shared" si="117"/>
        <v>0</v>
      </c>
      <c r="P219" s="402">
        <f t="shared" si="118"/>
        <v>0</v>
      </c>
      <c r="Q219" s="402">
        <f t="shared" si="119"/>
        <v>0</v>
      </c>
      <c r="R219" s="409" t="s">
        <v>437</v>
      </c>
      <c r="S219" s="455">
        <f t="shared" ref="S219:S233" si="132">M219</f>
        <v>0</v>
      </c>
      <c r="T219" s="403">
        <f t="shared" ref="T219:T233" si="133">N219</f>
        <v>3006.56</v>
      </c>
      <c r="U219" s="403">
        <f t="shared" ref="U219:U233" si="134">O219</f>
        <v>0</v>
      </c>
      <c r="V219" s="403">
        <f t="shared" ref="V219:V233" si="135">P219</f>
        <v>0</v>
      </c>
      <c r="W219" s="403">
        <f t="shared" ref="W219:W233" si="136">Q219</f>
        <v>0</v>
      </c>
      <c r="X219" s="323"/>
      <c r="Y219" s="403">
        <f t="shared" ref="Y219:Y233" si="137">D219*$J219*(1+$K219%)</f>
        <v>0</v>
      </c>
      <c r="Z219" s="403">
        <f t="shared" ref="Z219:Z233" si="138">E219*$J219*(1+$K219%)</f>
        <v>2659.2299999999996</v>
      </c>
      <c r="AA219" s="403">
        <f t="shared" ref="AA219:AA233" si="139">F219*$J219*(1+$K219%)</f>
        <v>0</v>
      </c>
      <c r="AB219" s="403">
        <f t="shared" ref="AB219:AB233" si="140">G219*$J219*(1+$K219%)</f>
        <v>0</v>
      </c>
      <c r="AC219" s="403">
        <f t="shared" ref="AC219:AC233" si="141">H219*$J219*(1+$K219%)</f>
        <v>0</v>
      </c>
    </row>
    <row r="220" spans="1:29" ht="22.5">
      <c r="A220" s="689">
        <v>2</v>
      </c>
      <c r="B220" s="407" t="s">
        <v>438</v>
      </c>
      <c r="C220" s="689" t="s">
        <v>320</v>
      </c>
      <c r="D220" s="566">
        <f t="shared" ref="D220" si="142">D219*2</f>
        <v>0</v>
      </c>
      <c r="E220" s="566">
        <f>E219*2</f>
        <v>2</v>
      </c>
      <c r="F220" s="566">
        <f>F219*2</f>
        <v>0</v>
      </c>
      <c r="G220" s="566">
        <f>G219*2</f>
        <v>0</v>
      </c>
      <c r="H220" s="566">
        <f t="shared" ref="H220" si="143">H219*2</f>
        <v>0</v>
      </c>
      <c r="I220" s="567">
        <f t="shared" si="123"/>
        <v>87.6</v>
      </c>
      <c r="J220" s="567">
        <f>'附件4-8甲供材料清单'!K64</f>
        <v>60</v>
      </c>
      <c r="K220" s="567">
        <v>1</v>
      </c>
      <c r="L220" s="567">
        <v>27</v>
      </c>
      <c r="M220" s="402">
        <f t="shared" si="115"/>
        <v>0</v>
      </c>
      <c r="N220" s="402">
        <f t="shared" si="116"/>
        <v>175.2</v>
      </c>
      <c r="O220" s="402">
        <f t="shared" si="117"/>
        <v>0</v>
      </c>
      <c r="P220" s="402">
        <f t="shared" si="118"/>
        <v>0</v>
      </c>
      <c r="Q220" s="402">
        <f t="shared" si="119"/>
        <v>0</v>
      </c>
      <c r="R220" s="409" t="s">
        <v>244</v>
      </c>
      <c r="S220" s="455">
        <f t="shared" si="132"/>
        <v>0</v>
      </c>
      <c r="T220" s="403">
        <f t="shared" si="133"/>
        <v>175.2</v>
      </c>
      <c r="U220" s="403">
        <f t="shared" si="134"/>
        <v>0</v>
      </c>
      <c r="V220" s="403">
        <f t="shared" si="135"/>
        <v>0</v>
      </c>
      <c r="W220" s="403">
        <f t="shared" si="136"/>
        <v>0</v>
      </c>
      <c r="X220" s="323"/>
      <c r="Y220" s="403">
        <f t="shared" si="137"/>
        <v>0</v>
      </c>
      <c r="Z220" s="403">
        <f t="shared" si="138"/>
        <v>121.2</v>
      </c>
      <c r="AA220" s="403">
        <f t="shared" si="139"/>
        <v>0</v>
      </c>
      <c r="AB220" s="403">
        <f t="shared" si="140"/>
        <v>0</v>
      </c>
      <c r="AC220" s="403">
        <f t="shared" si="141"/>
        <v>0</v>
      </c>
    </row>
    <row r="221" spans="1:29" ht="56.25">
      <c r="A221" s="689">
        <v>3</v>
      </c>
      <c r="B221" s="407" t="s">
        <v>439</v>
      </c>
      <c r="C221" s="689" t="s">
        <v>436</v>
      </c>
      <c r="D221" s="566">
        <f>D7</f>
        <v>0</v>
      </c>
      <c r="E221" s="566">
        <f>E7</f>
        <v>0</v>
      </c>
      <c r="F221" s="566">
        <f>F7</f>
        <v>1</v>
      </c>
      <c r="G221" s="566">
        <f>G7</f>
        <v>0</v>
      </c>
      <c r="H221" s="566">
        <f>H7</f>
        <v>0</v>
      </c>
      <c r="I221" s="567">
        <f t="shared" si="123"/>
        <v>1594.4849999999999</v>
      </c>
      <c r="J221" s="567">
        <f>'附件4-8甲供材料清单'!K83</f>
        <v>1377</v>
      </c>
      <c r="K221" s="567">
        <v>0.5</v>
      </c>
      <c r="L221" s="567">
        <v>210.6</v>
      </c>
      <c r="M221" s="402">
        <f t="shared" si="115"/>
        <v>0</v>
      </c>
      <c r="N221" s="402">
        <f t="shared" si="116"/>
        <v>0</v>
      </c>
      <c r="O221" s="402">
        <f t="shared" si="117"/>
        <v>1594.4849999999999</v>
      </c>
      <c r="P221" s="402">
        <f t="shared" si="118"/>
        <v>0</v>
      </c>
      <c r="Q221" s="402">
        <f t="shared" si="119"/>
        <v>0</v>
      </c>
      <c r="R221" s="409" t="s">
        <v>440</v>
      </c>
      <c r="S221" s="455">
        <f t="shared" si="132"/>
        <v>0</v>
      </c>
      <c r="T221" s="403">
        <f t="shared" si="133"/>
        <v>0</v>
      </c>
      <c r="U221" s="403">
        <f t="shared" si="134"/>
        <v>1594.4849999999999</v>
      </c>
      <c r="V221" s="403">
        <f t="shared" si="135"/>
        <v>0</v>
      </c>
      <c r="W221" s="403">
        <f t="shared" si="136"/>
        <v>0</v>
      </c>
      <c r="X221" s="323"/>
      <c r="Y221" s="403">
        <f t="shared" si="137"/>
        <v>0</v>
      </c>
      <c r="Z221" s="403">
        <f t="shared" si="138"/>
        <v>0</v>
      </c>
      <c r="AA221" s="403">
        <f t="shared" si="139"/>
        <v>1383.8849999999998</v>
      </c>
      <c r="AB221" s="403">
        <f t="shared" si="140"/>
        <v>0</v>
      </c>
      <c r="AC221" s="403">
        <f t="shared" si="141"/>
        <v>0</v>
      </c>
    </row>
    <row r="222" spans="1:29" ht="22.5">
      <c r="A222" s="689">
        <v>4</v>
      </c>
      <c r="B222" s="407" t="s">
        <v>441</v>
      </c>
      <c r="C222" s="689" t="s">
        <v>320</v>
      </c>
      <c r="D222" s="566">
        <f t="shared" ref="D222" si="144">D221</f>
        <v>0</v>
      </c>
      <c r="E222" s="566">
        <f>E221</f>
        <v>0</v>
      </c>
      <c r="F222" s="566">
        <f>F221</f>
        <v>1</v>
      </c>
      <c r="G222" s="566">
        <f>G221</f>
        <v>0</v>
      </c>
      <c r="H222" s="566">
        <f t="shared" ref="H222" si="145">H221</f>
        <v>0</v>
      </c>
      <c r="I222" s="567">
        <f t="shared" si="123"/>
        <v>221.97000000000003</v>
      </c>
      <c r="J222" s="567">
        <f>'附件4-8甲供材料清单'!K62+'附件4-8甲供材料清单'!K66+'附件4-8甲供材料清单'!K67*3</f>
        <v>177</v>
      </c>
      <c r="K222" s="567">
        <v>1</v>
      </c>
      <c r="L222" s="567">
        <v>43.2</v>
      </c>
      <c r="M222" s="402">
        <f t="shared" si="115"/>
        <v>0</v>
      </c>
      <c r="N222" s="402">
        <f t="shared" si="116"/>
        <v>0</v>
      </c>
      <c r="O222" s="402">
        <f t="shared" si="117"/>
        <v>221.97000000000003</v>
      </c>
      <c r="P222" s="402">
        <f t="shared" si="118"/>
        <v>0</v>
      </c>
      <c r="Q222" s="402">
        <f t="shared" si="119"/>
        <v>0</v>
      </c>
      <c r="R222" s="409" t="s">
        <v>244</v>
      </c>
      <c r="S222" s="455">
        <f t="shared" si="132"/>
        <v>0</v>
      </c>
      <c r="T222" s="403">
        <f t="shared" si="133"/>
        <v>0</v>
      </c>
      <c r="U222" s="403">
        <f t="shared" si="134"/>
        <v>221.97000000000003</v>
      </c>
      <c r="V222" s="403">
        <f t="shared" si="135"/>
        <v>0</v>
      </c>
      <c r="W222" s="403">
        <f t="shared" si="136"/>
        <v>0</v>
      </c>
      <c r="X222" s="323"/>
      <c r="Y222" s="403">
        <f t="shared" si="137"/>
        <v>0</v>
      </c>
      <c r="Z222" s="403">
        <f t="shared" si="138"/>
        <v>0</v>
      </c>
      <c r="AA222" s="403">
        <f t="shared" si="139"/>
        <v>178.77</v>
      </c>
      <c r="AB222" s="403">
        <f t="shared" si="140"/>
        <v>0</v>
      </c>
      <c r="AC222" s="403">
        <f t="shared" si="141"/>
        <v>0</v>
      </c>
    </row>
    <row r="223" spans="1:29" ht="56.25">
      <c r="A223" s="689">
        <v>5</v>
      </c>
      <c r="B223" s="407" t="s">
        <v>442</v>
      </c>
      <c r="C223" s="689" t="s">
        <v>436</v>
      </c>
      <c r="D223" s="566">
        <f>D4+D5</f>
        <v>2</v>
      </c>
      <c r="E223" s="566">
        <f>E4+E5</f>
        <v>2</v>
      </c>
      <c r="F223" s="566">
        <f>F4+F5</f>
        <v>2</v>
      </c>
      <c r="G223" s="566">
        <f>G4+G5</f>
        <v>1</v>
      </c>
      <c r="H223" s="566">
        <f>H4+H5</f>
        <v>2</v>
      </c>
      <c r="I223" s="567">
        <f t="shared" si="123"/>
        <v>1538.2049999999999</v>
      </c>
      <c r="J223" s="567">
        <f>'附件4-8甲供材料清单'!K84</f>
        <v>1321</v>
      </c>
      <c r="K223" s="567">
        <v>0.5</v>
      </c>
      <c r="L223" s="567">
        <v>210.6</v>
      </c>
      <c r="M223" s="402">
        <f t="shared" si="115"/>
        <v>3076.41</v>
      </c>
      <c r="N223" s="402">
        <f t="shared" si="116"/>
        <v>3076.41</v>
      </c>
      <c r="O223" s="402">
        <f t="shared" si="117"/>
        <v>3076.41</v>
      </c>
      <c r="P223" s="402">
        <f t="shared" si="118"/>
        <v>1538.2049999999999</v>
      </c>
      <c r="Q223" s="402">
        <f t="shared" si="119"/>
        <v>3076.41</v>
      </c>
      <c r="R223" s="409" t="s">
        <v>440</v>
      </c>
      <c r="S223" s="455">
        <f t="shared" si="132"/>
        <v>3076.41</v>
      </c>
      <c r="T223" s="403">
        <f t="shared" si="133"/>
        <v>3076.41</v>
      </c>
      <c r="U223" s="403">
        <f t="shared" si="134"/>
        <v>3076.41</v>
      </c>
      <c r="V223" s="403">
        <f t="shared" si="135"/>
        <v>1538.2049999999999</v>
      </c>
      <c r="W223" s="403">
        <f t="shared" si="136"/>
        <v>3076.41</v>
      </c>
      <c r="X223" s="323"/>
      <c r="Y223" s="403">
        <f t="shared" si="137"/>
        <v>2655.2099999999996</v>
      </c>
      <c r="Z223" s="403">
        <f t="shared" si="138"/>
        <v>2655.2099999999996</v>
      </c>
      <c r="AA223" s="403">
        <f t="shared" si="139"/>
        <v>2655.2099999999996</v>
      </c>
      <c r="AB223" s="403">
        <f t="shared" si="140"/>
        <v>1327.6049999999998</v>
      </c>
      <c r="AC223" s="403">
        <f t="shared" si="141"/>
        <v>2655.2099999999996</v>
      </c>
    </row>
    <row r="224" spans="1:29" ht="22.5">
      <c r="A224" s="689">
        <v>6</v>
      </c>
      <c r="B224" s="407" t="s">
        <v>443</v>
      </c>
      <c r="C224" s="689" t="s">
        <v>320</v>
      </c>
      <c r="D224" s="566">
        <f t="shared" ref="D224" si="146">D223</f>
        <v>2</v>
      </c>
      <c r="E224" s="566">
        <f>E223</f>
        <v>2</v>
      </c>
      <c r="F224" s="566">
        <f>F223</f>
        <v>2</v>
      </c>
      <c r="G224" s="566">
        <f>G223</f>
        <v>1</v>
      </c>
      <c r="H224" s="566">
        <f t="shared" ref="H224" si="147">H223</f>
        <v>2</v>
      </c>
      <c r="I224" s="567">
        <f t="shared" si="123"/>
        <v>221.97000000000003</v>
      </c>
      <c r="J224" s="567">
        <f>'附件4-8甲供材料清单'!K62+'附件4-8甲供材料清单'!K66+'附件4-8甲供材料清单'!K67*3</f>
        <v>177</v>
      </c>
      <c r="K224" s="567">
        <v>1</v>
      </c>
      <c r="L224" s="567">
        <v>43.2</v>
      </c>
      <c r="M224" s="402">
        <f t="shared" si="115"/>
        <v>443.94000000000005</v>
      </c>
      <c r="N224" s="402">
        <f t="shared" si="116"/>
        <v>443.94000000000005</v>
      </c>
      <c r="O224" s="402">
        <f t="shared" si="117"/>
        <v>443.94000000000005</v>
      </c>
      <c r="P224" s="402">
        <f t="shared" si="118"/>
        <v>221.97000000000003</v>
      </c>
      <c r="Q224" s="402">
        <f t="shared" si="119"/>
        <v>443.94000000000005</v>
      </c>
      <c r="R224" s="409" t="s">
        <v>244</v>
      </c>
      <c r="S224" s="455">
        <f t="shared" si="132"/>
        <v>443.94000000000005</v>
      </c>
      <c r="T224" s="403">
        <f t="shared" si="133"/>
        <v>443.94000000000005</v>
      </c>
      <c r="U224" s="403">
        <f t="shared" si="134"/>
        <v>443.94000000000005</v>
      </c>
      <c r="V224" s="403">
        <f t="shared" si="135"/>
        <v>221.97000000000003</v>
      </c>
      <c r="W224" s="403">
        <f t="shared" si="136"/>
        <v>443.94000000000005</v>
      </c>
      <c r="X224" s="323"/>
      <c r="Y224" s="403">
        <f t="shared" si="137"/>
        <v>357.54</v>
      </c>
      <c r="Z224" s="403">
        <f t="shared" si="138"/>
        <v>357.54</v>
      </c>
      <c r="AA224" s="403">
        <f t="shared" si="139"/>
        <v>357.54</v>
      </c>
      <c r="AB224" s="403">
        <f t="shared" si="140"/>
        <v>178.77</v>
      </c>
      <c r="AC224" s="403">
        <f t="shared" si="141"/>
        <v>357.54</v>
      </c>
    </row>
    <row r="225" spans="1:29" ht="67.5">
      <c r="A225" s="689">
        <v>7</v>
      </c>
      <c r="B225" s="407" t="s">
        <v>444</v>
      </c>
      <c r="C225" s="689" t="s">
        <v>436</v>
      </c>
      <c r="D225" s="566">
        <f>D2</f>
        <v>2</v>
      </c>
      <c r="E225" s="566">
        <f>E2</f>
        <v>3</v>
      </c>
      <c r="F225" s="566">
        <f>F2</f>
        <v>3</v>
      </c>
      <c r="G225" s="566">
        <f>G2</f>
        <v>1</v>
      </c>
      <c r="H225" s="566">
        <f>H2</f>
        <v>2</v>
      </c>
      <c r="I225" s="567">
        <f t="shared" si="123"/>
        <v>1631.6699999999998</v>
      </c>
      <c r="J225" s="567">
        <f>'附件4-8甲供材料清单'!K85</f>
        <v>1414</v>
      </c>
      <c r="K225" s="567">
        <v>0.5</v>
      </c>
      <c r="L225" s="567">
        <v>210.6</v>
      </c>
      <c r="M225" s="402">
        <f t="shared" ref="M225:M256" si="148">D225*$I225</f>
        <v>3263.3399999999997</v>
      </c>
      <c r="N225" s="402">
        <f t="shared" ref="N225:N256" si="149">E225*$I225</f>
        <v>4895.0099999999993</v>
      </c>
      <c r="O225" s="402">
        <f t="shared" ref="O225:O256" si="150">F225*$I225</f>
        <v>4895.0099999999993</v>
      </c>
      <c r="P225" s="402">
        <f t="shared" ref="P225:P256" si="151">G225*$I225</f>
        <v>1631.6699999999998</v>
      </c>
      <c r="Q225" s="402">
        <f t="shared" ref="Q225:Q256" si="152">H225*$I225</f>
        <v>3263.3399999999997</v>
      </c>
      <c r="R225" s="409" t="s">
        <v>437</v>
      </c>
      <c r="S225" s="455">
        <f t="shared" si="132"/>
        <v>3263.3399999999997</v>
      </c>
      <c r="T225" s="403">
        <f t="shared" si="133"/>
        <v>4895.0099999999993</v>
      </c>
      <c r="U225" s="403">
        <f t="shared" si="134"/>
        <v>4895.0099999999993</v>
      </c>
      <c r="V225" s="403">
        <f t="shared" si="135"/>
        <v>1631.6699999999998</v>
      </c>
      <c r="W225" s="403">
        <f t="shared" si="136"/>
        <v>3263.3399999999997</v>
      </c>
      <c r="X225" s="323"/>
      <c r="Y225" s="403">
        <f t="shared" si="137"/>
        <v>2842.14</v>
      </c>
      <c r="Z225" s="403">
        <f t="shared" si="138"/>
        <v>4263.2099999999991</v>
      </c>
      <c r="AA225" s="403">
        <f t="shared" si="139"/>
        <v>4263.2099999999991</v>
      </c>
      <c r="AB225" s="403">
        <f t="shared" si="140"/>
        <v>1421.07</v>
      </c>
      <c r="AC225" s="403">
        <f t="shared" si="141"/>
        <v>2842.14</v>
      </c>
    </row>
    <row r="226" spans="1:29" ht="22.5">
      <c r="A226" s="689">
        <v>9</v>
      </c>
      <c r="B226" s="407" t="s">
        <v>445</v>
      </c>
      <c r="C226" s="689" t="s">
        <v>320</v>
      </c>
      <c r="D226" s="566">
        <f>D2</f>
        <v>2</v>
      </c>
      <c r="E226" s="566">
        <f>E2</f>
        <v>3</v>
      </c>
      <c r="F226" s="566">
        <f>F2</f>
        <v>3</v>
      </c>
      <c r="G226" s="566">
        <f>G2</f>
        <v>1</v>
      </c>
      <c r="H226" s="566">
        <f>H2</f>
        <v>2</v>
      </c>
      <c r="I226" s="567">
        <f t="shared" si="123"/>
        <v>223.99</v>
      </c>
      <c r="J226" s="567">
        <f>'附件4-8甲供材料清单'!K58+'附件4-8甲供材料清单'!K66+'附件4-8甲供材料清单'!K67*3</f>
        <v>179</v>
      </c>
      <c r="K226" s="567">
        <v>1</v>
      </c>
      <c r="L226" s="567">
        <v>43.2</v>
      </c>
      <c r="M226" s="402">
        <f t="shared" si="148"/>
        <v>447.98</v>
      </c>
      <c r="N226" s="402">
        <f t="shared" si="149"/>
        <v>671.97</v>
      </c>
      <c r="O226" s="402">
        <f t="shared" si="150"/>
        <v>671.97</v>
      </c>
      <c r="P226" s="402">
        <f t="shared" si="151"/>
        <v>223.99</v>
      </c>
      <c r="Q226" s="402">
        <f t="shared" si="152"/>
        <v>447.98</v>
      </c>
      <c r="R226" s="409" t="s">
        <v>244</v>
      </c>
      <c r="S226" s="455">
        <f t="shared" si="132"/>
        <v>447.98</v>
      </c>
      <c r="T226" s="403">
        <f t="shared" si="133"/>
        <v>671.97</v>
      </c>
      <c r="U226" s="403">
        <f t="shared" si="134"/>
        <v>671.97</v>
      </c>
      <c r="V226" s="403">
        <f t="shared" si="135"/>
        <v>223.99</v>
      </c>
      <c r="W226" s="403">
        <f t="shared" si="136"/>
        <v>447.98</v>
      </c>
      <c r="X226" s="323"/>
      <c r="Y226" s="403">
        <f t="shared" si="137"/>
        <v>361.58</v>
      </c>
      <c r="Z226" s="403">
        <f t="shared" si="138"/>
        <v>542.37</v>
      </c>
      <c r="AA226" s="403">
        <f t="shared" si="139"/>
        <v>542.37</v>
      </c>
      <c r="AB226" s="403">
        <f t="shared" si="140"/>
        <v>180.79</v>
      </c>
      <c r="AC226" s="403">
        <f t="shared" si="141"/>
        <v>361.58</v>
      </c>
    </row>
    <row r="227" spans="1:29" ht="67.5">
      <c r="A227" s="689">
        <v>8</v>
      </c>
      <c r="B227" s="407" t="s">
        <v>446</v>
      </c>
      <c r="C227" s="689" t="s">
        <v>436</v>
      </c>
      <c r="D227" s="566"/>
      <c r="E227" s="566"/>
      <c r="F227" s="566"/>
      <c r="G227" s="566"/>
      <c r="H227" s="566"/>
      <c r="I227" s="567">
        <f t="shared" si="123"/>
        <v>2329.19</v>
      </c>
      <c r="J227" s="567">
        <f>'附件4-8甲供材料清单'!K86</f>
        <v>1972</v>
      </c>
      <c r="K227" s="567">
        <v>0.5</v>
      </c>
      <c r="L227" s="567">
        <v>347.33</v>
      </c>
      <c r="M227" s="402">
        <f t="shared" si="148"/>
        <v>0</v>
      </c>
      <c r="N227" s="402">
        <f t="shared" si="149"/>
        <v>0</v>
      </c>
      <c r="O227" s="402">
        <f t="shared" si="150"/>
        <v>0</v>
      </c>
      <c r="P227" s="402">
        <f t="shared" si="151"/>
        <v>0</v>
      </c>
      <c r="Q227" s="402">
        <f t="shared" si="152"/>
        <v>0</v>
      </c>
      <c r="R227" s="409" t="s">
        <v>437</v>
      </c>
      <c r="S227" s="455">
        <f t="shared" si="132"/>
        <v>0</v>
      </c>
      <c r="T227" s="403">
        <f t="shared" si="133"/>
        <v>0</v>
      </c>
      <c r="U227" s="403">
        <f t="shared" si="134"/>
        <v>0</v>
      </c>
      <c r="V227" s="403">
        <f t="shared" si="135"/>
        <v>0</v>
      </c>
      <c r="W227" s="403">
        <f t="shared" si="136"/>
        <v>0</v>
      </c>
      <c r="X227" s="323"/>
      <c r="Y227" s="403">
        <f t="shared" si="137"/>
        <v>0</v>
      </c>
      <c r="Z227" s="403">
        <f t="shared" si="138"/>
        <v>0</v>
      </c>
      <c r="AA227" s="403">
        <f t="shared" si="139"/>
        <v>0</v>
      </c>
      <c r="AB227" s="403">
        <f t="shared" si="140"/>
        <v>0</v>
      </c>
      <c r="AC227" s="403">
        <f t="shared" si="141"/>
        <v>0</v>
      </c>
    </row>
    <row r="228" spans="1:29" ht="22.5">
      <c r="A228" s="689">
        <v>10</v>
      </c>
      <c r="B228" s="407" t="s">
        <v>447</v>
      </c>
      <c r="C228" s="689" t="s">
        <v>320</v>
      </c>
      <c r="D228" s="566"/>
      <c r="E228" s="566"/>
      <c r="F228" s="566"/>
      <c r="G228" s="566"/>
      <c r="H228" s="566"/>
      <c r="I228" s="567">
        <f t="shared" si="123"/>
        <v>445.96000000000004</v>
      </c>
      <c r="J228" s="567">
        <f>'附件4-8甲供材料清单'!K58+'附件4-8甲供材料清单'!K61+'附件4-8甲供材料清单'!K66+'附件4-8甲供材料清单'!K67*6+'附件4-8甲供材料清单'!K65*2</f>
        <v>356</v>
      </c>
      <c r="K228" s="567">
        <v>1</v>
      </c>
      <c r="L228" s="567">
        <v>86.4</v>
      </c>
      <c r="M228" s="402">
        <f t="shared" si="148"/>
        <v>0</v>
      </c>
      <c r="N228" s="402">
        <f t="shared" si="149"/>
        <v>0</v>
      </c>
      <c r="O228" s="402">
        <f t="shared" si="150"/>
        <v>0</v>
      </c>
      <c r="P228" s="402">
        <f t="shared" si="151"/>
        <v>0</v>
      </c>
      <c r="Q228" s="402">
        <f t="shared" si="152"/>
        <v>0</v>
      </c>
      <c r="R228" s="409" t="s">
        <v>244</v>
      </c>
      <c r="S228" s="455">
        <f t="shared" si="132"/>
        <v>0</v>
      </c>
      <c r="T228" s="403">
        <f t="shared" si="133"/>
        <v>0</v>
      </c>
      <c r="U228" s="403">
        <f t="shared" si="134"/>
        <v>0</v>
      </c>
      <c r="V228" s="403">
        <f t="shared" si="135"/>
        <v>0</v>
      </c>
      <c r="W228" s="403">
        <f t="shared" si="136"/>
        <v>0</v>
      </c>
      <c r="X228" s="323"/>
      <c r="Y228" s="403">
        <f t="shared" si="137"/>
        <v>0</v>
      </c>
      <c r="Z228" s="403">
        <f t="shared" si="138"/>
        <v>0</v>
      </c>
      <c r="AA228" s="403">
        <f t="shared" si="139"/>
        <v>0</v>
      </c>
      <c r="AB228" s="403">
        <f t="shared" si="140"/>
        <v>0</v>
      </c>
      <c r="AC228" s="403">
        <f t="shared" si="141"/>
        <v>0</v>
      </c>
    </row>
    <row r="229" spans="1:29" ht="56.25">
      <c r="A229" s="689">
        <v>11</v>
      </c>
      <c r="B229" s="407" t="s">
        <v>448</v>
      </c>
      <c r="C229" s="689" t="s">
        <v>436</v>
      </c>
      <c r="D229" s="566"/>
      <c r="E229" s="566"/>
      <c r="F229" s="566"/>
      <c r="G229" s="566"/>
      <c r="H229" s="566"/>
      <c r="I229" s="567">
        <f t="shared" si="123"/>
        <v>1551.27</v>
      </c>
      <c r="J229" s="567">
        <f>'附件4-8甲供材料清单'!K87</f>
        <v>1334</v>
      </c>
      <c r="K229" s="567">
        <v>0.5</v>
      </c>
      <c r="L229" s="567">
        <v>210.6</v>
      </c>
      <c r="M229" s="402">
        <f t="shared" si="148"/>
        <v>0</v>
      </c>
      <c r="N229" s="402">
        <f t="shared" si="149"/>
        <v>0</v>
      </c>
      <c r="O229" s="402">
        <f t="shared" si="150"/>
        <v>0</v>
      </c>
      <c r="P229" s="402">
        <f t="shared" si="151"/>
        <v>0</v>
      </c>
      <c r="Q229" s="402">
        <f t="shared" si="152"/>
        <v>0</v>
      </c>
      <c r="R229" s="409" t="s">
        <v>440</v>
      </c>
      <c r="S229" s="455">
        <f t="shared" si="132"/>
        <v>0</v>
      </c>
      <c r="T229" s="403">
        <f t="shared" si="133"/>
        <v>0</v>
      </c>
      <c r="U229" s="403">
        <f t="shared" si="134"/>
        <v>0</v>
      </c>
      <c r="V229" s="403">
        <f t="shared" si="135"/>
        <v>0</v>
      </c>
      <c r="W229" s="403">
        <f t="shared" si="136"/>
        <v>0</v>
      </c>
      <c r="X229" s="323"/>
      <c r="Y229" s="403">
        <f t="shared" si="137"/>
        <v>0</v>
      </c>
      <c r="Z229" s="403">
        <f t="shared" si="138"/>
        <v>0</v>
      </c>
      <c r="AA229" s="403">
        <f t="shared" si="139"/>
        <v>0</v>
      </c>
      <c r="AB229" s="403">
        <f t="shared" si="140"/>
        <v>0</v>
      </c>
      <c r="AC229" s="403">
        <f t="shared" si="141"/>
        <v>0</v>
      </c>
    </row>
    <row r="230" spans="1:29" ht="22.5">
      <c r="A230" s="689">
        <v>12</v>
      </c>
      <c r="B230" s="407" t="s">
        <v>449</v>
      </c>
      <c r="C230" s="689" t="s">
        <v>320</v>
      </c>
      <c r="D230" s="566"/>
      <c r="E230" s="566"/>
      <c r="F230" s="566"/>
      <c r="G230" s="566"/>
      <c r="H230" s="566"/>
      <c r="I230" s="567">
        <f t="shared" si="123"/>
        <v>221.97000000000003</v>
      </c>
      <c r="J230" s="567">
        <f>'附件4-8甲供材料清单'!K62+'附件4-8甲供材料清单'!K66+'附件4-8甲供材料清单'!K67*3</f>
        <v>177</v>
      </c>
      <c r="K230" s="567">
        <v>1</v>
      </c>
      <c r="L230" s="567">
        <v>43.2</v>
      </c>
      <c r="M230" s="402">
        <f t="shared" si="148"/>
        <v>0</v>
      </c>
      <c r="N230" s="402">
        <f t="shared" si="149"/>
        <v>0</v>
      </c>
      <c r="O230" s="402">
        <f t="shared" si="150"/>
        <v>0</v>
      </c>
      <c r="P230" s="402">
        <f t="shared" si="151"/>
        <v>0</v>
      </c>
      <c r="Q230" s="402">
        <f t="shared" si="152"/>
        <v>0</v>
      </c>
      <c r="R230" s="409" t="s">
        <v>244</v>
      </c>
      <c r="S230" s="455">
        <f t="shared" si="132"/>
        <v>0</v>
      </c>
      <c r="T230" s="403">
        <f t="shared" si="133"/>
        <v>0</v>
      </c>
      <c r="U230" s="403">
        <f t="shared" si="134"/>
        <v>0</v>
      </c>
      <c r="V230" s="403">
        <f t="shared" si="135"/>
        <v>0</v>
      </c>
      <c r="W230" s="403">
        <f t="shared" si="136"/>
        <v>0</v>
      </c>
      <c r="X230" s="323"/>
      <c r="Y230" s="403">
        <f t="shared" si="137"/>
        <v>0</v>
      </c>
      <c r="Z230" s="403">
        <f t="shared" si="138"/>
        <v>0</v>
      </c>
      <c r="AA230" s="403">
        <f t="shared" si="139"/>
        <v>0</v>
      </c>
      <c r="AB230" s="403">
        <f t="shared" si="140"/>
        <v>0</v>
      </c>
      <c r="AC230" s="403">
        <f t="shared" si="141"/>
        <v>0</v>
      </c>
    </row>
    <row r="231" spans="1:29" ht="45">
      <c r="A231" s="689">
        <v>13</v>
      </c>
      <c r="B231" s="407" t="s">
        <v>450</v>
      </c>
      <c r="C231" s="689" t="s">
        <v>320</v>
      </c>
      <c r="D231" s="566"/>
      <c r="E231" s="566"/>
      <c r="F231" s="566"/>
      <c r="G231" s="566"/>
      <c r="H231" s="566"/>
      <c r="I231" s="567">
        <f t="shared" si="123"/>
        <v>667.78499999999997</v>
      </c>
      <c r="J231" s="567">
        <f>'附件4-8甲供材料清单'!K89</f>
        <v>557</v>
      </c>
      <c r="K231" s="567">
        <v>0.5</v>
      </c>
      <c r="L231" s="567">
        <v>108</v>
      </c>
      <c r="M231" s="402">
        <f t="shared" si="148"/>
        <v>0</v>
      </c>
      <c r="N231" s="402">
        <f t="shared" si="149"/>
        <v>0</v>
      </c>
      <c r="O231" s="402">
        <f t="shared" si="150"/>
        <v>0</v>
      </c>
      <c r="P231" s="402">
        <f t="shared" si="151"/>
        <v>0</v>
      </c>
      <c r="Q231" s="402">
        <f t="shared" si="152"/>
        <v>0</v>
      </c>
      <c r="R231" s="409" t="s">
        <v>451</v>
      </c>
      <c r="S231" s="455">
        <f t="shared" si="132"/>
        <v>0</v>
      </c>
      <c r="T231" s="403">
        <f t="shared" si="133"/>
        <v>0</v>
      </c>
      <c r="U231" s="403">
        <f t="shared" si="134"/>
        <v>0</v>
      </c>
      <c r="V231" s="403">
        <f t="shared" si="135"/>
        <v>0</v>
      </c>
      <c r="W231" s="403">
        <f t="shared" si="136"/>
        <v>0</v>
      </c>
      <c r="X231" s="323"/>
      <c r="Y231" s="403">
        <f t="shared" si="137"/>
        <v>0</v>
      </c>
      <c r="Z231" s="403">
        <f t="shared" si="138"/>
        <v>0</v>
      </c>
      <c r="AA231" s="403">
        <f t="shared" si="139"/>
        <v>0</v>
      </c>
      <c r="AB231" s="403">
        <f t="shared" si="140"/>
        <v>0</v>
      </c>
      <c r="AC231" s="403">
        <f t="shared" si="141"/>
        <v>0</v>
      </c>
    </row>
    <row r="232" spans="1:29" ht="56.25">
      <c r="A232" s="689">
        <v>14</v>
      </c>
      <c r="B232" s="407" t="s">
        <v>452</v>
      </c>
      <c r="C232" s="689" t="s">
        <v>436</v>
      </c>
      <c r="D232" s="566"/>
      <c r="E232" s="566"/>
      <c r="F232" s="566"/>
      <c r="G232" s="566"/>
      <c r="H232" s="566"/>
      <c r="I232" s="567">
        <f t="shared" si="123"/>
        <v>1798.5</v>
      </c>
      <c r="J232" s="567">
        <f>'附件4-8甲供材料清单'!K88</f>
        <v>1580</v>
      </c>
      <c r="K232" s="567">
        <v>0.5</v>
      </c>
      <c r="L232" s="567">
        <v>210.6</v>
      </c>
      <c r="M232" s="402">
        <f t="shared" si="148"/>
        <v>0</v>
      </c>
      <c r="N232" s="402">
        <f t="shared" si="149"/>
        <v>0</v>
      </c>
      <c r="O232" s="402">
        <f t="shared" si="150"/>
        <v>0</v>
      </c>
      <c r="P232" s="402">
        <f t="shared" si="151"/>
        <v>0</v>
      </c>
      <c r="Q232" s="402">
        <f t="shared" si="152"/>
        <v>0</v>
      </c>
      <c r="R232" s="409" t="s">
        <v>440</v>
      </c>
      <c r="S232" s="455">
        <f t="shared" si="132"/>
        <v>0</v>
      </c>
      <c r="T232" s="403">
        <f t="shared" si="133"/>
        <v>0</v>
      </c>
      <c r="U232" s="403">
        <f t="shared" si="134"/>
        <v>0</v>
      </c>
      <c r="V232" s="403">
        <f t="shared" si="135"/>
        <v>0</v>
      </c>
      <c r="W232" s="403">
        <f t="shared" si="136"/>
        <v>0</v>
      </c>
      <c r="X232" s="323"/>
      <c r="Y232" s="403">
        <f t="shared" si="137"/>
        <v>0</v>
      </c>
      <c r="Z232" s="403">
        <f t="shared" si="138"/>
        <v>0</v>
      </c>
      <c r="AA232" s="403">
        <f t="shared" si="139"/>
        <v>0</v>
      </c>
      <c r="AB232" s="403">
        <f t="shared" si="140"/>
        <v>0</v>
      </c>
      <c r="AC232" s="403">
        <f t="shared" si="141"/>
        <v>0</v>
      </c>
    </row>
    <row r="233" spans="1:29" ht="22.5">
      <c r="A233" s="689">
        <v>15</v>
      </c>
      <c r="B233" s="407" t="s">
        <v>453</v>
      </c>
      <c r="C233" s="689" t="s">
        <v>320</v>
      </c>
      <c r="D233" s="566"/>
      <c r="E233" s="566"/>
      <c r="F233" s="566"/>
      <c r="G233" s="566"/>
      <c r="H233" s="566"/>
      <c r="I233" s="567">
        <f t="shared" si="123"/>
        <v>223.99</v>
      </c>
      <c r="J233" s="567">
        <f>J226</f>
        <v>179</v>
      </c>
      <c r="K233" s="567">
        <v>1</v>
      </c>
      <c r="L233" s="567">
        <v>43.2</v>
      </c>
      <c r="M233" s="402">
        <f t="shared" si="148"/>
        <v>0</v>
      </c>
      <c r="N233" s="402">
        <f t="shared" si="149"/>
        <v>0</v>
      </c>
      <c r="O233" s="402">
        <f t="shared" si="150"/>
        <v>0</v>
      </c>
      <c r="P233" s="402">
        <f t="shared" si="151"/>
        <v>0</v>
      </c>
      <c r="Q233" s="402">
        <f t="shared" si="152"/>
        <v>0</v>
      </c>
      <c r="R233" s="409" t="s">
        <v>244</v>
      </c>
      <c r="S233" s="455">
        <f t="shared" si="132"/>
        <v>0</v>
      </c>
      <c r="T233" s="403">
        <f t="shared" si="133"/>
        <v>0</v>
      </c>
      <c r="U233" s="403">
        <f t="shared" si="134"/>
        <v>0</v>
      </c>
      <c r="V233" s="403">
        <f t="shared" si="135"/>
        <v>0</v>
      </c>
      <c r="W233" s="403">
        <f t="shared" si="136"/>
        <v>0</v>
      </c>
      <c r="X233" s="323"/>
      <c r="Y233" s="403">
        <f t="shared" si="137"/>
        <v>0</v>
      </c>
      <c r="Z233" s="403">
        <f t="shared" si="138"/>
        <v>0</v>
      </c>
      <c r="AA233" s="403">
        <f t="shared" si="139"/>
        <v>0</v>
      </c>
      <c r="AB233" s="403">
        <f t="shared" si="140"/>
        <v>0</v>
      </c>
      <c r="AC233" s="403">
        <f t="shared" si="141"/>
        <v>0</v>
      </c>
    </row>
    <row r="234" spans="1:29">
      <c r="A234" s="635" t="s">
        <v>454</v>
      </c>
      <c r="B234" s="636" t="s">
        <v>455</v>
      </c>
      <c r="C234" s="637"/>
      <c r="D234" s="714"/>
      <c r="E234" s="714"/>
      <c r="F234" s="714"/>
      <c r="G234" s="714"/>
      <c r="H234" s="714"/>
      <c r="I234" s="713"/>
      <c r="J234" s="713"/>
      <c r="K234" s="713"/>
      <c r="L234" s="713"/>
      <c r="M234" s="639"/>
      <c r="N234" s="639"/>
      <c r="O234" s="639"/>
      <c r="P234" s="639"/>
      <c r="Q234" s="639"/>
      <c r="R234" s="640" t="s">
        <v>1864</v>
      </c>
      <c r="S234" s="455"/>
      <c r="T234" s="403"/>
      <c r="U234" s="403"/>
      <c r="V234" s="403"/>
      <c r="W234" s="403"/>
      <c r="X234" s="323"/>
      <c r="Y234" s="423"/>
      <c r="Z234" s="423"/>
      <c r="AA234" s="423"/>
      <c r="AB234" s="423"/>
      <c r="AC234" s="423"/>
    </row>
    <row r="235" spans="1:29" ht="22.5">
      <c r="A235" s="689">
        <v>1</v>
      </c>
      <c r="B235" s="407" t="s">
        <v>456</v>
      </c>
      <c r="C235" s="689" t="s">
        <v>320</v>
      </c>
      <c r="D235" s="566">
        <v>4</v>
      </c>
      <c r="E235" s="566">
        <v>6</v>
      </c>
      <c r="F235" s="566">
        <v>6</v>
      </c>
      <c r="G235" s="566">
        <v>2</v>
      </c>
      <c r="H235" s="566">
        <v>4</v>
      </c>
      <c r="I235" s="567">
        <f t="shared" ref="I235:I264" si="153">J235+J235*K235%+L235</f>
        <v>12.4772</v>
      </c>
      <c r="J235" s="567">
        <f>'附件4-8甲供材料清单'!K93</f>
        <v>5.72</v>
      </c>
      <c r="K235" s="567">
        <v>1</v>
      </c>
      <c r="L235" s="567">
        <v>6.7</v>
      </c>
      <c r="M235" s="402">
        <f t="shared" si="148"/>
        <v>49.908799999999999</v>
      </c>
      <c r="N235" s="402">
        <f t="shared" si="149"/>
        <v>74.863200000000006</v>
      </c>
      <c r="O235" s="402">
        <f t="shared" si="150"/>
        <v>74.863200000000006</v>
      </c>
      <c r="P235" s="402">
        <f t="shared" si="151"/>
        <v>24.9544</v>
      </c>
      <c r="Q235" s="402">
        <f t="shared" si="152"/>
        <v>49.908799999999999</v>
      </c>
      <c r="R235" s="409" t="s">
        <v>244</v>
      </c>
      <c r="S235" s="455">
        <f t="shared" ref="S235:S250" si="154">M235</f>
        <v>49.908799999999999</v>
      </c>
      <c r="T235" s="403">
        <f t="shared" ref="T235:T250" si="155">N235</f>
        <v>74.863200000000006</v>
      </c>
      <c r="U235" s="403">
        <f t="shared" ref="U235:U250" si="156">O235</f>
        <v>74.863200000000006</v>
      </c>
      <c r="V235" s="403">
        <f t="shared" ref="V235:V250" si="157">P235</f>
        <v>24.9544</v>
      </c>
      <c r="W235" s="403">
        <f t="shared" ref="W235:W250" si="158">Q235</f>
        <v>49.908799999999999</v>
      </c>
      <c r="X235" s="323"/>
      <c r="Y235" s="403">
        <f t="shared" ref="Y235:Y250" si="159">D235*$J235*(1+$K235%)</f>
        <v>23.108799999999999</v>
      </c>
      <c r="Z235" s="403">
        <f t="shared" ref="Z235:Z250" si="160">E235*$J235*(1+$K235%)</f>
        <v>34.663200000000003</v>
      </c>
      <c r="AA235" s="403">
        <f t="shared" ref="AA235:AA250" si="161">F235*$J235*(1+$K235%)</f>
        <v>34.663200000000003</v>
      </c>
      <c r="AB235" s="403">
        <f t="shared" ref="AB235:AB250" si="162">G235*$J235*(1+$K235%)</f>
        <v>11.554399999999999</v>
      </c>
      <c r="AC235" s="403">
        <f t="shared" ref="AC235:AC250" si="163">H235*$J235*(1+$K235%)</f>
        <v>23.108799999999999</v>
      </c>
    </row>
    <row r="236" spans="1:29" ht="22.5">
      <c r="A236" s="689">
        <v>2</v>
      </c>
      <c r="B236" s="407" t="s">
        <v>458</v>
      </c>
      <c r="C236" s="689" t="s">
        <v>320</v>
      </c>
      <c r="D236" s="566">
        <v>0</v>
      </c>
      <c r="E236" s="566">
        <v>0</v>
      </c>
      <c r="F236" s="566">
        <v>0</v>
      </c>
      <c r="G236" s="566">
        <v>2</v>
      </c>
      <c r="H236" s="566">
        <v>0</v>
      </c>
      <c r="I236" s="567">
        <f t="shared" si="153"/>
        <v>14.1134</v>
      </c>
      <c r="J236" s="567">
        <f>'附件4-8甲供材料清单'!K97</f>
        <v>7.34</v>
      </c>
      <c r="K236" s="567">
        <v>1</v>
      </c>
      <c r="L236" s="567">
        <v>6.7</v>
      </c>
      <c r="M236" s="402">
        <f t="shared" si="148"/>
        <v>0</v>
      </c>
      <c r="N236" s="402">
        <f t="shared" si="149"/>
        <v>0</v>
      </c>
      <c r="O236" s="402">
        <f t="shared" si="150"/>
        <v>0</v>
      </c>
      <c r="P236" s="402">
        <f t="shared" si="151"/>
        <v>28.226800000000001</v>
      </c>
      <c r="Q236" s="402">
        <f t="shared" si="152"/>
        <v>0</v>
      </c>
      <c r="R236" s="409" t="s">
        <v>244</v>
      </c>
      <c r="S236" s="455">
        <f t="shared" si="154"/>
        <v>0</v>
      </c>
      <c r="T236" s="403">
        <f t="shared" si="155"/>
        <v>0</v>
      </c>
      <c r="U236" s="403">
        <f t="shared" si="156"/>
        <v>0</v>
      </c>
      <c r="V236" s="403">
        <f t="shared" si="157"/>
        <v>28.226800000000001</v>
      </c>
      <c r="W236" s="403">
        <f t="shared" si="158"/>
        <v>0</v>
      </c>
      <c r="X236" s="323"/>
      <c r="Y236" s="403">
        <f t="shared" si="159"/>
        <v>0</v>
      </c>
      <c r="Z236" s="403">
        <f t="shared" si="160"/>
        <v>0</v>
      </c>
      <c r="AA236" s="403">
        <f t="shared" si="161"/>
        <v>0</v>
      </c>
      <c r="AB236" s="403">
        <f t="shared" si="162"/>
        <v>14.8268</v>
      </c>
      <c r="AC236" s="403">
        <f t="shared" si="163"/>
        <v>0</v>
      </c>
    </row>
    <row r="237" spans="1:29" ht="22.5">
      <c r="A237" s="689">
        <v>3</v>
      </c>
      <c r="B237" s="407" t="s">
        <v>460</v>
      </c>
      <c r="C237" s="689" t="s">
        <v>320</v>
      </c>
      <c r="D237" s="566">
        <v>1</v>
      </c>
      <c r="E237" s="566">
        <v>1</v>
      </c>
      <c r="F237" s="566">
        <v>1</v>
      </c>
      <c r="G237" s="566">
        <v>1</v>
      </c>
      <c r="H237" s="566">
        <v>1</v>
      </c>
      <c r="I237" s="567">
        <f t="shared" si="153"/>
        <v>15.113299999999999</v>
      </c>
      <c r="J237" s="567">
        <f>'附件4-8甲供材料清单'!K94</f>
        <v>8.33</v>
      </c>
      <c r="K237" s="567">
        <v>1</v>
      </c>
      <c r="L237" s="567">
        <v>6.7</v>
      </c>
      <c r="M237" s="402">
        <f t="shared" si="148"/>
        <v>15.113299999999999</v>
      </c>
      <c r="N237" s="402">
        <f t="shared" si="149"/>
        <v>15.113299999999999</v>
      </c>
      <c r="O237" s="402">
        <f t="shared" si="150"/>
        <v>15.113299999999999</v>
      </c>
      <c r="P237" s="402">
        <f t="shared" si="151"/>
        <v>15.113299999999999</v>
      </c>
      <c r="Q237" s="402">
        <f t="shared" si="152"/>
        <v>15.113299999999999</v>
      </c>
      <c r="R237" s="409" t="s">
        <v>244</v>
      </c>
      <c r="S237" s="455">
        <f t="shared" si="154"/>
        <v>15.113299999999999</v>
      </c>
      <c r="T237" s="403">
        <f t="shared" si="155"/>
        <v>15.113299999999999</v>
      </c>
      <c r="U237" s="403">
        <f t="shared" si="156"/>
        <v>15.113299999999999</v>
      </c>
      <c r="V237" s="403">
        <f t="shared" si="157"/>
        <v>15.113299999999999</v>
      </c>
      <c r="W237" s="403">
        <f t="shared" si="158"/>
        <v>15.113299999999999</v>
      </c>
      <c r="X237" s="323"/>
      <c r="Y237" s="403">
        <f t="shared" si="159"/>
        <v>8.4132999999999996</v>
      </c>
      <c r="Z237" s="403">
        <f t="shared" si="160"/>
        <v>8.4132999999999996</v>
      </c>
      <c r="AA237" s="403">
        <f t="shared" si="161"/>
        <v>8.4132999999999996</v>
      </c>
      <c r="AB237" s="403">
        <f t="shared" si="162"/>
        <v>8.4132999999999996</v>
      </c>
      <c r="AC237" s="403">
        <f t="shared" si="163"/>
        <v>8.4132999999999996</v>
      </c>
    </row>
    <row r="238" spans="1:29" ht="22.5">
      <c r="A238" s="689">
        <v>4</v>
      </c>
      <c r="B238" s="407" t="s">
        <v>462</v>
      </c>
      <c r="C238" s="689" t="s">
        <v>320</v>
      </c>
      <c r="D238" s="566">
        <v>2</v>
      </c>
      <c r="E238" s="566">
        <v>2</v>
      </c>
      <c r="F238" s="566">
        <v>2</v>
      </c>
      <c r="G238" s="566">
        <v>2</v>
      </c>
      <c r="H238" s="566">
        <v>2</v>
      </c>
      <c r="I238" s="567">
        <f t="shared" si="153"/>
        <v>17.809999999999999</v>
      </c>
      <c r="J238" s="567">
        <f>'附件4-8甲供材料清单'!K98</f>
        <v>11</v>
      </c>
      <c r="K238" s="567">
        <v>1</v>
      </c>
      <c r="L238" s="567">
        <v>6.7</v>
      </c>
      <c r="M238" s="402">
        <f t="shared" si="148"/>
        <v>35.619999999999997</v>
      </c>
      <c r="N238" s="402">
        <f t="shared" si="149"/>
        <v>35.619999999999997</v>
      </c>
      <c r="O238" s="402">
        <f t="shared" si="150"/>
        <v>35.619999999999997</v>
      </c>
      <c r="P238" s="402">
        <f t="shared" si="151"/>
        <v>35.619999999999997</v>
      </c>
      <c r="Q238" s="402">
        <f t="shared" si="152"/>
        <v>35.619999999999997</v>
      </c>
      <c r="R238" s="409" t="s">
        <v>244</v>
      </c>
      <c r="S238" s="455">
        <f t="shared" si="154"/>
        <v>35.619999999999997</v>
      </c>
      <c r="T238" s="403">
        <f t="shared" si="155"/>
        <v>35.619999999999997</v>
      </c>
      <c r="U238" s="403">
        <f t="shared" si="156"/>
        <v>35.619999999999997</v>
      </c>
      <c r="V238" s="403">
        <f t="shared" si="157"/>
        <v>35.619999999999997</v>
      </c>
      <c r="W238" s="403">
        <f t="shared" si="158"/>
        <v>35.619999999999997</v>
      </c>
      <c r="X238" s="323"/>
      <c r="Y238" s="403">
        <f t="shared" si="159"/>
        <v>22.22</v>
      </c>
      <c r="Z238" s="403">
        <f t="shared" si="160"/>
        <v>22.22</v>
      </c>
      <c r="AA238" s="403">
        <f t="shared" si="161"/>
        <v>22.22</v>
      </c>
      <c r="AB238" s="403">
        <f t="shared" si="162"/>
        <v>22.22</v>
      </c>
      <c r="AC238" s="403">
        <f t="shared" si="163"/>
        <v>22.22</v>
      </c>
    </row>
    <row r="239" spans="1:29" ht="22.5">
      <c r="A239" s="689">
        <v>5</v>
      </c>
      <c r="B239" s="407" t="s">
        <v>463</v>
      </c>
      <c r="C239" s="689" t="s">
        <v>320</v>
      </c>
      <c r="D239" s="566">
        <v>3</v>
      </c>
      <c r="E239" s="566">
        <v>3</v>
      </c>
      <c r="F239" s="566">
        <v>3</v>
      </c>
      <c r="G239" s="566">
        <v>2</v>
      </c>
      <c r="H239" s="566">
        <v>3</v>
      </c>
      <c r="I239" s="567">
        <f t="shared" si="153"/>
        <v>18.82</v>
      </c>
      <c r="J239" s="567">
        <f>'附件4-8甲供材料清单'!K95</f>
        <v>12</v>
      </c>
      <c r="K239" s="567">
        <v>1</v>
      </c>
      <c r="L239" s="567">
        <v>6.7</v>
      </c>
      <c r="M239" s="402">
        <f t="shared" si="148"/>
        <v>56.46</v>
      </c>
      <c r="N239" s="402">
        <f t="shared" si="149"/>
        <v>56.46</v>
      </c>
      <c r="O239" s="402">
        <f t="shared" si="150"/>
        <v>56.46</v>
      </c>
      <c r="P239" s="402">
        <f t="shared" si="151"/>
        <v>37.64</v>
      </c>
      <c r="Q239" s="402">
        <f t="shared" si="152"/>
        <v>56.46</v>
      </c>
      <c r="R239" s="409" t="s">
        <v>244</v>
      </c>
      <c r="S239" s="455">
        <f t="shared" si="154"/>
        <v>56.46</v>
      </c>
      <c r="T239" s="403">
        <f t="shared" si="155"/>
        <v>56.46</v>
      </c>
      <c r="U239" s="403">
        <f t="shared" si="156"/>
        <v>56.46</v>
      </c>
      <c r="V239" s="403">
        <f t="shared" si="157"/>
        <v>37.64</v>
      </c>
      <c r="W239" s="403">
        <f t="shared" si="158"/>
        <v>56.46</v>
      </c>
      <c r="X239" s="323"/>
      <c r="Y239" s="403">
        <f t="shared" si="159"/>
        <v>36.36</v>
      </c>
      <c r="Z239" s="403">
        <f t="shared" si="160"/>
        <v>36.36</v>
      </c>
      <c r="AA239" s="403">
        <f t="shared" si="161"/>
        <v>36.36</v>
      </c>
      <c r="AB239" s="403">
        <f t="shared" si="162"/>
        <v>24.240000000000002</v>
      </c>
      <c r="AC239" s="403">
        <f t="shared" si="163"/>
        <v>36.36</v>
      </c>
    </row>
    <row r="240" spans="1:29" ht="22.5">
      <c r="A240" s="689">
        <v>6</v>
      </c>
      <c r="B240" s="407" t="s">
        <v>465</v>
      </c>
      <c r="C240" s="689" t="s">
        <v>320</v>
      </c>
      <c r="D240" s="566">
        <v>1</v>
      </c>
      <c r="E240" s="566">
        <v>1</v>
      </c>
      <c r="F240" s="566">
        <v>1</v>
      </c>
      <c r="G240" s="566">
        <v>0</v>
      </c>
      <c r="H240" s="566">
        <v>1</v>
      </c>
      <c r="I240" s="567">
        <f t="shared" si="153"/>
        <v>25.89</v>
      </c>
      <c r="J240" s="567">
        <f>'附件4-8甲供材料清单'!K96</f>
        <v>19</v>
      </c>
      <c r="K240" s="567">
        <v>1</v>
      </c>
      <c r="L240" s="567">
        <v>6.7</v>
      </c>
      <c r="M240" s="402">
        <f t="shared" si="148"/>
        <v>25.89</v>
      </c>
      <c r="N240" s="402">
        <f t="shared" si="149"/>
        <v>25.89</v>
      </c>
      <c r="O240" s="402">
        <f t="shared" si="150"/>
        <v>25.89</v>
      </c>
      <c r="P240" s="402">
        <f t="shared" si="151"/>
        <v>0</v>
      </c>
      <c r="Q240" s="402">
        <f t="shared" si="152"/>
        <v>25.89</v>
      </c>
      <c r="R240" s="409" t="s">
        <v>244</v>
      </c>
      <c r="S240" s="455">
        <f t="shared" si="154"/>
        <v>25.89</v>
      </c>
      <c r="T240" s="403">
        <f t="shared" si="155"/>
        <v>25.89</v>
      </c>
      <c r="U240" s="403">
        <f t="shared" si="156"/>
        <v>25.89</v>
      </c>
      <c r="V240" s="403">
        <f t="shared" si="157"/>
        <v>0</v>
      </c>
      <c r="W240" s="403">
        <f t="shared" si="158"/>
        <v>25.89</v>
      </c>
      <c r="X240" s="323"/>
      <c r="Y240" s="403">
        <f t="shared" si="159"/>
        <v>19.190000000000001</v>
      </c>
      <c r="Z240" s="403">
        <f t="shared" si="160"/>
        <v>19.190000000000001</v>
      </c>
      <c r="AA240" s="403">
        <f t="shared" si="161"/>
        <v>19.190000000000001</v>
      </c>
      <c r="AB240" s="403">
        <f t="shared" si="162"/>
        <v>0</v>
      </c>
      <c r="AC240" s="403">
        <f t="shared" si="163"/>
        <v>19.190000000000001</v>
      </c>
    </row>
    <row r="241" spans="1:29" ht="22.5">
      <c r="A241" s="689">
        <v>7</v>
      </c>
      <c r="B241" s="417" t="s">
        <v>467</v>
      </c>
      <c r="C241" s="422" t="s">
        <v>320</v>
      </c>
      <c r="D241" s="566"/>
      <c r="E241" s="566"/>
      <c r="F241" s="566"/>
      <c r="G241" s="566"/>
      <c r="H241" s="566"/>
      <c r="I241" s="567">
        <f t="shared" si="153"/>
        <v>13.766</v>
      </c>
      <c r="J241" s="567">
        <f>'附件4-8甲供材料清单'!K102</f>
        <v>7</v>
      </c>
      <c r="K241" s="567">
        <v>1</v>
      </c>
      <c r="L241" s="567">
        <v>6.6959999999999997</v>
      </c>
      <c r="M241" s="402">
        <f t="shared" si="148"/>
        <v>0</v>
      </c>
      <c r="N241" s="402">
        <f t="shared" si="149"/>
        <v>0</v>
      </c>
      <c r="O241" s="402">
        <f t="shared" si="150"/>
        <v>0</v>
      </c>
      <c r="P241" s="402">
        <f t="shared" si="151"/>
        <v>0</v>
      </c>
      <c r="Q241" s="402">
        <f t="shared" si="152"/>
        <v>0</v>
      </c>
      <c r="R241" s="409" t="s">
        <v>244</v>
      </c>
      <c r="S241" s="455">
        <f t="shared" si="154"/>
        <v>0</v>
      </c>
      <c r="T241" s="403">
        <f t="shared" si="155"/>
        <v>0</v>
      </c>
      <c r="U241" s="403">
        <f t="shared" si="156"/>
        <v>0</v>
      </c>
      <c r="V241" s="403">
        <f t="shared" si="157"/>
        <v>0</v>
      </c>
      <c r="W241" s="403">
        <f t="shared" si="158"/>
        <v>0</v>
      </c>
      <c r="X241" s="323"/>
      <c r="Y241" s="403">
        <f t="shared" si="159"/>
        <v>0</v>
      </c>
      <c r="Z241" s="403">
        <f t="shared" si="160"/>
        <v>0</v>
      </c>
      <c r="AA241" s="403">
        <f t="shared" si="161"/>
        <v>0</v>
      </c>
      <c r="AB241" s="403">
        <f t="shared" si="162"/>
        <v>0</v>
      </c>
      <c r="AC241" s="403">
        <f t="shared" si="163"/>
        <v>0</v>
      </c>
    </row>
    <row r="242" spans="1:29" ht="22.5">
      <c r="A242" s="689">
        <v>8</v>
      </c>
      <c r="B242" s="417" t="s">
        <v>468</v>
      </c>
      <c r="C242" s="422" t="s">
        <v>320</v>
      </c>
      <c r="D242" s="566">
        <v>4</v>
      </c>
      <c r="E242" s="566">
        <v>4</v>
      </c>
      <c r="F242" s="566">
        <v>4</v>
      </c>
      <c r="G242" s="566">
        <v>4</v>
      </c>
      <c r="H242" s="566">
        <v>4</v>
      </c>
      <c r="I242" s="567">
        <f t="shared" si="153"/>
        <v>13.0792</v>
      </c>
      <c r="J242" s="567">
        <f>'附件4-8甲供材料清单'!K99</f>
        <v>6.32</v>
      </c>
      <c r="K242" s="567">
        <v>1</v>
      </c>
      <c r="L242" s="567">
        <v>6.6959999999999997</v>
      </c>
      <c r="M242" s="402">
        <f t="shared" si="148"/>
        <v>52.316800000000001</v>
      </c>
      <c r="N242" s="402">
        <f t="shared" si="149"/>
        <v>52.316800000000001</v>
      </c>
      <c r="O242" s="402">
        <f t="shared" si="150"/>
        <v>52.316800000000001</v>
      </c>
      <c r="P242" s="402">
        <f t="shared" si="151"/>
        <v>52.316800000000001</v>
      </c>
      <c r="Q242" s="402">
        <f t="shared" si="152"/>
        <v>52.316800000000001</v>
      </c>
      <c r="R242" s="409" t="s">
        <v>244</v>
      </c>
      <c r="S242" s="455">
        <f t="shared" si="154"/>
        <v>52.316800000000001</v>
      </c>
      <c r="T242" s="403">
        <f t="shared" si="155"/>
        <v>52.316800000000001</v>
      </c>
      <c r="U242" s="403">
        <f t="shared" si="156"/>
        <v>52.316800000000001</v>
      </c>
      <c r="V242" s="403">
        <f t="shared" si="157"/>
        <v>52.316800000000001</v>
      </c>
      <c r="W242" s="403">
        <f t="shared" si="158"/>
        <v>52.316800000000001</v>
      </c>
      <c r="X242" s="323"/>
      <c r="Y242" s="403">
        <f t="shared" si="159"/>
        <v>25.532800000000002</v>
      </c>
      <c r="Z242" s="403">
        <f t="shared" si="160"/>
        <v>25.532800000000002</v>
      </c>
      <c r="AA242" s="403">
        <f t="shared" si="161"/>
        <v>25.532800000000002</v>
      </c>
      <c r="AB242" s="403">
        <f t="shared" si="162"/>
        <v>25.532800000000002</v>
      </c>
      <c r="AC242" s="403">
        <f t="shared" si="163"/>
        <v>25.532800000000002</v>
      </c>
    </row>
    <row r="243" spans="1:29" ht="22.5">
      <c r="A243" s="689">
        <v>9</v>
      </c>
      <c r="B243" s="417" t="s">
        <v>470</v>
      </c>
      <c r="C243" s="422" t="s">
        <v>320</v>
      </c>
      <c r="D243" s="566">
        <v>7</v>
      </c>
      <c r="E243" s="566">
        <v>7</v>
      </c>
      <c r="F243" s="566">
        <v>7</v>
      </c>
      <c r="G243" s="566">
        <v>3</v>
      </c>
      <c r="H243" s="566">
        <v>7</v>
      </c>
      <c r="I243" s="567">
        <f t="shared" si="153"/>
        <v>17.805999999999997</v>
      </c>
      <c r="J243" s="567">
        <f>'附件4-8甲供材料清单'!K100</f>
        <v>11</v>
      </c>
      <c r="K243" s="567">
        <v>1</v>
      </c>
      <c r="L243" s="567">
        <v>6.6959999999999997</v>
      </c>
      <c r="M243" s="402">
        <f t="shared" si="148"/>
        <v>124.64199999999998</v>
      </c>
      <c r="N243" s="402">
        <f t="shared" si="149"/>
        <v>124.64199999999998</v>
      </c>
      <c r="O243" s="402">
        <f t="shared" si="150"/>
        <v>124.64199999999998</v>
      </c>
      <c r="P243" s="402">
        <f t="shared" si="151"/>
        <v>53.417999999999992</v>
      </c>
      <c r="Q243" s="402">
        <f t="shared" si="152"/>
        <v>124.64199999999998</v>
      </c>
      <c r="R243" s="409" t="s">
        <v>244</v>
      </c>
      <c r="S243" s="455">
        <f t="shared" si="154"/>
        <v>124.64199999999998</v>
      </c>
      <c r="T243" s="403">
        <f t="shared" si="155"/>
        <v>124.64199999999998</v>
      </c>
      <c r="U243" s="403">
        <f t="shared" si="156"/>
        <v>124.64199999999998</v>
      </c>
      <c r="V243" s="403">
        <f t="shared" si="157"/>
        <v>53.417999999999992</v>
      </c>
      <c r="W243" s="403">
        <f t="shared" si="158"/>
        <v>124.64199999999998</v>
      </c>
      <c r="X243" s="323"/>
      <c r="Y243" s="403">
        <f t="shared" si="159"/>
        <v>77.77</v>
      </c>
      <c r="Z243" s="403">
        <f t="shared" si="160"/>
        <v>77.77</v>
      </c>
      <c r="AA243" s="403">
        <f t="shared" si="161"/>
        <v>77.77</v>
      </c>
      <c r="AB243" s="403">
        <f t="shared" si="162"/>
        <v>33.33</v>
      </c>
      <c r="AC243" s="403">
        <f t="shared" si="163"/>
        <v>77.77</v>
      </c>
    </row>
    <row r="244" spans="1:29" ht="22.5">
      <c r="A244" s="689">
        <v>10</v>
      </c>
      <c r="B244" s="417" t="s">
        <v>471</v>
      </c>
      <c r="C244" s="422" t="s">
        <v>320</v>
      </c>
      <c r="D244" s="566">
        <v>8</v>
      </c>
      <c r="E244" s="566">
        <v>8</v>
      </c>
      <c r="F244" s="566">
        <v>8</v>
      </c>
      <c r="G244" s="566">
        <v>8</v>
      </c>
      <c r="H244" s="566">
        <v>8</v>
      </c>
      <c r="I244" s="567">
        <f t="shared" si="153"/>
        <v>13.968</v>
      </c>
      <c r="J244" s="567">
        <f>'附件4-8甲供材料清单'!K101</f>
        <v>7.2</v>
      </c>
      <c r="K244" s="567">
        <v>1</v>
      </c>
      <c r="L244" s="567">
        <v>6.6959999999999997</v>
      </c>
      <c r="M244" s="402">
        <f t="shared" si="148"/>
        <v>111.744</v>
      </c>
      <c r="N244" s="402">
        <f t="shared" si="149"/>
        <v>111.744</v>
      </c>
      <c r="O244" s="402">
        <f t="shared" si="150"/>
        <v>111.744</v>
      </c>
      <c r="P244" s="402">
        <f t="shared" si="151"/>
        <v>111.744</v>
      </c>
      <c r="Q244" s="402">
        <f t="shared" si="152"/>
        <v>111.744</v>
      </c>
      <c r="R244" s="409" t="s">
        <v>244</v>
      </c>
      <c r="S244" s="455">
        <f t="shared" si="154"/>
        <v>111.744</v>
      </c>
      <c r="T244" s="403">
        <f t="shared" si="155"/>
        <v>111.744</v>
      </c>
      <c r="U244" s="403">
        <f t="shared" si="156"/>
        <v>111.744</v>
      </c>
      <c r="V244" s="403">
        <f t="shared" si="157"/>
        <v>111.744</v>
      </c>
      <c r="W244" s="403">
        <f t="shared" si="158"/>
        <v>111.744</v>
      </c>
      <c r="X244" s="323"/>
      <c r="Y244" s="403">
        <f t="shared" si="159"/>
        <v>58.176000000000002</v>
      </c>
      <c r="Z244" s="403">
        <f t="shared" si="160"/>
        <v>58.176000000000002</v>
      </c>
      <c r="AA244" s="403">
        <f t="shared" si="161"/>
        <v>58.176000000000002</v>
      </c>
      <c r="AB244" s="403">
        <f t="shared" si="162"/>
        <v>58.176000000000002</v>
      </c>
      <c r="AC244" s="403">
        <f t="shared" si="163"/>
        <v>58.176000000000002</v>
      </c>
    </row>
    <row r="245" spans="1:29" ht="22.5">
      <c r="A245" s="689">
        <v>11</v>
      </c>
      <c r="B245" s="417" t="s">
        <v>473</v>
      </c>
      <c r="C245" s="422" t="s">
        <v>320</v>
      </c>
      <c r="D245" s="566">
        <v>2</v>
      </c>
      <c r="E245" s="566">
        <v>2</v>
      </c>
      <c r="F245" s="566">
        <v>2</v>
      </c>
      <c r="G245" s="566">
        <v>2</v>
      </c>
      <c r="H245" s="566">
        <v>2</v>
      </c>
      <c r="I245" s="567">
        <f t="shared" si="153"/>
        <v>16.321300000000001</v>
      </c>
      <c r="J245" s="567">
        <f>'附件4-8甲供材料清单'!K103</f>
        <v>9.5299999999999994</v>
      </c>
      <c r="K245" s="567">
        <v>1</v>
      </c>
      <c r="L245" s="567">
        <v>6.6959999999999997</v>
      </c>
      <c r="M245" s="402">
        <f t="shared" si="148"/>
        <v>32.642600000000002</v>
      </c>
      <c r="N245" s="402">
        <f t="shared" si="149"/>
        <v>32.642600000000002</v>
      </c>
      <c r="O245" s="402">
        <f t="shared" si="150"/>
        <v>32.642600000000002</v>
      </c>
      <c r="P245" s="402">
        <f t="shared" si="151"/>
        <v>32.642600000000002</v>
      </c>
      <c r="Q245" s="402">
        <f t="shared" si="152"/>
        <v>32.642600000000002</v>
      </c>
      <c r="R245" s="409" t="s">
        <v>244</v>
      </c>
      <c r="S245" s="455">
        <f t="shared" si="154"/>
        <v>32.642600000000002</v>
      </c>
      <c r="T245" s="403">
        <f t="shared" si="155"/>
        <v>32.642600000000002</v>
      </c>
      <c r="U245" s="403">
        <f t="shared" si="156"/>
        <v>32.642600000000002</v>
      </c>
      <c r="V245" s="403">
        <f t="shared" si="157"/>
        <v>32.642600000000002</v>
      </c>
      <c r="W245" s="403">
        <f t="shared" si="158"/>
        <v>32.642600000000002</v>
      </c>
      <c r="X245" s="323"/>
      <c r="Y245" s="403">
        <f t="shared" si="159"/>
        <v>19.250599999999999</v>
      </c>
      <c r="Z245" s="403">
        <f t="shared" si="160"/>
        <v>19.250599999999999</v>
      </c>
      <c r="AA245" s="403">
        <f t="shared" si="161"/>
        <v>19.250599999999999</v>
      </c>
      <c r="AB245" s="403">
        <f t="shared" si="162"/>
        <v>19.250599999999999</v>
      </c>
      <c r="AC245" s="403">
        <f t="shared" si="163"/>
        <v>19.250599999999999</v>
      </c>
    </row>
    <row r="246" spans="1:29" ht="22.5">
      <c r="A246" s="689">
        <v>12</v>
      </c>
      <c r="B246" s="417" t="s">
        <v>474</v>
      </c>
      <c r="C246" s="422" t="s">
        <v>320</v>
      </c>
      <c r="D246" s="566">
        <v>2</v>
      </c>
      <c r="E246" s="566">
        <v>2</v>
      </c>
      <c r="F246" s="566">
        <v>2</v>
      </c>
      <c r="G246" s="566">
        <v>2</v>
      </c>
      <c r="H246" s="566">
        <v>2</v>
      </c>
      <c r="I246" s="567">
        <f t="shared" si="153"/>
        <v>17.805999999999997</v>
      </c>
      <c r="J246" s="567">
        <f>'附件4-8甲供材料清单'!K104</f>
        <v>11</v>
      </c>
      <c r="K246" s="567">
        <v>1</v>
      </c>
      <c r="L246" s="567">
        <v>6.6959999999999997</v>
      </c>
      <c r="M246" s="402">
        <f t="shared" si="148"/>
        <v>35.611999999999995</v>
      </c>
      <c r="N246" s="402">
        <f t="shared" si="149"/>
        <v>35.611999999999995</v>
      </c>
      <c r="O246" s="402">
        <f t="shared" si="150"/>
        <v>35.611999999999995</v>
      </c>
      <c r="P246" s="402">
        <f t="shared" si="151"/>
        <v>35.611999999999995</v>
      </c>
      <c r="Q246" s="402">
        <f t="shared" si="152"/>
        <v>35.611999999999995</v>
      </c>
      <c r="R246" s="409" t="s">
        <v>244</v>
      </c>
      <c r="S246" s="455">
        <f t="shared" si="154"/>
        <v>35.611999999999995</v>
      </c>
      <c r="T246" s="403">
        <f t="shared" si="155"/>
        <v>35.611999999999995</v>
      </c>
      <c r="U246" s="403">
        <f t="shared" si="156"/>
        <v>35.611999999999995</v>
      </c>
      <c r="V246" s="403">
        <f t="shared" si="157"/>
        <v>35.611999999999995</v>
      </c>
      <c r="W246" s="403">
        <f t="shared" si="158"/>
        <v>35.611999999999995</v>
      </c>
      <c r="X246" s="323"/>
      <c r="Y246" s="403">
        <f t="shared" si="159"/>
        <v>22.22</v>
      </c>
      <c r="Z246" s="403">
        <f t="shared" si="160"/>
        <v>22.22</v>
      </c>
      <c r="AA246" s="403">
        <f t="shared" si="161"/>
        <v>22.22</v>
      </c>
      <c r="AB246" s="403">
        <f t="shared" si="162"/>
        <v>22.22</v>
      </c>
      <c r="AC246" s="403">
        <f t="shared" si="163"/>
        <v>22.22</v>
      </c>
    </row>
    <row r="247" spans="1:29" ht="22.5">
      <c r="A247" s="689">
        <v>13</v>
      </c>
      <c r="B247" s="417" t="s">
        <v>475</v>
      </c>
      <c r="C247" s="422" t="s">
        <v>320</v>
      </c>
      <c r="D247" s="566"/>
      <c r="E247" s="566"/>
      <c r="F247" s="566"/>
      <c r="G247" s="566"/>
      <c r="H247" s="566"/>
      <c r="I247" s="567">
        <f t="shared" si="153"/>
        <v>24.825499999999998</v>
      </c>
      <c r="J247" s="567">
        <f>'附件4-8甲供材料清单'!K104+'附件4-8甲供材料清单'!K105</f>
        <v>17.95</v>
      </c>
      <c r="K247" s="567">
        <v>1</v>
      </c>
      <c r="L247" s="567">
        <v>6.6959999999999997</v>
      </c>
      <c r="M247" s="402">
        <f t="shared" si="148"/>
        <v>0</v>
      </c>
      <c r="N247" s="402">
        <f t="shared" si="149"/>
        <v>0</v>
      </c>
      <c r="O247" s="402">
        <f t="shared" si="150"/>
        <v>0</v>
      </c>
      <c r="P247" s="402">
        <f t="shared" si="151"/>
        <v>0</v>
      </c>
      <c r="Q247" s="402">
        <f t="shared" si="152"/>
        <v>0</v>
      </c>
      <c r="R247" s="409" t="s">
        <v>244</v>
      </c>
      <c r="S247" s="455">
        <f t="shared" si="154"/>
        <v>0</v>
      </c>
      <c r="T247" s="403">
        <f t="shared" si="155"/>
        <v>0</v>
      </c>
      <c r="U247" s="403">
        <f t="shared" si="156"/>
        <v>0</v>
      </c>
      <c r="V247" s="403">
        <f t="shared" si="157"/>
        <v>0</v>
      </c>
      <c r="W247" s="403">
        <f t="shared" si="158"/>
        <v>0</v>
      </c>
      <c r="X247" s="323"/>
      <c r="Y247" s="403">
        <f t="shared" si="159"/>
        <v>0</v>
      </c>
      <c r="Z247" s="403">
        <f t="shared" si="160"/>
        <v>0</v>
      </c>
      <c r="AA247" s="403">
        <f t="shared" si="161"/>
        <v>0</v>
      </c>
      <c r="AB247" s="403">
        <f t="shared" si="162"/>
        <v>0</v>
      </c>
      <c r="AC247" s="403">
        <f t="shared" si="163"/>
        <v>0</v>
      </c>
    </row>
    <row r="248" spans="1:29" ht="22.5">
      <c r="A248" s="689">
        <v>14</v>
      </c>
      <c r="B248" s="417" t="s">
        <v>476</v>
      </c>
      <c r="C248" s="422" t="s">
        <v>320</v>
      </c>
      <c r="D248" s="566"/>
      <c r="E248" s="566"/>
      <c r="F248" s="566"/>
      <c r="G248" s="566"/>
      <c r="H248" s="566"/>
      <c r="I248" s="567">
        <f t="shared" si="153"/>
        <v>24.825499999999998</v>
      </c>
      <c r="J248" s="567">
        <f>'附件4-8甲供材料清单'!K100+'附件4-8甲供材料清单'!K105</f>
        <v>17.95</v>
      </c>
      <c r="K248" s="567">
        <v>1</v>
      </c>
      <c r="L248" s="567">
        <v>6.6959999999999997</v>
      </c>
      <c r="M248" s="402">
        <f t="shared" si="148"/>
        <v>0</v>
      </c>
      <c r="N248" s="402">
        <f t="shared" si="149"/>
        <v>0</v>
      </c>
      <c r="O248" s="402">
        <f t="shared" si="150"/>
        <v>0</v>
      </c>
      <c r="P248" s="402">
        <f t="shared" si="151"/>
        <v>0</v>
      </c>
      <c r="Q248" s="402">
        <f t="shared" si="152"/>
        <v>0</v>
      </c>
      <c r="R248" s="409" t="s">
        <v>244</v>
      </c>
      <c r="S248" s="455">
        <f t="shared" si="154"/>
        <v>0</v>
      </c>
      <c r="T248" s="403">
        <f t="shared" si="155"/>
        <v>0</v>
      </c>
      <c r="U248" s="403">
        <f t="shared" si="156"/>
        <v>0</v>
      </c>
      <c r="V248" s="403">
        <f t="shared" si="157"/>
        <v>0</v>
      </c>
      <c r="W248" s="403">
        <f t="shared" si="158"/>
        <v>0</v>
      </c>
      <c r="X248" s="323"/>
      <c r="Y248" s="403">
        <f t="shared" si="159"/>
        <v>0</v>
      </c>
      <c r="Z248" s="403">
        <f t="shared" si="160"/>
        <v>0</v>
      </c>
      <c r="AA248" s="403">
        <f t="shared" si="161"/>
        <v>0</v>
      </c>
      <c r="AB248" s="403">
        <f t="shared" si="162"/>
        <v>0</v>
      </c>
      <c r="AC248" s="403">
        <f t="shared" si="163"/>
        <v>0</v>
      </c>
    </row>
    <row r="249" spans="1:29" ht="33.75">
      <c r="A249" s="689">
        <v>15</v>
      </c>
      <c r="B249" s="417" t="s">
        <v>477</v>
      </c>
      <c r="C249" s="422" t="s">
        <v>320</v>
      </c>
      <c r="D249" s="566">
        <v>2</v>
      </c>
      <c r="E249" s="566">
        <v>2</v>
      </c>
      <c r="F249" s="566">
        <v>2</v>
      </c>
      <c r="G249" s="566">
        <v>2</v>
      </c>
      <c r="H249" s="566">
        <v>2</v>
      </c>
      <c r="I249" s="567">
        <f t="shared" si="153"/>
        <v>20.987500000000001</v>
      </c>
      <c r="J249" s="567">
        <f>'附件4-8甲供材料清单'!K101+'附件4-8甲供材料清单'!K105</f>
        <v>14.15</v>
      </c>
      <c r="K249" s="567">
        <v>1</v>
      </c>
      <c r="L249" s="567">
        <v>6.6959999999999997</v>
      </c>
      <c r="M249" s="402">
        <f t="shared" si="148"/>
        <v>41.975000000000001</v>
      </c>
      <c r="N249" s="402">
        <f t="shared" si="149"/>
        <v>41.975000000000001</v>
      </c>
      <c r="O249" s="402">
        <f t="shared" si="150"/>
        <v>41.975000000000001</v>
      </c>
      <c r="P249" s="402">
        <f t="shared" si="151"/>
        <v>41.975000000000001</v>
      </c>
      <c r="Q249" s="402">
        <f t="shared" si="152"/>
        <v>41.975000000000001</v>
      </c>
      <c r="R249" s="409" t="s">
        <v>478</v>
      </c>
      <c r="S249" s="455">
        <f t="shared" si="154"/>
        <v>41.975000000000001</v>
      </c>
      <c r="T249" s="403">
        <f t="shared" si="155"/>
        <v>41.975000000000001</v>
      </c>
      <c r="U249" s="403">
        <f t="shared" si="156"/>
        <v>41.975000000000001</v>
      </c>
      <c r="V249" s="403">
        <f t="shared" si="157"/>
        <v>41.975000000000001</v>
      </c>
      <c r="W249" s="403">
        <f t="shared" si="158"/>
        <v>41.975000000000001</v>
      </c>
      <c r="X249" s="323"/>
      <c r="Y249" s="403">
        <f t="shared" si="159"/>
        <v>28.583000000000002</v>
      </c>
      <c r="Z249" s="403">
        <f t="shared" si="160"/>
        <v>28.583000000000002</v>
      </c>
      <c r="AA249" s="403">
        <f t="shared" si="161"/>
        <v>28.583000000000002</v>
      </c>
      <c r="AB249" s="403">
        <f t="shared" si="162"/>
        <v>28.583000000000002</v>
      </c>
      <c r="AC249" s="403">
        <f t="shared" si="163"/>
        <v>28.583000000000002</v>
      </c>
    </row>
    <row r="250" spans="1:29" ht="22.5">
      <c r="A250" s="689">
        <v>16</v>
      </c>
      <c r="B250" s="417" t="s">
        <v>479</v>
      </c>
      <c r="C250" s="418" t="s">
        <v>320</v>
      </c>
      <c r="D250" s="566">
        <v>1</v>
      </c>
      <c r="E250" s="566">
        <v>1</v>
      </c>
      <c r="F250" s="566">
        <v>1</v>
      </c>
      <c r="G250" s="566">
        <v>1</v>
      </c>
      <c r="H250" s="566">
        <v>1</v>
      </c>
      <c r="I250" s="567">
        <f t="shared" si="153"/>
        <v>6.8962000000000003</v>
      </c>
      <c r="J250" s="567">
        <f>'附件4-8甲供材料清单'!K106</f>
        <v>3.62</v>
      </c>
      <c r="K250" s="567">
        <v>1</v>
      </c>
      <c r="L250" s="567">
        <v>3.24</v>
      </c>
      <c r="M250" s="402">
        <f t="shared" si="148"/>
        <v>6.8962000000000003</v>
      </c>
      <c r="N250" s="402">
        <f t="shared" si="149"/>
        <v>6.8962000000000003</v>
      </c>
      <c r="O250" s="402">
        <f t="shared" si="150"/>
        <v>6.8962000000000003</v>
      </c>
      <c r="P250" s="402">
        <f t="shared" si="151"/>
        <v>6.8962000000000003</v>
      </c>
      <c r="Q250" s="402">
        <f t="shared" si="152"/>
        <v>6.8962000000000003</v>
      </c>
      <c r="R250" s="409" t="s">
        <v>244</v>
      </c>
      <c r="S250" s="455">
        <f t="shared" si="154"/>
        <v>6.8962000000000003</v>
      </c>
      <c r="T250" s="403">
        <f t="shared" si="155"/>
        <v>6.8962000000000003</v>
      </c>
      <c r="U250" s="403">
        <f t="shared" si="156"/>
        <v>6.8962000000000003</v>
      </c>
      <c r="V250" s="403">
        <f t="shared" si="157"/>
        <v>6.8962000000000003</v>
      </c>
      <c r="W250" s="403">
        <f t="shared" si="158"/>
        <v>6.8962000000000003</v>
      </c>
      <c r="X250" s="323"/>
      <c r="Y250" s="403">
        <f t="shared" si="159"/>
        <v>3.6562000000000001</v>
      </c>
      <c r="Z250" s="403">
        <f t="shared" si="160"/>
        <v>3.6562000000000001</v>
      </c>
      <c r="AA250" s="403">
        <f t="shared" si="161"/>
        <v>3.6562000000000001</v>
      </c>
      <c r="AB250" s="403">
        <f t="shared" si="162"/>
        <v>3.6562000000000001</v>
      </c>
      <c r="AC250" s="403">
        <f t="shared" si="163"/>
        <v>3.6562000000000001</v>
      </c>
    </row>
    <row r="251" spans="1:29">
      <c r="A251" s="689">
        <v>17</v>
      </c>
      <c r="B251" s="417" t="s">
        <v>480</v>
      </c>
      <c r="C251" s="418" t="s">
        <v>270</v>
      </c>
      <c r="D251" s="566">
        <v>1</v>
      </c>
      <c r="E251" s="566">
        <v>1</v>
      </c>
      <c r="F251" s="566">
        <v>1</v>
      </c>
      <c r="G251" s="566">
        <v>1</v>
      </c>
      <c r="H251" s="566">
        <v>1</v>
      </c>
      <c r="I251" s="567">
        <f t="shared" si="153"/>
        <v>4.7549999999999999</v>
      </c>
      <c r="J251" s="567">
        <v>1.5</v>
      </c>
      <c r="K251" s="567">
        <v>1</v>
      </c>
      <c r="L251" s="567">
        <v>3.24</v>
      </c>
      <c r="M251" s="402">
        <f t="shared" si="148"/>
        <v>4.7549999999999999</v>
      </c>
      <c r="N251" s="402">
        <f t="shared" si="149"/>
        <v>4.7549999999999999</v>
      </c>
      <c r="O251" s="402">
        <f t="shared" si="150"/>
        <v>4.7549999999999999</v>
      </c>
      <c r="P251" s="402">
        <f t="shared" si="151"/>
        <v>4.7549999999999999</v>
      </c>
      <c r="Q251" s="402">
        <f t="shared" si="152"/>
        <v>4.7549999999999999</v>
      </c>
      <c r="R251" s="409"/>
      <c r="S251" s="455"/>
      <c r="T251" s="403"/>
      <c r="U251" s="403"/>
      <c r="V251" s="403"/>
      <c r="W251" s="403"/>
      <c r="X251" s="323"/>
      <c r="Y251" s="423"/>
      <c r="Z251" s="423"/>
      <c r="AA251" s="423"/>
      <c r="AB251" s="423"/>
      <c r="AC251" s="423"/>
    </row>
    <row r="252" spans="1:29" ht="22.5">
      <c r="A252" s="689">
        <v>18</v>
      </c>
      <c r="B252" s="417" t="s">
        <v>481</v>
      </c>
      <c r="C252" s="689" t="s">
        <v>482</v>
      </c>
      <c r="D252" s="566">
        <v>2</v>
      </c>
      <c r="E252" s="566">
        <v>2</v>
      </c>
      <c r="F252" s="566">
        <v>2</v>
      </c>
      <c r="G252" s="566">
        <v>2</v>
      </c>
      <c r="H252" s="566">
        <v>2</v>
      </c>
      <c r="I252" s="567">
        <f t="shared" si="153"/>
        <v>105.28999999999999</v>
      </c>
      <c r="J252" s="567">
        <f>'附件4-8甲供材料清单'!K48</f>
        <v>85</v>
      </c>
      <c r="K252" s="567">
        <v>1</v>
      </c>
      <c r="L252" s="567">
        <v>19.440000000000001</v>
      </c>
      <c r="M252" s="402">
        <f t="shared" si="148"/>
        <v>210.57999999999998</v>
      </c>
      <c r="N252" s="402">
        <f t="shared" si="149"/>
        <v>210.57999999999998</v>
      </c>
      <c r="O252" s="402">
        <f t="shared" si="150"/>
        <v>210.57999999999998</v>
      </c>
      <c r="P252" s="402">
        <f t="shared" si="151"/>
        <v>210.57999999999998</v>
      </c>
      <c r="Q252" s="402">
        <f t="shared" si="152"/>
        <v>210.57999999999998</v>
      </c>
      <c r="R252" s="409" t="s">
        <v>244</v>
      </c>
      <c r="S252" s="455">
        <f t="shared" ref="S252:W256" si="164">M252</f>
        <v>210.57999999999998</v>
      </c>
      <c r="T252" s="403">
        <f t="shared" si="164"/>
        <v>210.57999999999998</v>
      </c>
      <c r="U252" s="403">
        <f t="shared" si="164"/>
        <v>210.57999999999998</v>
      </c>
      <c r="V252" s="403">
        <f t="shared" si="164"/>
        <v>210.57999999999998</v>
      </c>
      <c r="W252" s="403">
        <f t="shared" si="164"/>
        <v>210.57999999999998</v>
      </c>
      <c r="X252" s="323"/>
      <c r="Y252" s="403">
        <f t="shared" ref="Y252:AC256" si="165">D252*$J252*(1+$K252%)</f>
        <v>171.7</v>
      </c>
      <c r="Z252" s="403">
        <f t="shared" si="165"/>
        <v>171.7</v>
      </c>
      <c r="AA252" s="403">
        <f t="shared" si="165"/>
        <v>171.7</v>
      </c>
      <c r="AB252" s="403">
        <f t="shared" si="165"/>
        <v>171.7</v>
      </c>
      <c r="AC252" s="403">
        <f t="shared" si="165"/>
        <v>171.7</v>
      </c>
    </row>
    <row r="253" spans="1:29" ht="22.5">
      <c r="A253" s="689">
        <v>19</v>
      </c>
      <c r="B253" s="417" t="s">
        <v>483</v>
      </c>
      <c r="C253" s="689" t="s">
        <v>482</v>
      </c>
      <c r="D253" s="566">
        <v>1</v>
      </c>
      <c r="E253" s="566">
        <v>1</v>
      </c>
      <c r="F253" s="566">
        <v>1</v>
      </c>
      <c r="G253" s="566">
        <v>1</v>
      </c>
      <c r="H253" s="566">
        <v>1</v>
      </c>
      <c r="I253" s="567">
        <f t="shared" si="153"/>
        <v>833.71</v>
      </c>
      <c r="J253" s="567">
        <f>'附件4-8甲供材料清单'!K38</f>
        <v>695</v>
      </c>
      <c r="K253" s="567">
        <v>1</v>
      </c>
      <c r="L253" s="567">
        <v>131.76</v>
      </c>
      <c r="M253" s="402">
        <f t="shared" si="148"/>
        <v>833.71</v>
      </c>
      <c r="N253" s="402">
        <f t="shared" si="149"/>
        <v>833.71</v>
      </c>
      <c r="O253" s="402">
        <f t="shared" si="150"/>
        <v>833.71</v>
      </c>
      <c r="P253" s="402">
        <f t="shared" si="151"/>
        <v>833.71</v>
      </c>
      <c r="Q253" s="402">
        <f t="shared" si="152"/>
        <v>833.71</v>
      </c>
      <c r="R253" s="409" t="s">
        <v>244</v>
      </c>
      <c r="S253" s="455">
        <f t="shared" si="164"/>
        <v>833.71</v>
      </c>
      <c r="T253" s="403">
        <f t="shared" si="164"/>
        <v>833.71</v>
      </c>
      <c r="U253" s="403">
        <f t="shared" si="164"/>
        <v>833.71</v>
      </c>
      <c r="V253" s="403">
        <f t="shared" si="164"/>
        <v>833.71</v>
      </c>
      <c r="W253" s="403">
        <f t="shared" si="164"/>
        <v>833.71</v>
      </c>
      <c r="X253" s="323"/>
      <c r="Y253" s="403">
        <f t="shared" si="165"/>
        <v>701.95</v>
      </c>
      <c r="Z253" s="403">
        <f t="shared" si="165"/>
        <v>701.95</v>
      </c>
      <c r="AA253" s="403">
        <f t="shared" si="165"/>
        <v>701.95</v>
      </c>
      <c r="AB253" s="403">
        <f t="shared" si="165"/>
        <v>701.95</v>
      </c>
      <c r="AC253" s="403">
        <f t="shared" si="165"/>
        <v>701.95</v>
      </c>
    </row>
    <row r="254" spans="1:29" ht="22.5">
      <c r="A254" s="689">
        <v>20</v>
      </c>
      <c r="B254" s="417" t="s">
        <v>484</v>
      </c>
      <c r="C254" s="689" t="s">
        <v>482</v>
      </c>
      <c r="D254" s="566">
        <v>1</v>
      </c>
      <c r="E254" s="566">
        <v>1</v>
      </c>
      <c r="F254" s="566">
        <v>1</v>
      </c>
      <c r="G254" s="566">
        <v>1</v>
      </c>
      <c r="H254" s="566">
        <v>1</v>
      </c>
      <c r="I254" s="567">
        <f t="shared" si="153"/>
        <v>672.11</v>
      </c>
      <c r="J254" s="567">
        <f>'附件4-8甲供材料清单'!K40</f>
        <v>535</v>
      </c>
      <c r="K254" s="567">
        <v>1</v>
      </c>
      <c r="L254" s="567">
        <v>131.76</v>
      </c>
      <c r="M254" s="402">
        <f t="shared" si="148"/>
        <v>672.11</v>
      </c>
      <c r="N254" s="402">
        <f t="shared" si="149"/>
        <v>672.11</v>
      </c>
      <c r="O254" s="402">
        <f t="shared" si="150"/>
        <v>672.11</v>
      </c>
      <c r="P254" s="402">
        <f t="shared" si="151"/>
        <v>672.11</v>
      </c>
      <c r="Q254" s="402">
        <f t="shared" si="152"/>
        <v>672.11</v>
      </c>
      <c r="R254" s="409" t="s">
        <v>244</v>
      </c>
      <c r="S254" s="455">
        <f t="shared" si="164"/>
        <v>672.11</v>
      </c>
      <c r="T254" s="403">
        <f t="shared" si="164"/>
        <v>672.11</v>
      </c>
      <c r="U254" s="403">
        <f t="shared" si="164"/>
        <v>672.11</v>
      </c>
      <c r="V254" s="403">
        <f t="shared" si="164"/>
        <v>672.11</v>
      </c>
      <c r="W254" s="403">
        <f t="shared" si="164"/>
        <v>672.11</v>
      </c>
      <c r="X254" s="323"/>
      <c r="Y254" s="403">
        <f t="shared" si="165"/>
        <v>540.35</v>
      </c>
      <c r="Z254" s="403">
        <f t="shared" si="165"/>
        <v>540.35</v>
      </c>
      <c r="AA254" s="403">
        <f t="shared" si="165"/>
        <v>540.35</v>
      </c>
      <c r="AB254" s="403">
        <f t="shared" si="165"/>
        <v>540.35</v>
      </c>
      <c r="AC254" s="403">
        <f t="shared" si="165"/>
        <v>540.35</v>
      </c>
    </row>
    <row r="255" spans="1:29" ht="22.5">
      <c r="A255" s="689">
        <v>21</v>
      </c>
      <c r="B255" s="417" t="s">
        <v>485</v>
      </c>
      <c r="C255" s="689" t="s">
        <v>482</v>
      </c>
      <c r="D255" s="566">
        <v>1</v>
      </c>
      <c r="E255" s="566">
        <v>1</v>
      </c>
      <c r="F255" s="566">
        <v>1</v>
      </c>
      <c r="G255" s="566">
        <v>1</v>
      </c>
      <c r="H255" s="566">
        <v>1</v>
      </c>
      <c r="I255" s="567">
        <f t="shared" si="153"/>
        <v>575.15</v>
      </c>
      <c r="J255" s="567">
        <f>'附件4-8甲供材料清单'!K39</f>
        <v>439</v>
      </c>
      <c r="K255" s="567">
        <v>1</v>
      </c>
      <c r="L255" s="567">
        <v>131.76</v>
      </c>
      <c r="M255" s="402">
        <f t="shared" si="148"/>
        <v>575.15</v>
      </c>
      <c r="N255" s="402">
        <f t="shared" si="149"/>
        <v>575.15</v>
      </c>
      <c r="O255" s="402">
        <f t="shared" si="150"/>
        <v>575.15</v>
      </c>
      <c r="P255" s="402">
        <f t="shared" si="151"/>
        <v>575.15</v>
      </c>
      <c r="Q255" s="402">
        <f t="shared" si="152"/>
        <v>575.15</v>
      </c>
      <c r="R255" s="409" t="s">
        <v>244</v>
      </c>
      <c r="S255" s="455">
        <f t="shared" si="164"/>
        <v>575.15</v>
      </c>
      <c r="T255" s="403">
        <f t="shared" si="164"/>
        <v>575.15</v>
      </c>
      <c r="U255" s="403">
        <f t="shared" si="164"/>
        <v>575.15</v>
      </c>
      <c r="V255" s="403">
        <f t="shared" si="164"/>
        <v>575.15</v>
      </c>
      <c r="W255" s="403">
        <f t="shared" si="164"/>
        <v>575.15</v>
      </c>
      <c r="X255" s="323"/>
      <c r="Y255" s="403">
        <f t="shared" si="165"/>
        <v>443.39</v>
      </c>
      <c r="Z255" s="403">
        <f t="shared" si="165"/>
        <v>443.39</v>
      </c>
      <c r="AA255" s="403">
        <f t="shared" si="165"/>
        <v>443.39</v>
      </c>
      <c r="AB255" s="403">
        <f t="shared" si="165"/>
        <v>443.39</v>
      </c>
      <c r="AC255" s="403">
        <f t="shared" si="165"/>
        <v>443.39</v>
      </c>
    </row>
    <row r="256" spans="1:29" ht="22.5">
      <c r="A256" s="689">
        <v>22</v>
      </c>
      <c r="B256" s="417" t="s">
        <v>486</v>
      </c>
      <c r="C256" s="689" t="s">
        <v>482</v>
      </c>
      <c r="D256" s="569"/>
      <c r="E256" s="569"/>
      <c r="F256" s="566"/>
      <c r="G256" s="569"/>
      <c r="H256" s="569"/>
      <c r="I256" s="567">
        <f t="shared" si="153"/>
        <v>79.03</v>
      </c>
      <c r="J256" s="567">
        <f>'附件4-8甲供材料清单'!K41</f>
        <v>59</v>
      </c>
      <c r="K256" s="567">
        <v>1</v>
      </c>
      <c r="L256" s="567">
        <v>19.440000000000001</v>
      </c>
      <c r="M256" s="402">
        <f t="shared" si="148"/>
        <v>0</v>
      </c>
      <c r="N256" s="402">
        <f t="shared" si="149"/>
        <v>0</v>
      </c>
      <c r="O256" s="402">
        <f t="shared" si="150"/>
        <v>0</v>
      </c>
      <c r="P256" s="402">
        <f t="shared" si="151"/>
        <v>0</v>
      </c>
      <c r="Q256" s="402">
        <f t="shared" si="152"/>
        <v>0</v>
      </c>
      <c r="R256" s="409" t="s">
        <v>244</v>
      </c>
      <c r="S256" s="455">
        <f t="shared" si="164"/>
        <v>0</v>
      </c>
      <c r="T256" s="403">
        <f t="shared" si="164"/>
        <v>0</v>
      </c>
      <c r="U256" s="403">
        <f t="shared" si="164"/>
        <v>0</v>
      </c>
      <c r="V256" s="403">
        <f t="shared" si="164"/>
        <v>0</v>
      </c>
      <c r="W256" s="403">
        <f t="shared" si="164"/>
        <v>0</v>
      </c>
      <c r="X256" s="323"/>
      <c r="Y256" s="403">
        <f t="shared" si="165"/>
        <v>0</v>
      </c>
      <c r="Z256" s="403">
        <f t="shared" si="165"/>
        <v>0</v>
      </c>
      <c r="AA256" s="403">
        <f t="shared" si="165"/>
        <v>0</v>
      </c>
      <c r="AB256" s="403">
        <f t="shared" si="165"/>
        <v>0</v>
      </c>
      <c r="AC256" s="403">
        <f t="shared" si="165"/>
        <v>0</v>
      </c>
    </row>
    <row r="257" spans="1:29">
      <c r="A257" s="689">
        <v>23</v>
      </c>
      <c r="B257" s="417" t="s">
        <v>487</v>
      </c>
      <c r="C257" s="689" t="s">
        <v>482</v>
      </c>
      <c r="D257" s="569"/>
      <c r="E257" s="569"/>
      <c r="F257" s="566"/>
      <c r="G257" s="569"/>
      <c r="H257" s="569"/>
      <c r="I257" s="567">
        <f t="shared" si="153"/>
        <v>48.31</v>
      </c>
      <c r="J257" s="567">
        <v>35</v>
      </c>
      <c r="K257" s="567">
        <v>1</v>
      </c>
      <c r="L257" s="567">
        <v>12.96</v>
      </c>
      <c r="M257" s="402">
        <f t="shared" ref="M257:M288" si="166">D257*$I257</f>
        <v>0</v>
      </c>
      <c r="N257" s="402">
        <f t="shared" ref="N257:N288" si="167">E257*$I257</f>
        <v>0</v>
      </c>
      <c r="O257" s="402">
        <f t="shared" ref="O257:O288" si="168">F257*$I257</f>
        <v>0</v>
      </c>
      <c r="P257" s="402">
        <f t="shared" ref="P257:P288" si="169">G257*$I257</f>
        <v>0</v>
      </c>
      <c r="Q257" s="402">
        <f t="shared" ref="Q257:Q288" si="170">H257*$I257</f>
        <v>0</v>
      </c>
      <c r="R257" s="409"/>
      <c r="S257" s="455"/>
      <c r="T257" s="403"/>
      <c r="U257" s="403"/>
      <c r="V257" s="403"/>
      <c r="W257" s="403"/>
      <c r="X257" s="323"/>
      <c r="Y257" s="403"/>
      <c r="Z257" s="403"/>
      <c r="AA257" s="403"/>
      <c r="AB257" s="403"/>
      <c r="AC257" s="403"/>
    </row>
    <row r="258" spans="1:29" ht="22.5">
      <c r="A258" s="689">
        <v>24</v>
      </c>
      <c r="B258" s="417" t="s">
        <v>488</v>
      </c>
      <c r="C258" s="689" t="s">
        <v>482</v>
      </c>
      <c r="D258" s="566">
        <v>4</v>
      </c>
      <c r="E258" s="566">
        <v>4</v>
      </c>
      <c r="F258" s="566">
        <v>5</v>
      </c>
      <c r="G258" s="566">
        <v>4</v>
      </c>
      <c r="H258" s="566">
        <v>4</v>
      </c>
      <c r="I258" s="567">
        <f t="shared" si="153"/>
        <v>38.21</v>
      </c>
      <c r="J258" s="567">
        <f>'附件4-8甲供材料清单'!K46</f>
        <v>25</v>
      </c>
      <c r="K258" s="567">
        <v>1</v>
      </c>
      <c r="L258" s="567">
        <v>12.96</v>
      </c>
      <c r="M258" s="402">
        <f t="shared" si="166"/>
        <v>152.84</v>
      </c>
      <c r="N258" s="402">
        <f t="shared" si="167"/>
        <v>152.84</v>
      </c>
      <c r="O258" s="402">
        <f t="shared" si="168"/>
        <v>191.05</v>
      </c>
      <c r="P258" s="402">
        <f t="shared" si="169"/>
        <v>152.84</v>
      </c>
      <c r="Q258" s="402">
        <f t="shared" si="170"/>
        <v>152.84</v>
      </c>
      <c r="R258" s="409" t="s">
        <v>244</v>
      </c>
      <c r="S258" s="455">
        <f t="shared" ref="S258:W264" si="171">M258</f>
        <v>152.84</v>
      </c>
      <c r="T258" s="403">
        <f t="shared" si="171"/>
        <v>152.84</v>
      </c>
      <c r="U258" s="403">
        <f t="shared" si="171"/>
        <v>191.05</v>
      </c>
      <c r="V258" s="403">
        <f t="shared" si="171"/>
        <v>152.84</v>
      </c>
      <c r="W258" s="403">
        <f t="shared" si="171"/>
        <v>152.84</v>
      </c>
      <c r="X258" s="323"/>
      <c r="Y258" s="403">
        <f t="shared" ref="Y258:AC264" si="172">D258*$J258*(1+$K258%)</f>
        <v>101</v>
      </c>
      <c r="Z258" s="403">
        <f t="shared" si="172"/>
        <v>101</v>
      </c>
      <c r="AA258" s="403">
        <f t="shared" si="172"/>
        <v>126.25</v>
      </c>
      <c r="AB258" s="403">
        <f t="shared" si="172"/>
        <v>101</v>
      </c>
      <c r="AC258" s="403">
        <f t="shared" si="172"/>
        <v>101</v>
      </c>
    </row>
    <row r="259" spans="1:29" ht="22.5">
      <c r="A259" s="689">
        <v>25</v>
      </c>
      <c r="B259" s="417" t="s">
        <v>489</v>
      </c>
      <c r="C259" s="689" t="s">
        <v>482</v>
      </c>
      <c r="D259" s="566"/>
      <c r="E259" s="566"/>
      <c r="F259" s="566"/>
      <c r="G259" s="569"/>
      <c r="H259" s="566"/>
      <c r="I259" s="567">
        <f t="shared" si="153"/>
        <v>216.39</v>
      </c>
      <c r="J259" s="567">
        <f>'附件4-8甲供材料清单'!K42</f>
        <v>195</v>
      </c>
      <c r="K259" s="567">
        <v>1</v>
      </c>
      <c r="L259" s="567">
        <v>19.440000000000001</v>
      </c>
      <c r="M259" s="402">
        <f t="shared" si="166"/>
        <v>0</v>
      </c>
      <c r="N259" s="402">
        <f t="shared" si="167"/>
        <v>0</v>
      </c>
      <c r="O259" s="402">
        <f t="shared" si="168"/>
        <v>0</v>
      </c>
      <c r="P259" s="402">
        <f t="shared" si="169"/>
        <v>0</v>
      </c>
      <c r="Q259" s="402">
        <f t="shared" si="170"/>
        <v>0</v>
      </c>
      <c r="R259" s="409" t="s">
        <v>244</v>
      </c>
      <c r="S259" s="455">
        <f t="shared" si="171"/>
        <v>0</v>
      </c>
      <c r="T259" s="403">
        <f t="shared" si="171"/>
        <v>0</v>
      </c>
      <c r="U259" s="403">
        <f t="shared" si="171"/>
        <v>0</v>
      </c>
      <c r="V259" s="403">
        <f t="shared" si="171"/>
        <v>0</v>
      </c>
      <c r="W259" s="403">
        <f t="shared" si="171"/>
        <v>0</v>
      </c>
      <c r="X259" s="323"/>
      <c r="Y259" s="403">
        <f t="shared" si="172"/>
        <v>0</v>
      </c>
      <c r="Z259" s="403">
        <f t="shared" si="172"/>
        <v>0</v>
      </c>
      <c r="AA259" s="403">
        <f t="shared" si="172"/>
        <v>0</v>
      </c>
      <c r="AB259" s="403">
        <f t="shared" si="172"/>
        <v>0</v>
      </c>
      <c r="AC259" s="403">
        <f t="shared" si="172"/>
        <v>0</v>
      </c>
    </row>
    <row r="260" spans="1:29" ht="22.5">
      <c r="A260" s="689">
        <v>26</v>
      </c>
      <c r="B260" s="417" t="s">
        <v>490</v>
      </c>
      <c r="C260" s="689" t="s">
        <v>482</v>
      </c>
      <c r="D260" s="566">
        <v>2</v>
      </c>
      <c r="E260" s="566">
        <v>1</v>
      </c>
      <c r="F260" s="566">
        <v>2</v>
      </c>
      <c r="G260" s="566">
        <v>2</v>
      </c>
      <c r="H260" s="566">
        <v>2</v>
      </c>
      <c r="I260" s="567">
        <f t="shared" si="153"/>
        <v>33.159999999999997</v>
      </c>
      <c r="J260" s="567">
        <f>'附件4-8甲供材料清单'!K47</f>
        <v>20</v>
      </c>
      <c r="K260" s="567">
        <v>1</v>
      </c>
      <c r="L260" s="567">
        <v>12.96</v>
      </c>
      <c r="M260" s="402">
        <f t="shared" si="166"/>
        <v>66.319999999999993</v>
      </c>
      <c r="N260" s="402">
        <f t="shared" si="167"/>
        <v>33.159999999999997</v>
      </c>
      <c r="O260" s="402">
        <f t="shared" si="168"/>
        <v>66.319999999999993</v>
      </c>
      <c r="P260" s="402">
        <f t="shared" si="169"/>
        <v>66.319999999999993</v>
      </c>
      <c r="Q260" s="402">
        <f t="shared" si="170"/>
        <v>66.319999999999993</v>
      </c>
      <c r="R260" s="409" t="s">
        <v>244</v>
      </c>
      <c r="S260" s="455">
        <f t="shared" si="171"/>
        <v>66.319999999999993</v>
      </c>
      <c r="T260" s="403">
        <f t="shared" si="171"/>
        <v>33.159999999999997</v>
      </c>
      <c r="U260" s="403">
        <f t="shared" si="171"/>
        <v>66.319999999999993</v>
      </c>
      <c r="V260" s="403">
        <f t="shared" si="171"/>
        <v>66.319999999999993</v>
      </c>
      <c r="W260" s="403">
        <f t="shared" si="171"/>
        <v>66.319999999999993</v>
      </c>
      <c r="X260" s="323"/>
      <c r="Y260" s="403">
        <f t="shared" si="172"/>
        <v>40.4</v>
      </c>
      <c r="Z260" s="403">
        <f t="shared" si="172"/>
        <v>20.2</v>
      </c>
      <c r="AA260" s="403">
        <f t="shared" si="172"/>
        <v>40.4</v>
      </c>
      <c r="AB260" s="403">
        <f t="shared" si="172"/>
        <v>40.4</v>
      </c>
      <c r="AC260" s="403">
        <f t="shared" si="172"/>
        <v>40.4</v>
      </c>
    </row>
    <row r="261" spans="1:29" ht="22.5">
      <c r="A261" s="689">
        <v>27</v>
      </c>
      <c r="B261" s="417" t="s">
        <v>491</v>
      </c>
      <c r="C261" s="689" t="s">
        <v>482</v>
      </c>
      <c r="D261" s="566">
        <v>4</v>
      </c>
      <c r="E261" s="566">
        <v>2</v>
      </c>
      <c r="F261" s="566">
        <v>4</v>
      </c>
      <c r="G261" s="566">
        <v>2</v>
      </c>
      <c r="H261" s="566">
        <v>4</v>
      </c>
      <c r="I261" s="567">
        <f t="shared" si="153"/>
        <v>38.21</v>
      </c>
      <c r="J261" s="567">
        <f>'附件4-8甲供材料清单'!K46</f>
        <v>25</v>
      </c>
      <c r="K261" s="567">
        <v>1</v>
      </c>
      <c r="L261" s="567">
        <v>12.96</v>
      </c>
      <c r="M261" s="402">
        <f t="shared" si="166"/>
        <v>152.84</v>
      </c>
      <c r="N261" s="402">
        <f t="shared" si="167"/>
        <v>76.42</v>
      </c>
      <c r="O261" s="402">
        <f t="shared" si="168"/>
        <v>152.84</v>
      </c>
      <c r="P261" s="402">
        <f t="shared" si="169"/>
        <v>76.42</v>
      </c>
      <c r="Q261" s="402">
        <f t="shared" si="170"/>
        <v>152.84</v>
      </c>
      <c r="R261" s="409" t="s">
        <v>244</v>
      </c>
      <c r="S261" s="455">
        <f t="shared" si="171"/>
        <v>152.84</v>
      </c>
      <c r="T261" s="403">
        <f t="shared" si="171"/>
        <v>76.42</v>
      </c>
      <c r="U261" s="403">
        <f t="shared" si="171"/>
        <v>152.84</v>
      </c>
      <c r="V261" s="403">
        <f t="shared" si="171"/>
        <v>76.42</v>
      </c>
      <c r="W261" s="403">
        <f t="shared" si="171"/>
        <v>152.84</v>
      </c>
      <c r="X261" s="323"/>
      <c r="Y261" s="403">
        <f t="shared" si="172"/>
        <v>101</v>
      </c>
      <c r="Z261" s="403">
        <f t="shared" si="172"/>
        <v>50.5</v>
      </c>
      <c r="AA261" s="403">
        <f t="shared" si="172"/>
        <v>101</v>
      </c>
      <c r="AB261" s="403">
        <f t="shared" si="172"/>
        <v>50.5</v>
      </c>
      <c r="AC261" s="403">
        <f t="shared" si="172"/>
        <v>101</v>
      </c>
    </row>
    <row r="262" spans="1:29" ht="22.5">
      <c r="A262" s="689">
        <v>28</v>
      </c>
      <c r="B262" s="417" t="s">
        <v>492</v>
      </c>
      <c r="C262" s="689" t="s">
        <v>482</v>
      </c>
      <c r="D262" s="566">
        <v>4</v>
      </c>
      <c r="E262" s="566">
        <v>2</v>
      </c>
      <c r="F262" s="566">
        <v>2</v>
      </c>
      <c r="G262" s="566">
        <v>2</v>
      </c>
      <c r="H262" s="566">
        <v>4</v>
      </c>
      <c r="I262" s="567">
        <f t="shared" si="153"/>
        <v>60.849999999999994</v>
      </c>
      <c r="J262" s="567">
        <f>'附件4-8甲供材料清单'!K44</f>
        <v>41</v>
      </c>
      <c r="K262" s="567">
        <v>1</v>
      </c>
      <c r="L262" s="567">
        <v>19.440000000000001</v>
      </c>
      <c r="M262" s="402">
        <f t="shared" si="166"/>
        <v>243.39999999999998</v>
      </c>
      <c r="N262" s="402">
        <f t="shared" si="167"/>
        <v>121.69999999999999</v>
      </c>
      <c r="O262" s="402">
        <f t="shared" si="168"/>
        <v>121.69999999999999</v>
      </c>
      <c r="P262" s="402">
        <f t="shared" si="169"/>
        <v>121.69999999999999</v>
      </c>
      <c r="Q262" s="402">
        <f t="shared" si="170"/>
        <v>243.39999999999998</v>
      </c>
      <c r="R262" s="409" t="s">
        <v>244</v>
      </c>
      <c r="S262" s="455">
        <f t="shared" si="171"/>
        <v>243.39999999999998</v>
      </c>
      <c r="T262" s="403">
        <f t="shared" si="171"/>
        <v>121.69999999999999</v>
      </c>
      <c r="U262" s="403">
        <f t="shared" si="171"/>
        <v>121.69999999999999</v>
      </c>
      <c r="V262" s="403">
        <f t="shared" si="171"/>
        <v>121.69999999999999</v>
      </c>
      <c r="W262" s="403">
        <f t="shared" si="171"/>
        <v>243.39999999999998</v>
      </c>
      <c r="X262" s="323"/>
      <c r="Y262" s="403">
        <f t="shared" si="172"/>
        <v>165.64000000000001</v>
      </c>
      <c r="Z262" s="403">
        <f t="shared" si="172"/>
        <v>82.820000000000007</v>
      </c>
      <c r="AA262" s="403">
        <f t="shared" si="172"/>
        <v>82.820000000000007</v>
      </c>
      <c r="AB262" s="403">
        <f t="shared" si="172"/>
        <v>82.820000000000007</v>
      </c>
      <c r="AC262" s="403">
        <f t="shared" si="172"/>
        <v>165.64000000000001</v>
      </c>
    </row>
    <row r="263" spans="1:29" ht="22.5">
      <c r="A263" s="689">
        <v>29</v>
      </c>
      <c r="B263" s="417" t="s">
        <v>493</v>
      </c>
      <c r="C263" s="689" t="s">
        <v>482</v>
      </c>
      <c r="D263" s="566">
        <v>0</v>
      </c>
      <c r="E263" s="566">
        <v>0</v>
      </c>
      <c r="F263" s="566">
        <v>3</v>
      </c>
      <c r="G263" s="566">
        <v>1</v>
      </c>
      <c r="H263" s="566">
        <v>0</v>
      </c>
      <c r="I263" s="567">
        <f t="shared" si="153"/>
        <v>29.12</v>
      </c>
      <c r="J263" s="567">
        <f>'附件4-8甲供材料清单'!K45</f>
        <v>16</v>
      </c>
      <c r="K263" s="567">
        <v>1</v>
      </c>
      <c r="L263" s="567">
        <v>12.96</v>
      </c>
      <c r="M263" s="402">
        <f t="shared" si="166"/>
        <v>0</v>
      </c>
      <c r="N263" s="402">
        <f t="shared" si="167"/>
        <v>0</v>
      </c>
      <c r="O263" s="402">
        <f t="shared" si="168"/>
        <v>87.36</v>
      </c>
      <c r="P263" s="402">
        <f t="shared" si="169"/>
        <v>29.12</v>
      </c>
      <c r="Q263" s="402">
        <f t="shared" si="170"/>
        <v>0</v>
      </c>
      <c r="R263" s="409" t="s">
        <v>244</v>
      </c>
      <c r="S263" s="455">
        <f t="shared" si="171"/>
        <v>0</v>
      </c>
      <c r="T263" s="403">
        <f t="shared" si="171"/>
        <v>0</v>
      </c>
      <c r="U263" s="403">
        <f t="shared" si="171"/>
        <v>87.36</v>
      </c>
      <c r="V263" s="403">
        <f t="shared" si="171"/>
        <v>29.12</v>
      </c>
      <c r="W263" s="403">
        <f t="shared" si="171"/>
        <v>0</v>
      </c>
      <c r="X263" s="323"/>
      <c r="Y263" s="403">
        <f t="shared" si="172"/>
        <v>0</v>
      </c>
      <c r="Z263" s="403">
        <f t="shared" si="172"/>
        <v>0</v>
      </c>
      <c r="AA263" s="403">
        <f t="shared" si="172"/>
        <v>48.480000000000004</v>
      </c>
      <c r="AB263" s="403">
        <f t="shared" si="172"/>
        <v>16.16</v>
      </c>
      <c r="AC263" s="403">
        <f t="shared" si="172"/>
        <v>0</v>
      </c>
    </row>
    <row r="264" spans="1:29" ht="22.5">
      <c r="A264" s="689">
        <v>30</v>
      </c>
      <c r="B264" s="417" t="s">
        <v>494</v>
      </c>
      <c r="C264" s="422" t="s">
        <v>320</v>
      </c>
      <c r="D264" s="566">
        <v>2</v>
      </c>
      <c r="E264" s="566">
        <v>1</v>
      </c>
      <c r="F264" s="566">
        <v>1</v>
      </c>
      <c r="G264" s="566">
        <v>1</v>
      </c>
      <c r="H264" s="566">
        <v>2</v>
      </c>
      <c r="I264" s="567">
        <f t="shared" si="153"/>
        <v>111.49000000000001</v>
      </c>
      <c r="J264" s="567">
        <f>'附件4-8甲供材料清单'!K49</f>
        <v>89</v>
      </c>
      <c r="K264" s="567">
        <v>1</v>
      </c>
      <c r="L264" s="567">
        <v>21.6</v>
      </c>
      <c r="M264" s="402">
        <f t="shared" si="166"/>
        <v>222.98000000000002</v>
      </c>
      <c r="N264" s="402">
        <f t="shared" si="167"/>
        <v>111.49000000000001</v>
      </c>
      <c r="O264" s="402">
        <f t="shared" si="168"/>
        <v>111.49000000000001</v>
      </c>
      <c r="P264" s="402">
        <f t="shared" si="169"/>
        <v>111.49000000000001</v>
      </c>
      <c r="Q264" s="402">
        <f t="shared" si="170"/>
        <v>222.98000000000002</v>
      </c>
      <c r="R264" s="409" t="s">
        <v>244</v>
      </c>
      <c r="S264" s="455">
        <f t="shared" si="171"/>
        <v>222.98000000000002</v>
      </c>
      <c r="T264" s="403">
        <f t="shared" si="171"/>
        <v>111.49000000000001</v>
      </c>
      <c r="U264" s="403">
        <f t="shared" si="171"/>
        <v>111.49000000000001</v>
      </c>
      <c r="V264" s="403">
        <f t="shared" si="171"/>
        <v>111.49000000000001</v>
      </c>
      <c r="W264" s="403">
        <f t="shared" si="171"/>
        <v>222.98000000000002</v>
      </c>
      <c r="X264" s="323"/>
      <c r="Y264" s="403">
        <f t="shared" si="172"/>
        <v>179.78</v>
      </c>
      <c r="Z264" s="403">
        <f t="shared" si="172"/>
        <v>89.89</v>
      </c>
      <c r="AA264" s="403">
        <f t="shared" si="172"/>
        <v>89.89</v>
      </c>
      <c r="AB264" s="403">
        <f t="shared" si="172"/>
        <v>89.89</v>
      </c>
      <c r="AC264" s="403">
        <f t="shared" si="172"/>
        <v>179.78</v>
      </c>
    </row>
    <row r="265" spans="1:29">
      <c r="A265" s="689">
        <v>31</v>
      </c>
      <c r="B265" s="417" t="s">
        <v>495</v>
      </c>
      <c r="C265" s="422" t="s">
        <v>235</v>
      </c>
      <c r="D265" s="566">
        <v>0</v>
      </c>
      <c r="E265" s="566">
        <v>0</v>
      </c>
      <c r="F265" s="566">
        <v>0</v>
      </c>
      <c r="G265" s="566">
        <v>1.3</v>
      </c>
      <c r="H265" s="566">
        <v>0</v>
      </c>
      <c r="I265" s="567">
        <f t="shared" ref="I265" si="173">J265+J265*K265%+L265</f>
        <v>48.31</v>
      </c>
      <c r="J265" s="567">
        <v>35</v>
      </c>
      <c r="K265" s="567">
        <v>1</v>
      </c>
      <c r="L265" s="567">
        <v>12.96</v>
      </c>
      <c r="M265" s="402">
        <f t="shared" si="166"/>
        <v>0</v>
      </c>
      <c r="N265" s="402">
        <f t="shared" si="167"/>
        <v>0</v>
      </c>
      <c r="O265" s="402">
        <f t="shared" si="168"/>
        <v>0</v>
      </c>
      <c r="P265" s="402">
        <f t="shared" si="169"/>
        <v>62.803000000000004</v>
      </c>
      <c r="Q265" s="402">
        <f t="shared" si="170"/>
        <v>0</v>
      </c>
      <c r="R265" s="409"/>
      <c r="S265" s="455"/>
      <c r="T265" s="403"/>
      <c r="U265" s="403"/>
      <c r="V265" s="403"/>
      <c r="W265" s="403"/>
      <c r="X265" s="323"/>
      <c r="Y265" s="423"/>
      <c r="Z265" s="423"/>
      <c r="AA265" s="423"/>
      <c r="AB265" s="423"/>
      <c r="AC265" s="423"/>
    </row>
    <row r="266" spans="1:29" ht="22.5">
      <c r="A266" s="689">
        <v>32</v>
      </c>
      <c r="B266" s="417" t="s">
        <v>496</v>
      </c>
      <c r="C266" s="422" t="s">
        <v>235</v>
      </c>
      <c r="D266" s="566">
        <v>703.08</v>
      </c>
      <c r="E266" s="566">
        <v>1580.22</v>
      </c>
      <c r="F266" s="566">
        <v>1462.34</v>
      </c>
      <c r="G266" s="566">
        <v>444.36</v>
      </c>
      <c r="H266" s="566">
        <v>703.08</v>
      </c>
      <c r="I266" s="567">
        <f t="shared" ref="I266:I289" si="174">J266+J266*K266%+L266</f>
        <v>2.5352000000000001</v>
      </c>
      <c r="J266" s="567">
        <f>'附件4-8甲供材料清单'!K110</f>
        <v>1.47</v>
      </c>
      <c r="K266" s="567">
        <v>16</v>
      </c>
      <c r="L266" s="567">
        <v>0.83</v>
      </c>
      <c r="M266" s="402">
        <f t="shared" si="166"/>
        <v>1782.4484160000002</v>
      </c>
      <c r="N266" s="402">
        <f t="shared" si="167"/>
        <v>4006.1737440000002</v>
      </c>
      <c r="O266" s="402">
        <f t="shared" si="168"/>
        <v>3707.324368</v>
      </c>
      <c r="P266" s="402">
        <f t="shared" si="169"/>
        <v>1126.5414720000001</v>
      </c>
      <c r="Q266" s="402">
        <f t="shared" si="170"/>
        <v>1782.4484160000002</v>
      </c>
      <c r="R266" s="409" t="s">
        <v>244</v>
      </c>
      <c r="S266" s="455">
        <f t="shared" ref="S266:W269" si="175">M266</f>
        <v>1782.4484160000002</v>
      </c>
      <c r="T266" s="403">
        <f t="shared" si="175"/>
        <v>4006.1737440000002</v>
      </c>
      <c r="U266" s="403">
        <f t="shared" si="175"/>
        <v>3707.324368</v>
      </c>
      <c r="V266" s="403">
        <f t="shared" si="175"/>
        <v>1126.5414720000001</v>
      </c>
      <c r="W266" s="403">
        <f t="shared" si="175"/>
        <v>1782.4484160000002</v>
      </c>
      <c r="X266" s="323"/>
      <c r="Y266" s="403">
        <f t="shared" ref="Y266:AC269" si="176">D266*$J266*(1+$K266%)</f>
        <v>1198.892016</v>
      </c>
      <c r="Z266" s="403">
        <f t="shared" si="176"/>
        <v>2694.591144</v>
      </c>
      <c r="AA266" s="403">
        <f t="shared" si="176"/>
        <v>2493.5821679999999</v>
      </c>
      <c r="AB266" s="403">
        <f t="shared" si="176"/>
        <v>757.72267199999999</v>
      </c>
      <c r="AC266" s="403">
        <f t="shared" si="176"/>
        <v>1198.892016</v>
      </c>
    </row>
    <row r="267" spans="1:29" ht="22.5">
      <c r="A267" s="689">
        <v>33</v>
      </c>
      <c r="B267" s="417" t="s">
        <v>497</v>
      </c>
      <c r="C267" s="422" t="s">
        <v>235</v>
      </c>
      <c r="D267" s="566">
        <v>301.32</v>
      </c>
      <c r="E267" s="566">
        <v>677.24</v>
      </c>
      <c r="F267" s="566">
        <v>626.72</v>
      </c>
      <c r="G267" s="566">
        <v>190.44</v>
      </c>
      <c r="H267" s="566">
        <v>301.32</v>
      </c>
      <c r="I267" s="567">
        <f t="shared" si="174"/>
        <v>3.4909999999999997</v>
      </c>
      <c r="J267" s="567">
        <f>'附件4-8甲供材料清单'!K114</f>
        <v>2.31</v>
      </c>
      <c r="K267" s="567">
        <v>10</v>
      </c>
      <c r="L267" s="567">
        <v>0.95</v>
      </c>
      <c r="M267" s="402">
        <f t="shared" si="166"/>
        <v>1051.9081199999998</v>
      </c>
      <c r="N267" s="402">
        <f t="shared" si="167"/>
        <v>2364.2448399999998</v>
      </c>
      <c r="O267" s="402">
        <f t="shared" si="168"/>
        <v>2187.87952</v>
      </c>
      <c r="P267" s="402">
        <f t="shared" si="169"/>
        <v>664.82603999999992</v>
      </c>
      <c r="Q267" s="402">
        <f t="shared" si="170"/>
        <v>1051.9081199999998</v>
      </c>
      <c r="R267" s="409" t="s">
        <v>244</v>
      </c>
      <c r="S267" s="455">
        <f t="shared" si="175"/>
        <v>1051.9081199999998</v>
      </c>
      <c r="T267" s="403">
        <f t="shared" si="175"/>
        <v>2364.2448399999998</v>
      </c>
      <c r="U267" s="403">
        <f t="shared" si="175"/>
        <v>2187.87952</v>
      </c>
      <c r="V267" s="403">
        <f t="shared" si="175"/>
        <v>664.82603999999992</v>
      </c>
      <c r="W267" s="403">
        <f t="shared" si="175"/>
        <v>1051.9081199999998</v>
      </c>
      <c r="X267" s="323"/>
      <c r="Y267" s="403">
        <f t="shared" si="176"/>
        <v>765.65412000000015</v>
      </c>
      <c r="Z267" s="403">
        <f t="shared" si="176"/>
        <v>1720.8668400000004</v>
      </c>
      <c r="AA267" s="403">
        <f t="shared" si="176"/>
        <v>1592.4955200000002</v>
      </c>
      <c r="AB267" s="403">
        <f t="shared" si="176"/>
        <v>483.90804000000003</v>
      </c>
      <c r="AC267" s="403">
        <f t="shared" si="176"/>
        <v>765.65412000000015</v>
      </c>
    </row>
    <row r="268" spans="1:29" ht="33.75">
      <c r="A268" s="689">
        <v>34</v>
      </c>
      <c r="B268" s="417" t="s">
        <v>498</v>
      </c>
      <c r="C268" s="422" t="s">
        <v>235</v>
      </c>
      <c r="D268" s="566">
        <v>1</v>
      </c>
      <c r="E268" s="566">
        <v>1</v>
      </c>
      <c r="F268" s="566">
        <v>1</v>
      </c>
      <c r="G268" s="566">
        <f>(93+48+35)*1.1</f>
        <v>193.60000000000002</v>
      </c>
      <c r="H268" s="566">
        <v>1</v>
      </c>
      <c r="I268" s="567">
        <f t="shared" si="174"/>
        <v>7.0295000000000005</v>
      </c>
      <c r="J268" s="567">
        <f>'附件4-8甲供材料清单'!K116</f>
        <v>1.19</v>
      </c>
      <c r="K268" s="567">
        <v>5</v>
      </c>
      <c r="L268" s="567">
        <v>5.78</v>
      </c>
      <c r="M268" s="402">
        <f t="shared" si="166"/>
        <v>7.0295000000000005</v>
      </c>
      <c r="N268" s="402">
        <f t="shared" si="167"/>
        <v>7.0295000000000005</v>
      </c>
      <c r="O268" s="402">
        <f t="shared" si="168"/>
        <v>7.0295000000000005</v>
      </c>
      <c r="P268" s="402">
        <f t="shared" si="169"/>
        <v>1360.9112000000002</v>
      </c>
      <c r="Q268" s="402">
        <f t="shared" si="170"/>
        <v>7.0295000000000005</v>
      </c>
      <c r="R268" s="409" t="s">
        <v>499</v>
      </c>
      <c r="S268" s="455">
        <f t="shared" si="175"/>
        <v>7.0295000000000005</v>
      </c>
      <c r="T268" s="403">
        <f t="shared" si="175"/>
        <v>7.0295000000000005</v>
      </c>
      <c r="U268" s="403">
        <f t="shared" si="175"/>
        <v>7.0295000000000005</v>
      </c>
      <c r="V268" s="403">
        <f t="shared" si="175"/>
        <v>1360.9112000000002</v>
      </c>
      <c r="W268" s="403">
        <f t="shared" si="175"/>
        <v>7.0295000000000005</v>
      </c>
      <c r="X268" s="323"/>
      <c r="Y268" s="403">
        <f t="shared" si="176"/>
        <v>1.2495000000000001</v>
      </c>
      <c r="Z268" s="403">
        <f t="shared" si="176"/>
        <v>1.2495000000000001</v>
      </c>
      <c r="AA268" s="403">
        <f t="shared" si="176"/>
        <v>1.2495000000000001</v>
      </c>
      <c r="AB268" s="403">
        <f t="shared" si="176"/>
        <v>241.90320000000003</v>
      </c>
      <c r="AC268" s="403">
        <f t="shared" si="176"/>
        <v>1.2495000000000001</v>
      </c>
    </row>
    <row r="269" spans="1:29" ht="33.75">
      <c r="A269" s="689">
        <v>35</v>
      </c>
      <c r="B269" s="417" t="s">
        <v>500</v>
      </c>
      <c r="C269" s="422" t="s">
        <v>235</v>
      </c>
      <c r="D269" s="566">
        <v>1</v>
      </c>
      <c r="E269" s="566">
        <v>1</v>
      </c>
      <c r="F269" s="566">
        <v>1</v>
      </c>
      <c r="G269" s="566">
        <f>32*1.1</f>
        <v>35.200000000000003</v>
      </c>
      <c r="H269" s="566">
        <v>1</v>
      </c>
      <c r="I269" s="567">
        <f t="shared" si="174"/>
        <v>7.6910000000000007</v>
      </c>
      <c r="J269" s="567">
        <f>'附件4-8甲供材料清单'!K117</f>
        <v>1.82</v>
      </c>
      <c r="K269" s="567">
        <v>5</v>
      </c>
      <c r="L269" s="567">
        <v>5.78</v>
      </c>
      <c r="M269" s="402">
        <f t="shared" si="166"/>
        <v>7.6910000000000007</v>
      </c>
      <c r="N269" s="402">
        <f t="shared" si="167"/>
        <v>7.6910000000000007</v>
      </c>
      <c r="O269" s="402">
        <f t="shared" si="168"/>
        <v>7.6910000000000007</v>
      </c>
      <c r="P269" s="402">
        <f t="shared" si="169"/>
        <v>270.72320000000002</v>
      </c>
      <c r="Q269" s="402">
        <f t="shared" si="170"/>
        <v>7.6910000000000007</v>
      </c>
      <c r="R269" s="409" t="s">
        <v>499</v>
      </c>
      <c r="S269" s="455">
        <f t="shared" si="175"/>
        <v>7.6910000000000007</v>
      </c>
      <c r="T269" s="403">
        <f t="shared" si="175"/>
        <v>7.6910000000000007</v>
      </c>
      <c r="U269" s="403">
        <f t="shared" si="175"/>
        <v>7.6910000000000007</v>
      </c>
      <c r="V269" s="403">
        <f t="shared" si="175"/>
        <v>270.72320000000002</v>
      </c>
      <c r="W269" s="403">
        <f t="shared" si="175"/>
        <v>7.6910000000000007</v>
      </c>
      <c r="X269" s="323"/>
      <c r="Y269" s="403">
        <f t="shared" si="176"/>
        <v>1.9110000000000003</v>
      </c>
      <c r="Z269" s="403">
        <f t="shared" si="176"/>
        <v>1.9110000000000003</v>
      </c>
      <c r="AA269" s="403">
        <f t="shared" si="176"/>
        <v>1.9110000000000003</v>
      </c>
      <c r="AB269" s="403">
        <f t="shared" si="176"/>
        <v>67.267200000000017</v>
      </c>
      <c r="AC269" s="403">
        <f t="shared" si="176"/>
        <v>1.9110000000000003</v>
      </c>
    </row>
    <row r="270" spans="1:29" ht="22.5">
      <c r="A270" s="689">
        <v>36</v>
      </c>
      <c r="B270" s="417" t="s">
        <v>501</v>
      </c>
      <c r="C270" s="422" t="s">
        <v>235</v>
      </c>
      <c r="D270" s="566">
        <v>10</v>
      </c>
      <c r="E270" s="566">
        <v>10</v>
      </c>
      <c r="F270" s="566">
        <v>10</v>
      </c>
      <c r="G270" s="566">
        <v>2</v>
      </c>
      <c r="H270" s="566">
        <v>10</v>
      </c>
      <c r="I270" s="567">
        <f t="shared" si="174"/>
        <v>7.5</v>
      </c>
      <c r="J270" s="567">
        <v>2</v>
      </c>
      <c r="K270" s="567">
        <v>5</v>
      </c>
      <c r="L270" s="567">
        <v>5.4</v>
      </c>
      <c r="M270" s="402">
        <f t="shared" si="166"/>
        <v>75</v>
      </c>
      <c r="N270" s="402">
        <f t="shared" si="167"/>
        <v>75</v>
      </c>
      <c r="O270" s="402">
        <f t="shared" si="168"/>
        <v>75</v>
      </c>
      <c r="P270" s="402">
        <f t="shared" si="169"/>
        <v>15</v>
      </c>
      <c r="Q270" s="402">
        <f t="shared" si="170"/>
        <v>75</v>
      </c>
      <c r="R270" s="409"/>
      <c r="S270" s="455"/>
      <c r="T270" s="403"/>
      <c r="U270" s="403"/>
      <c r="V270" s="403"/>
      <c r="W270" s="403"/>
      <c r="X270" s="323"/>
      <c r="Y270" s="423"/>
      <c r="Z270" s="423"/>
      <c r="AA270" s="423"/>
      <c r="AB270" s="423"/>
      <c r="AC270" s="423"/>
    </row>
    <row r="271" spans="1:29" ht="22.5">
      <c r="A271" s="689">
        <v>37</v>
      </c>
      <c r="B271" s="417" t="s">
        <v>502</v>
      </c>
      <c r="C271" s="418" t="s">
        <v>235</v>
      </c>
      <c r="D271" s="569"/>
      <c r="E271" s="569"/>
      <c r="F271" s="566"/>
      <c r="G271" s="569"/>
      <c r="H271" s="569"/>
      <c r="I271" s="567">
        <f t="shared" si="174"/>
        <v>3.92</v>
      </c>
      <c r="J271" s="567">
        <f>'附件4-8甲供材料清单'!K115</f>
        <v>2.7</v>
      </c>
      <c r="K271" s="567">
        <v>10</v>
      </c>
      <c r="L271" s="567">
        <v>0.95</v>
      </c>
      <c r="M271" s="402">
        <f t="shared" si="166"/>
        <v>0</v>
      </c>
      <c r="N271" s="402">
        <f t="shared" si="167"/>
        <v>0</v>
      </c>
      <c r="O271" s="402">
        <f t="shared" si="168"/>
        <v>0</v>
      </c>
      <c r="P271" s="402">
        <f t="shared" si="169"/>
        <v>0</v>
      </c>
      <c r="Q271" s="402">
        <f t="shared" si="170"/>
        <v>0</v>
      </c>
      <c r="R271" s="409" t="s">
        <v>244</v>
      </c>
      <c r="S271" s="455">
        <f>M271</f>
        <v>0</v>
      </c>
      <c r="T271" s="403">
        <f>N271</f>
        <v>0</v>
      </c>
      <c r="U271" s="403">
        <f>O271</f>
        <v>0</v>
      </c>
      <c r="V271" s="403">
        <f>P271</f>
        <v>0</v>
      </c>
      <c r="W271" s="403">
        <f>Q271</f>
        <v>0</v>
      </c>
      <c r="X271" s="323"/>
      <c r="Y271" s="403">
        <f>D271*$J271*(1+$K271%)</f>
        <v>0</v>
      </c>
      <c r="Z271" s="403">
        <f>E271*$J271*(1+$K271%)</f>
        <v>0</v>
      </c>
      <c r="AA271" s="403">
        <f>F271*$J271*(1+$K271%)</f>
        <v>0</v>
      </c>
      <c r="AB271" s="403">
        <f>G271*$J271*(1+$K271%)</f>
        <v>0</v>
      </c>
      <c r="AC271" s="403">
        <f>H271*$J271*(1+$K271%)</f>
        <v>0</v>
      </c>
    </row>
    <row r="272" spans="1:29" ht="33.75">
      <c r="A272" s="689">
        <v>38</v>
      </c>
      <c r="B272" s="417" t="s">
        <v>503</v>
      </c>
      <c r="C272" s="418" t="s">
        <v>270</v>
      </c>
      <c r="D272" s="566">
        <v>2</v>
      </c>
      <c r="E272" s="566">
        <v>2</v>
      </c>
      <c r="F272" s="566">
        <v>2</v>
      </c>
      <c r="G272" s="566">
        <v>1</v>
      </c>
      <c r="H272" s="566">
        <v>2</v>
      </c>
      <c r="I272" s="567">
        <f t="shared" si="174"/>
        <v>10.059999999999999</v>
      </c>
      <c r="J272" s="567">
        <v>1.2</v>
      </c>
      <c r="K272" s="567">
        <v>0</v>
      </c>
      <c r="L272" s="567">
        <v>8.86</v>
      </c>
      <c r="M272" s="402">
        <f t="shared" si="166"/>
        <v>20.119999999999997</v>
      </c>
      <c r="N272" s="402">
        <f t="shared" si="167"/>
        <v>20.119999999999997</v>
      </c>
      <c r="O272" s="402">
        <f t="shared" si="168"/>
        <v>20.119999999999997</v>
      </c>
      <c r="P272" s="402">
        <f t="shared" si="169"/>
        <v>10.059999999999999</v>
      </c>
      <c r="Q272" s="402">
        <f t="shared" si="170"/>
        <v>20.119999999999997</v>
      </c>
      <c r="R272" s="409" t="s">
        <v>504</v>
      </c>
      <c r="S272" s="455"/>
      <c r="T272" s="403"/>
      <c r="U272" s="403"/>
      <c r="V272" s="403"/>
      <c r="W272" s="403"/>
      <c r="X272" s="323"/>
      <c r="Y272" s="423"/>
      <c r="Z272" s="423"/>
      <c r="AA272" s="423"/>
      <c r="AB272" s="423"/>
      <c r="AC272" s="423"/>
    </row>
    <row r="273" spans="1:29" ht="22.5">
      <c r="A273" s="689">
        <v>39</v>
      </c>
      <c r="B273" s="417" t="s">
        <v>505</v>
      </c>
      <c r="C273" s="418" t="s">
        <v>320</v>
      </c>
      <c r="D273" s="566">
        <v>6</v>
      </c>
      <c r="E273" s="566">
        <v>6</v>
      </c>
      <c r="F273" s="566">
        <v>6</v>
      </c>
      <c r="G273" s="566">
        <v>2</v>
      </c>
      <c r="H273" s="566">
        <v>6</v>
      </c>
      <c r="I273" s="567">
        <f t="shared" si="174"/>
        <v>18.82</v>
      </c>
      <c r="J273" s="567">
        <f>'附件4-8甲供材料清单'!K108</f>
        <v>12</v>
      </c>
      <c r="K273" s="567">
        <v>1</v>
      </c>
      <c r="L273" s="567">
        <v>6.7</v>
      </c>
      <c r="M273" s="402">
        <f t="shared" si="166"/>
        <v>112.92</v>
      </c>
      <c r="N273" s="402">
        <f t="shared" si="167"/>
        <v>112.92</v>
      </c>
      <c r="O273" s="402">
        <f t="shared" si="168"/>
        <v>112.92</v>
      </c>
      <c r="P273" s="402">
        <f t="shared" si="169"/>
        <v>37.64</v>
      </c>
      <c r="Q273" s="402">
        <f t="shared" si="170"/>
        <v>112.92</v>
      </c>
      <c r="R273" s="409" t="s">
        <v>244</v>
      </c>
      <c r="S273" s="455">
        <f t="shared" ref="S273:W275" si="177">M273</f>
        <v>112.92</v>
      </c>
      <c r="T273" s="403">
        <f t="shared" si="177"/>
        <v>112.92</v>
      </c>
      <c r="U273" s="403">
        <f t="shared" si="177"/>
        <v>112.92</v>
      </c>
      <c r="V273" s="403">
        <f t="shared" si="177"/>
        <v>37.64</v>
      </c>
      <c r="W273" s="403">
        <f t="shared" si="177"/>
        <v>112.92</v>
      </c>
      <c r="X273" s="323"/>
      <c r="Y273" s="403">
        <f t="shared" ref="Y273:AC275" si="178">D273*$J273*(1+$K273%)</f>
        <v>72.72</v>
      </c>
      <c r="Z273" s="403">
        <f t="shared" si="178"/>
        <v>72.72</v>
      </c>
      <c r="AA273" s="403">
        <f t="shared" si="178"/>
        <v>72.72</v>
      </c>
      <c r="AB273" s="403">
        <f t="shared" si="178"/>
        <v>24.240000000000002</v>
      </c>
      <c r="AC273" s="403">
        <f t="shared" si="178"/>
        <v>72.72</v>
      </c>
    </row>
    <row r="274" spans="1:29" ht="22.5">
      <c r="A274" s="689">
        <v>40</v>
      </c>
      <c r="B274" s="417" t="s">
        <v>507</v>
      </c>
      <c r="C274" s="418" t="s">
        <v>320</v>
      </c>
      <c r="D274" s="566">
        <v>4</v>
      </c>
      <c r="E274" s="566">
        <v>4</v>
      </c>
      <c r="F274" s="566">
        <v>4</v>
      </c>
      <c r="G274" s="566">
        <v>2</v>
      </c>
      <c r="H274" s="566">
        <v>4</v>
      </c>
      <c r="I274" s="567">
        <f t="shared" si="174"/>
        <v>20.84</v>
      </c>
      <c r="J274" s="567">
        <f>'附件4-8甲供材料清单'!K109</f>
        <v>14</v>
      </c>
      <c r="K274" s="567">
        <v>1</v>
      </c>
      <c r="L274" s="567">
        <v>6.7</v>
      </c>
      <c r="M274" s="402">
        <f t="shared" si="166"/>
        <v>83.36</v>
      </c>
      <c r="N274" s="402">
        <f t="shared" si="167"/>
        <v>83.36</v>
      </c>
      <c r="O274" s="402">
        <f t="shared" si="168"/>
        <v>83.36</v>
      </c>
      <c r="P274" s="402">
        <f t="shared" si="169"/>
        <v>41.68</v>
      </c>
      <c r="Q274" s="402">
        <f t="shared" si="170"/>
        <v>83.36</v>
      </c>
      <c r="R274" s="409" t="s">
        <v>244</v>
      </c>
      <c r="S274" s="455">
        <f t="shared" si="177"/>
        <v>83.36</v>
      </c>
      <c r="T274" s="403">
        <f t="shared" si="177"/>
        <v>83.36</v>
      </c>
      <c r="U274" s="403">
        <f t="shared" si="177"/>
        <v>83.36</v>
      </c>
      <c r="V274" s="403">
        <f t="shared" si="177"/>
        <v>41.68</v>
      </c>
      <c r="W274" s="403">
        <f t="shared" si="177"/>
        <v>83.36</v>
      </c>
      <c r="X274" s="323"/>
      <c r="Y274" s="403">
        <f t="shared" si="178"/>
        <v>56.56</v>
      </c>
      <c r="Z274" s="403">
        <f t="shared" si="178"/>
        <v>56.56</v>
      </c>
      <c r="AA274" s="403">
        <f t="shared" si="178"/>
        <v>56.56</v>
      </c>
      <c r="AB274" s="403">
        <f t="shared" si="178"/>
        <v>28.28</v>
      </c>
      <c r="AC274" s="403">
        <f t="shared" si="178"/>
        <v>56.56</v>
      </c>
    </row>
    <row r="275" spans="1:29" ht="22.5">
      <c r="A275" s="689">
        <v>41</v>
      </c>
      <c r="B275" s="417" t="s">
        <v>508</v>
      </c>
      <c r="C275" s="418" t="s">
        <v>320</v>
      </c>
      <c r="D275" s="566">
        <v>1</v>
      </c>
      <c r="E275" s="566">
        <v>1</v>
      </c>
      <c r="F275" s="566">
        <v>1</v>
      </c>
      <c r="G275" s="566">
        <v>2</v>
      </c>
      <c r="H275" s="566">
        <v>1</v>
      </c>
      <c r="I275" s="567">
        <f t="shared" si="174"/>
        <v>38.01</v>
      </c>
      <c r="J275" s="567">
        <f>'附件4-8甲供材料清单'!K107</f>
        <v>31</v>
      </c>
      <c r="K275" s="567">
        <v>1</v>
      </c>
      <c r="L275" s="567">
        <v>6.7</v>
      </c>
      <c r="M275" s="402">
        <f t="shared" si="166"/>
        <v>38.01</v>
      </c>
      <c r="N275" s="402">
        <f t="shared" si="167"/>
        <v>38.01</v>
      </c>
      <c r="O275" s="402">
        <f t="shared" si="168"/>
        <v>38.01</v>
      </c>
      <c r="P275" s="402">
        <f t="shared" si="169"/>
        <v>76.02</v>
      </c>
      <c r="Q275" s="402">
        <f t="shared" si="170"/>
        <v>38.01</v>
      </c>
      <c r="R275" s="409" t="s">
        <v>244</v>
      </c>
      <c r="S275" s="455">
        <f t="shared" si="177"/>
        <v>38.01</v>
      </c>
      <c r="T275" s="403">
        <f t="shared" si="177"/>
        <v>38.01</v>
      </c>
      <c r="U275" s="403">
        <f t="shared" si="177"/>
        <v>38.01</v>
      </c>
      <c r="V275" s="403">
        <f t="shared" si="177"/>
        <v>76.02</v>
      </c>
      <c r="W275" s="403">
        <f t="shared" si="177"/>
        <v>38.01</v>
      </c>
      <c r="X275" s="323"/>
      <c r="Y275" s="403">
        <f t="shared" si="178"/>
        <v>31.31</v>
      </c>
      <c r="Z275" s="403">
        <f t="shared" si="178"/>
        <v>31.31</v>
      </c>
      <c r="AA275" s="403">
        <f t="shared" si="178"/>
        <v>31.31</v>
      </c>
      <c r="AB275" s="403">
        <f t="shared" si="178"/>
        <v>62.62</v>
      </c>
      <c r="AC275" s="403">
        <f t="shared" si="178"/>
        <v>31.31</v>
      </c>
    </row>
    <row r="276" spans="1:29" ht="18" customHeight="1">
      <c r="A276" s="689">
        <v>42</v>
      </c>
      <c r="B276" s="417" t="s">
        <v>509</v>
      </c>
      <c r="C276" s="418" t="s">
        <v>235</v>
      </c>
      <c r="D276" s="566">
        <v>0</v>
      </c>
      <c r="E276" s="566">
        <v>0</v>
      </c>
      <c r="F276" s="566">
        <v>0</v>
      </c>
      <c r="G276" s="566">
        <f>7.3*1.05</f>
        <v>7.665</v>
      </c>
      <c r="H276" s="566">
        <v>0</v>
      </c>
      <c r="I276" s="567">
        <f t="shared" si="174"/>
        <v>1.448</v>
      </c>
      <c r="J276" s="411">
        <v>0.57999999999999996</v>
      </c>
      <c r="K276" s="567">
        <v>10</v>
      </c>
      <c r="L276" s="567">
        <v>0.81</v>
      </c>
      <c r="M276" s="402">
        <f t="shared" si="166"/>
        <v>0</v>
      </c>
      <c r="N276" s="402">
        <f t="shared" si="167"/>
        <v>0</v>
      </c>
      <c r="O276" s="402">
        <f t="shared" si="168"/>
        <v>0</v>
      </c>
      <c r="P276" s="402">
        <f t="shared" si="169"/>
        <v>11.09892</v>
      </c>
      <c r="Q276" s="402">
        <f t="shared" si="170"/>
        <v>0</v>
      </c>
      <c r="R276" s="409"/>
      <c r="S276" s="455"/>
      <c r="T276" s="403"/>
      <c r="U276" s="403"/>
      <c r="V276" s="403"/>
      <c r="W276" s="403"/>
      <c r="X276" s="323"/>
      <c r="Y276" s="423"/>
      <c r="Z276" s="423"/>
      <c r="AA276" s="423"/>
      <c r="AB276" s="423"/>
      <c r="AC276" s="423"/>
    </row>
    <row r="277" spans="1:29" ht="18" customHeight="1">
      <c r="A277" s="689">
        <v>43</v>
      </c>
      <c r="B277" s="417" t="s">
        <v>510</v>
      </c>
      <c r="C277" s="418" t="s">
        <v>235</v>
      </c>
      <c r="D277" s="566">
        <v>0</v>
      </c>
      <c r="E277" s="566">
        <v>0</v>
      </c>
      <c r="F277" s="566">
        <v>0</v>
      </c>
      <c r="G277" s="566">
        <f>6.3*1.05</f>
        <v>6.6150000000000002</v>
      </c>
      <c r="H277" s="566">
        <v>0</v>
      </c>
      <c r="I277" s="567">
        <f t="shared" si="174"/>
        <v>2.6139999999999999</v>
      </c>
      <c r="J277" s="411">
        <v>1.64</v>
      </c>
      <c r="K277" s="567">
        <v>10</v>
      </c>
      <c r="L277" s="567">
        <v>0.81</v>
      </c>
      <c r="M277" s="402">
        <f t="shared" si="166"/>
        <v>0</v>
      </c>
      <c r="N277" s="402">
        <f t="shared" si="167"/>
        <v>0</v>
      </c>
      <c r="O277" s="402">
        <f t="shared" si="168"/>
        <v>0</v>
      </c>
      <c r="P277" s="402">
        <f t="shared" si="169"/>
        <v>17.291609999999999</v>
      </c>
      <c r="Q277" s="402">
        <f t="shared" si="170"/>
        <v>0</v>
      </c>
      <c r="R277" s="423"/>
      <c r="S277" s="455"/>
      <c r="T277" s="403"/>
      <c r="U277" s="403"/>
      <c r="V277" s="403"/>
      <c r="W277" s="403"/>
      <c r="X277" s="323"/>
      <c r="Y277" s="423"/>
      <c r="Z277" s="423"/>
      <c r="AA277" s="423"/>
      <c r="AB277" s="423"/>
      <c r="AC277" s="423"/>
    </row>
    <row r="278" spans="1:29" ht="18" customHeight="1">
      <c r="A278" s="689">
        <v>44</v>
      </c>
      <c r="B278" s="417" t="s">
        <v>511</v>
      </c>
      <c r="C278" s="418" t="s">
        <v>235</v>
      </c>
      <c r="D278" s="566">
        <v>1</v>
      </c>
      <c r="E278" s="566">
        <v>1</v>
      </c>
      <c r="F278" s="566">
        <v>1</v>
      </c>
      <c r="G278" s="566">
        <f>3*1.05</f>
        <v>3.1500000000000004</v>
      </c>
      <c r="H278" s="566">
        <v>1</v>
      </c>
      <c r="I278" s="567">
        <f t="shared" si="174"/>
        <v>3.0100000000000002</v>
      </c>
      <c r="J278" s="411">
        <v>2</v>
      </c>
      <c r="K278" s="567">
        <v>10</v>
      </c>
      <c r="L278" s="567">
        <v>0.81</v>
      </c>
      <c r="M278" s="402">
        <f t="shared" si="166"/>
        <v>3.0100000000000002</v>
      </c>
      <c r="N278" s="402">
        <f t="shared" si="167"/>
        <v>3.0100000000000002</v>
      </c>
      <c r="O278" s="402">
        <f t="shared" si="168"/>
        <v>3.0100000000000002</v>
      </c>
      <c r="P278" s="402">
        <f t="shared" si="169"/>
        <v>9.4815000000000023</v>
      </c>
      <c r="Q278" s="402">
        <f t="shared" si="170"/>
        <v>3.0100000000000002</v>
      </c>
      <c r="R278" s="423"/>
      <c r="S278" s="455"/>
      <c r="T278" s="403"/>
      <c r="U278" s="403"/>
      <c r="V278" s="403"/>
      <c r="W278" s="403"/>
      <c r="X278" s="323"/>
      <c r="Y278" s="423"/>
      <c r="Z278" s="423"/>
      <c r="AA278" s="423"/>
      <c r="AB278" s="423"/>
      <c r="AC278" s="423"/>
    </row>
    <row r="279" spans="1:29" ht="18" customHeight="1">
      <c r="A279" s="689" t="s">
        <v>278</v>
      </c>
      <c r="B279" s="407" t="s">
        <v>512</v>
      </c>
      <c r="C279" s="689"/>
      <c r="D279" s="566"/>
      <c r="E279" s="566"/>
      <c r="F279" s="566"/>
      <c r="G279" s="566"/>
      <c r="H279" s="566"/>
      <c r="I279" s="567">
        <f t="shared" si="174"/>
        <v>0</v>
      </c>
      <c r="J279" s="567"/>
      <c r="K279" s="567"/>
      <c r="L279" s="567"/>
      <c r="M279" s="402">
        <f t="shared" si="166"/>
        <v>0</v>
      </c>
      <c r="N279" s="402">
        <f t="shared" si="167"/>
        <v>0</v>
      </c>
      <c r="O279" s="402">
        <f t="shared" si="168"/>
        <v>0</v>
      </c>
      <c r="P279" s="402">
        <f t="shared" si="169"/>
        <v>0</v>
      </c>
      <c r="Q279" s="402">
        <f t="shared" si="170"/>
        <v>0</v>
      </c>
      <c r="R279" s="409"/>
      <c r="S279" s="455"/>
      <c r="T279" s="403"/>
      <c r="U279" s="403"/>
      <c r="V279" s="403"/>
      <c r="W279" s="403"/>
      <c r="X279" s="323"/>
      <c r="Y279" s="403"/>
      <c r="Z279" s="403"/>
      <c r="AA279" s="403"/>
      <c r="AB279" s="403"/>
      <c r="AC279" s="403"/>
    </row>
    <row r="280" spans="1:29" ht="22.5">
      <c r="A280" s="689">
        <v>1</v>
      </c>
      <c r="B280" s="407" t="s">
        <v>513</v>
      </c>
      <c r="C280" s="689" t="s">
        <v>235</v>
      </c>
      <c r="D280" s="566"/>
      <c r="E280" s="566"/>
      <c r="F280" s="566"/>
      <c r="G280" s="566"/>
      <c r="H280" s="566"/>
      <c r="I280" s="567">
        <f t="shared" si="174"/>
        <v>15.9895</v>
      </c>
      <c r="J280" s="567">
        <f>'附件4-8甲供材料清单'!K180</f>
        <v>5.59</v>
      </c>
      <c r="K280" s="567">
        <v>5</v>
      </c>
      <c r="L280" s="567">
        <v>10.119999999999999</v>
      </c>
      <c r="M280" s="402">
        <f t="shared" si="166"/>
        <v>0</v>
      </c>
      <c r="N280" s="402">
        <f t="shared" si="167"/>
        <v>0</v>
      </c>
      <c r="O280" s="402">
        <f t="shared" si="168"/>
        <v>0</v>
      </c>
      <c r="P280" s="402">
        <f t="shared" si="169"/>
        <v>0</v>
      </c>
      <c r="Q280" s="402">
        <f t="shared" si="170"/>
        <v>0</v>
      </c>
      <c r="R280" s="409" t="s">
        <v>244</v>
      </c>
      <c r="S280" s="455">
        <f t="shared" ref="S280:S288" si="179">M280</f>
        <v>0</v>
      </c>
      <c r="T280" s="403">
        <f t="shared" ref="T280:T288" si="180">N280</f>
        <v>0</v>
      </c>
      <c r="U280" s="403">
        <f t="shared" ref="U280:U288" si="181">O280</f>
        <v>0</v>
      </c>
      <c r="V280" s="403">
        <f t="shared" ref="V280:V288" si="182">P280</f>
        <v>0</v>
      </c>
      <c r="W280" s="403">
        <f t="shared" ref="W280:W288" si="183">Q280</f>
        <v>0</v>
      </c>
      <c r="X280" s="323"/>
      <c r="Y280" s="403">
        <f t="shared" ref="Y280:Y288" si="184">D280*$J280*(1+$K280%)</f>
        <v>0</v>
      </c>
      <c r="Z280" s="403">
        <f t="shared" ref="Z280:Z288" si="185">E280*$J280*(1+$K280%)</f>
        <v>0</v>
      </c>
      <c r="AA280" s="403">
        <f t="shared" ref="AA280:AA288" si="186">F280*$J280*(1+$K280%)</f>
        <v>0</v>
      </c>
      <c r="AB280" s="403">
        <f t="shared" ref="AB280:AB288" si="187">G280*$J280*(1+$K280%)</f>
        <v>0</v>
      </c>
      <c r="AC280" s="403">
        <f t="shared" ref="AC280:AC288" si="188">H280*$J280*(1+$K280%)</f>
        <v>0</v>
      </c>
    </row>
    <row r="281" spans="1:29" ht="22.5">
      <c r="A281" s="689">
        <v>2</v>
      </c>
      <c r="B281" s="407" t="s">
        <v>514</v>
      </c>
      <c r="C281" s="689" t="s">
        <v>235</v>
      </c>
      <c r="D281" s="566"/>
      <c r="E281" s="566"/>
      <c r="F281" s="566"/>
      <c r="G281" s="566"/>
      <c r="H281" s="566"/>
      <c r="I281" s="567">
        <f t="shared" si="174"/>
        <v>21.648499999999999</v>
      </c>
      <c r="J281" s="567">
        <f>'附件4-8甲供材料清单'!K181</f>
        <v>8.57</v>
      </c>
      <c r="K281" s="567">
        <v>5</v>
      </c>
      <c r="L281" s="567">
        <v>12.65</v>
      </c>
      <c r="M281" s="402">
        <f t="shared" si="166"/>
        <v>0</v>
      </c>
      <c r="N281" s="402">
        <f t="shared" si="167"/>
        <v>0</v>
      </c>
      <c r="O281" s="402">
        <f t="shared" si="168"/>
        <v>0</v>
      </c>
      <c r="P281" s="402">
        <f t="shared" si="169"/>
        <v>0</v>
      </c>
      <c r="Q281" s="402">
        <f t="shared" si="170"/>
        <v>0</v>
      </c>
      <c r="R281" s="409" t="s">
        <v>244</v>
      </c>
      <c r="S281" s="455">
        <f t="shared" si="179"/>
        <v>0</v>
      </c>
      <c r="T281" s="403">
        <f t="shared" si="180"/>
        <v>0</v>
      </c>
      <c r="U281" s="403">
        <f t="shared" si="181"/>
        <v>0</v>
      </c>
      <c r="V281" s="403">
        <f t="shared" si="182"/>
        <v>0</v>
      </c>
      <c r="W281" s="403">
        <f t="shared" si="183"/>
        <v>0</v>
      </c>
      <c r="X281" s="323"/>
      <c r="Y281" s="403">
        <f t="shared" si="184"/>
        <v>0</v>
      </c>
      <c r="Z281" s="403">
        <f t="shared" si="185"/>
        <v>0</v>
      </c>
      <c r="AA281" s="403">
        <f t="shared" si="186"/>
        <v>0</v>
      </c>
      <c r="AB281" s="403">
        <f t="shared" si="187"/>
        <v>0</v>
      </c>
      <c r="AC281" s="403">
        <f t="shared" si="188"/>
        <v>0</v>
      </c>
    </row>
    <row r="282" spans="1:29" ht="22.5">
      <c r="A282" s="689">
        <v>3</v>
      </c>
      <c r="B282" s="407" t="s">
        <v>515</v>
      </c>
      <c r="C282" s="689" t="s">
        <v>235</v>
      </c>
      <c r="D282" s="566"/>
      <c r="E282" s="566"/>
      <c r="F282" s="566"/>
      <c r="G282" s="566"/>
      <c r="H282" s="566"/>
      <c r="I282" s="567">
        <f t="shared" si="174"/>
        <v>35.170999999999999</v>
      </c>
      <c r="J282" s="567">
        <f>'附件4-8甲供材料清单'!K182</f>
        <v>15.42</v>
      </c>
      <c r="K282" s="567">
        <v>5</v>
      </c>
      <c r="L282" s="567">
        <v>18.98</v>
      </c>
      <c r="M282" s="402">
        <f t="shared" si="166"/>
        <v>0</v>
      </c>
      <c r="N282" s="402">
        <f t="shared" si="167"/>
        <v>0</v>
      </c>
      <c r="O282" s="402">
        <f t="shared" si="168"/>
        <v>0</v>
      </c>
      <c r="P282" s="402">
        <f t="shared" si="169"/>
        <v>0</v>
      </c>
      <c r="Q282" s="402">
        <f t="shared" si="170"/>
        <v>0</v>
      </c>
      <c r="R282" s="409" t="s">
        <v>244</v>
      </c>
      <c r="S282" s="455">
        <f t="shared" si="179"/>
        <v>0</v>
      </c>
      <c r="T282" s="403">
        <f t="shared" si="180"/>
        <v>0</v>
      </c>
      <c r="U282" s="403">
        <f t="shared" si="181"/>
        <v>0</v>
      </c>
      <c r="V282" s="403">
        <f t="shared" si="182"/>
        <v>0</v>
      </c>
      <c r="W282" s="403">
        <f t="shared" si="183"/>
        <v>0</v>
      </c>
      <c r="X282" s="323"/>
      <c r="Y282" s="403">
        <f t="shared" si="184"/>
        <v>0</v>
      </c>
      <c r="Z282" s="403">
        <f t="shared" si="185"/>
        <v>0</v>
      </c>
      <c r="AA282" s="403">
        <f t="shared" si="186"/>
        <v>0</v>
      </c>
      <c r="AB282" s="403">
        <f t="shared" si="187"/>
        <v>0</v>
      </c>
      <c r="AC282" s="403">
        <f t="shared" si="188"/>
        <v>0</v>
      </c>
    </row>
    <row r="283" spans="1:29" ht="22.5">
      <c r="A283" s="689">
        <v>4</v>
      </c>
      <c r="B283" s="407" t="s">
        <v>516</v>
      </c>
      <c r="C283" s="418" t="s">
        <v>235</v>
      </c>
      <c r="D283" s="566"/>
      <c r="E283" s="566"/>
      <c r="F283" s="566"/>
      <c r="G283" s="566"/>
      <c r="H283" s="566"/>
      <c r="I283" s="567">
        <f t="shared" si="174"/>
        <v>12.965</v>
      </c>
      <c r="J283" s="571">
        <f>'附件4-8甲供材料清单'!K174</f>
        <v>3.3</v>
      </c>
      <c r="K283" s="567">
        <v>5</v>
      </c>
      <c r="L283" s="571">
        <v>9.5</v>
      </c>
      <c r="M283" s="402">
        <f t="shared" si="166"/>
        <v>0</v>
      </c>
      <c r="N283" s="402">
        <f t="shared" si="167"/>
        <v>0</v>
      </c>
      <c r="O283" s="402">
        <f t="shared" si="168"/>
        <v>0</v>
      </c>
      <c r="P283" s="402">
        <f t="shared" si="169"/>
        <v>0</v>
      </c>
      <c r="Q283" s="402">
        <f t="shared" si="170"/>
        <v>0</v>
      </c>
      <c r="R283" s="409" t="s">
        <v>244</v>
      </c>
      <c r="S283" s="455">
        <f t="shared" si="179"/>
        <v>0</v>
      </c>
      <c r="T283" s="403">
        <f t="shared" si="180"/>
        <v>0</v>
      </c>
      <c r="U283" s="403">
        <f t="shared" si="181"/>
        <v>0</v>
      </c>
      <c r="V283" s="403">
        <f t="shared" si="182"/>
        <v>0</v>
      </c>
      <c r="W283" s="403">
        <f t="shared" si="183"/>
        <v>0</v>
      </c>
      <c r="X283" s="323"/>
      <c r="Y283" s="403">
        <f t="shared" si="184"/>
        <v>0</v>
      </c>
      <c r="Z283" s="403">
        <f t="shared" si="185"/>
        <v>0</v>
      </c>
      <c r="AA283" s="403">
        <f t="shared" si="186"/>
        <v>0</v>
      </c>
      <c r="AB283" s="403">
        <f t="shared" si="187"/>
        <v>0</v>
      </c>
      <c r="AC283" s="403">
        <f t="shared" si="188"/>
        <v>0</v>
      </c>
    </row>
    <row r="284" spans="1:29" ht="22.5">
      <c r="A284" s="689">
        <v>5</v>
      </c>
      <c r="B284" s="407" t="s">
        <v>517</v>
      </c>
      <c r="C284" s="418" t="s">
        <v>235</v>
      </c>
      <c r="D284" s="566"/>
      <c r="E284" s="566"/>
      <c r="F284" s="566"/>
      <c r="G284" s="566"/>
      <c r="H284" s="566"/>
      <c r="I284" s="567">
        <f t="shared" si="174"/>
        <v>11.967500000000001</v>
      </c>
      <c r="J284" s="571">
        <f>'附件4-8甲供材料清单'!K175</f>
        <v>2.35</v>
      </c>
      <c r="K284" s="567">
        <v>5</v>
      </c>
      <c r="L284" s="571">
        <v>9.5</v>
      </c>
      <c r="M284" s="402">
        <f t="shared" si="166"/>
        <v>0</v>
      </c>
      <c r="N284" s="402">
        <f t="shared" si="167"/>
        <v>0</v>
      </c>
      <c r="O284" s="402">
        <f t="shared" si="168"/>
        <v>0</v>
      </c>
      <c r="P284" s="402">
        <f t="shared" si="169"/>
        <v>0</v>
      </c>
      <c r="Q284" s="402">
        <f t="shared" si="170"/>
        <v>0</v>
      </c>
      <c r="R284" s="409" t="s">
        <v>244</v>
      </c>
      <c r="S284" s="455">
        <f t="shared" si="179"/>
        <v>0</v>
      </c>
      <c r="T284" s="403">
        <f t="shared" si="180"/>
        <v>0</v>
      </c>
      <c r="U284" s="403">
        <f t="shared" si="181"/>
        <v>0</v>
      </c>
      <c r="V284" s="403">
        <f t="shared" si="182"/>
        <v>0</v>
      </c>
      <c r="W284" s="403">
        <f t="shared" si="183"/>
        <v>0</v>
      </c>
      <c r="X284" s="323"/>
      <c r="Y284" s="403">
        <f t="shared" si="184"/>
        <v>0</v>
      </c>
      <c r="Z284" s="403">
        <f t="shared" si="185"/>
        <v>0</v>
      </c>
      <c r="AA284" s="403">
        <f t="shared" si="186"/>
        <v>0</v>
      </c>
      <c r="AB284" s="403">
        <f t="shared" si="187"/>
        <v>0</v>
      </c>
      <c r="AC284" s="403">
        <f t="shared" si="188"/>
        <v>0</v>
      </c>
    </row>
    <row r="285" spans="1:29" ht="22.5">
      <c r="A285" s="689">
        <v>6</v>
      </c>
      <c r="B285" s="407" t="s">
        <v>518</v>
      </c>
      <c r="C285" s="418" t="s">
        <v>235</v>
      </c>
      <c r="D285" s="566"/>
      <c r="E285" s="566"/>
      <c r="F285" s="566"/>
      <c r="G285" s="566"/>
      <c r="H285" s="566"/>
      <c r="I285" s="567">
        <f t="shared" si="174"/>
        <v>12.965</v>
      </c>
      <c r="J285" s="571">
        <f>'附件4-8甲供材料清单'!K177</f>
        <v>3.3</v>
      </c>
      <c r="K285" s="567">
        <v>5</v>
      </c>
      <c r="L285" s="571">
        <v>9.5</v>
      </c>
      <c r="M285" s="402">
        <f t="shared" si="166"/>
        <v>0</v>
      </c>
      <c r="N285" s="402">
        <f t="shared" si="167"/>
        <v>0</v>
      </c>
      <c r="O285" s="402">
        <f t="shared" si="168"/>
        <v>0</v>
      </c>
      <c r="P285" s="402">
        <f t="shared" si="169"/>
        <v>0</v>
      </c>
      <c r="Q285" s="402">
        <f t="shared" si="170"/>
        <v>0</v>
      </c>
      <c r="R285" s="409" t="s">
        <v>244</v>
      </c>
      <c r="S285" s="455">
        <f t="shared" si="179"/>
        <v>0</v>
      </c>
      <c r="T285" s="403">
        <f t="shared" si="180"/>
        <v>0</v>
      </c>
      <c r="U285" s="403">
        <f t="shared" si="181"/>
        <v>0</v>
      </c>
      <c r="V285" s="403">
        <f t="shared" si="182"/>
        <v>0</v>
      </c>
      <c r="W285" s="403">
        <f t="shared" si="183"/>
        <v>0</v>
      </c>
      <c r="X285" s="323"/>
      <c r="Y285" s="403">
        <f t="shared" si="184"/>
        <v>0</v>
      </c>
      <c r="Z285" s="403">
        <f t="shared" si="185"/>
        <v>0</v>
      </c>
      <c r="AA285" s="403">
        <f t="shared" si="186"/>
        <v>0</v>
      </c>
      <c r="AB285" s="403">
        <f t="shared" si="187"/>
        <v>0</v>
      </c>
      <c r="AC285" s="403">
        <f t="shared" si="188"/>
        <v>0</v>
      </c>
    </row>
    <row r="286" spans="1:29" ht="22.5">
      <c r="A286" s="689">
        <v>7</v>
      </c>
      <c r="B286" s="407" t="s">
        <v>519</v>
      </c>
      <c r="C286" s="418" t="s">
        <v>235</v>
      </c>
      <c r="D286" s="566"/>
      <c r="E286" s="566"/>
      <c r="F286" s="566"/>
      <c r="G286" s="566"/>
      <c r="H286" s="566"/>
      <c r="I286" s="567">
        <f t="shared" si="174"/>
        <v>11.967500000000001</v>
      </c>
      <c r="J286" s="571">
        <f>'附件4-8甲供材料清单'!K178</f>
        <v>2.35</v>
      </c>
      <c r="K286" s="567">
        <v>5</v>
      </c>
      <c r="L286" s="571">
        <v>9.5</v>
      </c>
      <c r="M286" s="402">
        <f t="shared" si="166"/>
        <v>0</v>
      </c>
      <c r="N286" s="402">
        <f t="shared" si="167"/>
        <v>0</v>
      </c>
      <c r="O286" s="402">
        <f t="shared" si="168"/>
        <v>0</v>
      </c>
      <c r="P286" s="402">
        <f t="shared" si="169"/>
        <v>0</v>
      </c>
      <c r="Q286" s="402">
        <f t="shared" si="170"/>
        <v>0</v>
      </c>
      <c r="R286" s="409" t="s">
        <v>244</v>
      </c>
      <c r="S286" s="455">
        <f t="shared" si="179"/>
        <v>0</v>
      </c>
      <c r="T286" s="403">
        <f t="shared" si="180"/>
        <v>0</v>
      </c>
      <c r="U286" s="403">
        <f t="shared" si="181"/>
        <v>0</v>
      </c>
      <c r="V286" s="403">
        <f t="shared" si="182"/>
        <v>0</v>
      </c>
      <c r="W286" s="403">
        <f t="shared" si="183"/>
        <v>0</v>
      </c>
      <c r="X286" s="323"/>
      <c r="Y286" s="403">
        <f t="shared" si="184"/>
        <v>0</v>
      </c>
      <c r="Z286" s="403">
        <f t="shared" si="185"/>
        <v>0</v>
      </c>
      <c r="AA286" s="403">
        <f t="shared" si="186"/>
        <v>0</v>
      </c>
      <c r="AB286" s="403">
        <f t="shared" si="187"/>
        <v>0</v>
      </c>
      <c r="AC286" s="403">
        <f t="shared" si="188"/>
        <v>0</v>
      </c>
    </row>
    <row r="287" spans="1:29" ht="22.5">
      <c r="A287" s="689">
        <v>6</v>
      </c>
      <c r="B287" s="407" t="s">
        <v>520</v>
      </c>
      <c r="C287" s="418" t="s">
        <v>235</v>
      </c>
      <c r="D287" s="566"/>
      <c r="E287" s="566"/>
      <c r="F287" s="566"/>
      <c r="G287" s="566"/>
      <c r="H287" s="566"/>
      <c r="I287" s="567">
        <f t="shared" si="174"/>
        <v>11.547499999999999</v>
      </c>
      <c r="J287" s="571">
        <f>'附件4-8甲供材料清单'!K179</f>
        <v>1.95</v>
      </c>
      <c r="K287" s="567">
        <v>5</v>
      </c>
      <c r="L287" s="571">
        <v>9.5</v>
      </c>
      <c r="M287" s="402">
        <f t="shared" si="166"/>
        <v>0</v>
      </c>
      <c r="N287" s="402">
        <f t="shared" si="167"/>
        <v>0</v>
      </c>
      <c r="O287" s="402">
        <f t="shared" si="168"/>
        <v>0</v>
      </c>
      <c r="P287" s="402">
        <f t="shared" si="169"/>
        <v>0</v>
      </c>
      <c r="Q287" s="402">
        <f t="shared" si="170"/>
        <v>0</v>
      </c>
      <c r="R287" s="409" t="s">
        <v>244</v>
      </c>
      <c r="S287" s="455">
        <f t="shared" si="179"/>
        <v>0</v>
      </c>
      <c r="T287" s="403">
        <f t="shared" si="180"/>
        <v>0</v>
      </c>
      <c r="U287" s="403">
        <f t="shared" si="181"/>
        <v>0</v>
      </c>
      <c r="V287" s="403">
        <f t="shared" si="182"/>
        <v>0</v>
      </c>
      <c r="W287" s="403">
        <f t="shared" si="183"/>
        <v>0</v>
      </c>
      <c r="X287" s="323"/>
      <c r="Y287" s="403">
        <f t="shared" si="184"/>
        <v>0</v>
      </c>
      <c r="Z287" s="403">
        <f t="shared" si="185"/>
        <v>0</v>
      </c>
      <c r="AA287" s="403">
        <f t="shared" si="186"/>
        <v>0</v>
      </c>
      <c r="AB287" s="403">
        <f t="shared" si="187"/>
        <v>0</v>
      </c>
      <c r="AC287" s="403">
        <f t="shared" si="188"/>
        <v>0</v>
      </c>
    </row>
    <row r="288" spans="1:29" ht="22.5">
      <c r="A288" s="689">
        <v>7</v>
      </c>
      <c r="B288" s="407" t="s">
        <v>521</v>
      </c>
      <c r="C288" s="418" t="s">
        <v>235</v>
      </c>
      <c r="D288" s="566"/>
      <c r="E288" s="566"/>
      <c r="F288" s="566"/>
      <c r="G288" s="566"/>
      <c r="H288" s="566"/>
      <c r="I288" s="567">
        <f t="shared" si="174"/>
        <v>11.547499999999999</v>
      </c>
      <c r="J288" s="571">
        <f>'附件4-8甲供材料清单'!K176</f>
        <v>1.95</v>
      </c>
      <c r="K288" s="567">
        <v>5</v>
      </c>
      <c r="L288" s="571">
        <v>9.5</v>
      </c>
      <c r="M288" s="402">
        <f t="shared" si="166"/>
        <v>0</v>
      </c>
      <c r="N288" s="402">
        <f t="shared" si="167"/>
        <v>0</v>
      </c>
      <c r="O288" s="402">
        <f t="shared" si="168"/>
        <v>0</v>
      </c>
      <c r="P288" s="402">
        <f t="shared" si="169"/>
        <v>0</v>
      </c>
      <c r="Q288" s="402">
        <f t="shared" si="170"/>
        <v>0</v>
      </c>
      <c r="R288" s="409" t="s">
        <v>244</v>
      </c>
      <c r="S288" s="455">
        <f t="shared" si="179"/>
        <v>0</v>
      </c>
      <c r="T288" s="403">
        <f t="shared" si="180"/>
        <v>0</v>
      </c>
      <c r="U288" s="403">
        <f t="shared" si="181"/>
        <v>0</v>
      </c>
      <c r="V288" s="403">
        <f t="shared" si="182"/>
        <v>0</v>
      </c>
      <c r="W288" s="403">
        <f t="shared" si="183"/>
        <v>0</v>
      </c>
      <c r="X288" s="323"/>
      <c r="Y288" s="403">
        <f t="shared" si="184"/>
        <v>0</v>
      </c>
      <c r="Z288" s="403">
        <f t="shared" si="185"/>
        <v>0</v>
      </c>
      <c r="AA288" s="403">
        <f t="shared" si="186"/>
        <v>0</v>
      </c>
      <c r="AB288" s="403">
        <f t="shared" si="187"/>
        <v>0</v>
      </c>
      <c r="AC288" s="403">
        <f t="shared" si="188"/>
        <v>0</v>
      </c>
    </row>
    <row r="289" spans="1:29">
      <c r="A289" s="689">
        <v>8</v>
      </c>
      <c r="B289" s="407" t="s">
        <v>522</v>
      </c>
      <c r="C289" s="418" t="s">
        <v>235</v>
      </c>
      <c r="D289" s="566"/>
      <c r="E289" s="566"/>
      <c r="F289" s="566"/>
      <c r="G289" s="566"/>
      <c r="H289" s="566"/>
      <c r="I289" s="567">
        <f t="shared" si="174"/>
        <v>13.950000000000001</v>
      </c>
      <c r="J289" s="411">
        <v>3</v>
      </c>
      <c r="K289" s="567">
        <v>5</v>
      </c>
      <c r="L289" s="567">
        <v>10.8</v>
      </c>
      <c r="M289" s="402">
        <f t="shared" ref="M289:M312" si="189">D289*$I289</f>
        <v>0</v>
      </c>
      <c r="N289" s="402">
        <f t="shared" ref="N289:N312" si="190">E289*$I289</f>
        <v>0</v>
      </c>
      <c r="O289" s="402">
        <f t="shared" ref="O289:O312" si="191">F289*$I289</f>
        <v>0</v>
      </c>
      <c r="P289" s="402">
        <f t="shared" ref="P289:P312" si="192">G289*$I289</f>
        <v>0</v>
      </c>
      <c r="Q289" s="402">
        <f t="shared" ref="Q289:Q312" si="193">H289*$I289</f>
        <v>0</v>
      </c>
      <c r="R289" s="409"/>
      <c r="S289" s="455"/>
      <c r="T289" s="403"/>
      <c r="U289" s="403"/>
      <c r="V289" s="403"/>
      <c r="W289" s="403"/>
      <c r="X289" s="323"/>
      <c r="Y289" s="403"/>
      <c r="Z289" s="403"/>
      <c r="AA289" s="403"/>
      <c r="AB289" s="403"/>
      <c r="AC289" s="403"/>
    </row>
    <row r="290" spans="1:29">
      <c r="A290" s="637"/>
      <c r="B290" s="636" t="s">
        <v>523</v>
      </c>
      <c r="C290" s="637"/>
      <c r="D290" s="714"/>
      <c r="E290" s="714"/>
      <c r="F290" s="714"/>
      <c r="G290" s="714"/>
      <c r="H290" s="714"/>
      <c r="I290" s="713"/>
      <c r="J290" s="713"/>
      <c r="K290" s="713"/>
      <c r="L290" s="713"/>
      <c r="M290" s="639"/>
      <c r="N290" s="639"/>
      <c r="O290" s="639"/>
      <c r="P290" s="639"/>
      <c r="Q290" s="639"/>
      <c r="R290" s="640" t="s">
        <v>1864</v>
      </c>
      <c r="S290" s="455"/>
      <c r="T290" s="403"/>
      <c r="U290" s="403"/>
      <c r="V290" s="403"/>
      <c r="W290" s="403"/>
      <c r="X290" s="323"/>
      <c r="Y290" s="403"/>
      <c r="Z290" s="403"/>
      <c r="AA290" s="403"/>
      <c r="AB290" s="403"/>
      <c r="AC290" s="403"/>
    </row>
    <row r="291" spans="1:29" ht="43.5" customHeight="1">
      <c r="A291" s="424">
        <v>1</v>
      </c>
      <c r="B291" s="425" t="s">
        <v>524</v>
      </c>
      <c r="C291" s="426" t="s">
        <v>231</v>
      </c>
      <c r="D291" s="566">
        <f>26.95-17.13</f>
        <v>9.82</v>
      </c>
      <c r="E291" s="566">
        <f>36.79-11.88-4.09</f>
        <v>20.819999999999997</v>
      </c>
      <c r="F291" s="566">
        <f>41.66-23.11</f>
        <v>18.549999999999997</v>
      </c>
      <c r="G291" s="566">
        <f>20.71-13.19</f>
        <v>7.5200000000000014</v>
      </c>
      <c r="H291" s="566">
        <f>26.95-17.13</f>
        <v>9.82</v>
      </c>
      <c r="I291" s="572">
        <f>J291+J291*K291%+L291</f>
        <v>111.54</v>
      </c>
      <c r="J291" s="572">
        <v>15</v>
      </c>
      <c r="K291" s="572">
        <v>10</v>
      </c>
      <c r="L291" s="567">
        <v>95.04</v>
      </c>
      <c r="M291" s="402">
        <f t="shared" si="189"/>
        <v>1095.3228000000001</v>
      </c>
      <c r="N291" s="402">
        <f t="shared" si="190"/>
        <v>2322.2628</v>
      </c>
      <c r="O291" s="402">
        <f t="shared" si="191"/>
        <v>2069.067</v>
      </c>
      <c r="P291" s="402">
        <f t="shared" si="192"/>
        <v>838.78080000000023</v>
      </c>
      <c r="Q291" s="402">
        <f t="shared" si="193"/>
        <v>1095.3228000000001</v>
      </c>
      <c r="R291" s="425"/>
      <c r="S291" s="455"/>
      <c r="T291" s="403"/>
      <c r="U291" s="403"/>
      <c r="V291" s="403"/>
      <c r="W291" s="403"/>
      <c r="X291" s="323"/>
      <c r="Y291" s="403"/>
      <c r="Z291" s="403"/>
      <c r="AA291" s="403"/>
      <c r="AB291" s="403"/>
      <c r="AC291" s="403"/>
    </row>
    <row r="292" spans="1:29">
      <c r="A292" s="424">
        <v>2</v>
      </c>
      <c r="B292" s="425" t="s">
        <v>525</v>
      </c>
      <c r="C292" s="427" t="s">
        <v>235</v>
      </c>
      <c r="D292" s="566">
        <v>18.5</v>
      </c>
      <c r="E292" s="566">
        <f>14.4+8.3</f>
        <v>22.700000000000003</v>
      </c>
      <c r="F292" s="566">
        <v>20.350000000000001</v>
      </c>
      <c r="G292" s="566">
        <v>15.1</v>
      </c>
      <c r="H292" s="566">
        <v>18.5</v>
      </c>
      <c r="I292" s="572">
        <f t="shared" ref="I292" si="194">J292+J292*K292/100+L292</f>
        <v>13.108000000000001</v>
      </c>
      <c r="J292" s="567">
        <v>4</v>
      </c>
      <c r="K292" s="567">
        <v>9</v>
      </c>
      <c r="L292" s="567">
        <v>8.7479999999999993</v>
      </c>
      <c r="M292" s="402">
        <f t="shared" si="189"/>
        <v>242.49800000000002</v>
      </c>
      <c r="N292" s="402">
        <f t="shared" si="190"/>
        <v>297.55160000000006</v>
      </c>
      <c r="O292" s="402">
        <f t="shared" si="191"/>
        <v>266.74780000000004</v>
      </c>
      <c r="P292" s="402">
        <f t="shared" si="192"/>
        <v>197.9308</v>
      </c>
      <c r="Q292" s="402">
        <f t="shared" si="193"/>
        <v>242.49800000000002</v>
      </c>
      <c r="R292" s="425"/>
      <c r="S292" s="455"/>
      <c r="T292" s="403"/>
      <c r="U292" s="403"/>
      <c r="V292" s="403"/>
      <c r="W292" s="403"/>
      <c r="X292" s="323"/>
      <c r="Y292" s="403"/>
      <c r="Z292" s="403"/>
      <c r="AA292" s="403"/>
      <c r="AB292" s="403"/>
      <c r="AC292" s="403"/>
    </row>
    <row r="293" spans="1:29" ht="45">
      <c r="A293" s="424">
        <v>3</v>
      </c>
      <c r="B293" s="425" t="s">
        <v>526</v>
      </c>
      <c r="C293" s="426" t="s">
        <v>231</v>
      </c>
      <c r="D293" s="566">
        <f>4*0.15</f>
        <v>0.6</v>
      </c>
      <c r="E293" s="566">
        <f>(3+1.3+1.2)*0.15</f>
        <v>0.82499999999999996</v>
      </c>
      <c r="F293" s="566">
        <f>2.7*0.15</f>
        <v>0.40500000000000003</v>
      </c>
      <c r="G293" s="566">
        <f>2.1*0.15</f>
        <v>0.315</v>
      </c>
      <c r="H293" s="566">
        <f>4*0.15</f>
        <v>0.6</v>
      </c>
      <c r="I293" s="572">
        <f>J293+J293*K293/100+L293</f>
        <v>21.43271</v>
      </c>
      <c r="J293" s="572">
        <f>'附件4-8甲供材料清单'!N123</f>
        <v>2.2087100000000004</v>
      </c>
      <c r="K293" s="572"/>
      <c r="L293" s="567">
        <v>19.224</v>
      </c>
      <c r="M293" s="402">
        <f t="shared" si="189"/>
        <v>12.859626</v>
      </c>
      <c r="N293" s="402">
        <f t="shared" si="190"/>
        <v>17.681985749999999</v>
      </c>
      <c r="O293" s="402">
        <f t="shared" si="191"/>
        <v>8.6802475500000007</v>
      </c>
      <c r="P293" s="402">
        <f t="shared" si="192"/>
        <v>6.7513036499999997</v>
      </c>
      <c r="Q293" s="402">
        <f t="shared" si="193"/>
        <v>12.859626</v>
      </c>
      <c r="R293" s="409" t="s">
        <v>244</v>
      </c>
      <c r="S293" s="455">
        <f>M293</f>
        <v>12.859626</v>
      </c>
      <c r="T293" s="403">
        <f>N293</f>
        <v>17.681985749999999</v>
      </c>
      <c r="U293" s="403">
        <f>O293</f>
        <v>8.6802475500000007</v>
      </c>
      <c r="V293" s="403">
        <f>P293</f>
        <v>6.7513036499999997</v>
      </c>
      <c r="W293" s="403">
        <f>Q293</f>
        <v>12.859626</v>
      </c>
      <c r="X293" s="323"/>
      <c r="Y293" s="403">
        <f>D293*$J293*(1+$K293%)</f>
        <v>1.3252260000000002</v>
      </c>
      <c r="Z293" s="403">
        <f>E293*$J293*(1+$K293%)</f>
        <v>1.8221857500000003</v>
      </c>
      <c r="AA293" s="403">
        <f>F293*$J293*(1+$K293%)</f>
        <v>0.89452755000000017</v>
      </c>
      <c r="AB293" s="403">
        <f>G293*$J293*(1+$K293%)</f>
        <v>0.69574365000000016</v>
      </c>
      <c r="AC293" s="403">
        <f>H293*$J293*(1+$K293%)</f>
        <v>1.3252260000000002</v>
      </c>
    </row>
    <row r="294" spans="1:29" ht="22.5">
      <c r="A294" s="424">
        <v>5</v>
      </c>
      <c r="B294" s="425" t="s">
        <v>528</v>
      </c>
      <c r="C294" s="426" t="s">
        <v>231</v>
      </c>
      <c r="D294" s="566">
        <f>'G单元 '!$S$16</f>
        <v>6.8668799999999992</v>
      </c>
      <c r="E294" s="566">
        <f>J单元!$S$16</f>
        <v>6.8668799999999992</v>
      </c>
      <c r="F294" s="566">
        <f>'K单元 '!$S$16</f>
        <v>6.8668799999999992</v>
      </c>
      <c r="G294" s="566">
        <f>'A1单元 '!S16</f>
        <v>7.2394799999999986</v>
      </c>
      <c r="H294" s="566">
        <f>'G单元 '!$S$16</f>
        <v>6.8668799999999992</v>
      </c>
      <c r="I294" s="572">
        <f>J294+J294*K294/100+L294</f>
        <v>228.05</v>
      </c>
      <c r="J294" s="572">
        <v>140</v>
      </c>
      <c r="K294" s="572">
        <v>2</v>
      </c>
      <c r="L294" s="572">
        <v>85.25</v>
      </c>
      <c r="M294" s="402">
        <f t="shared" si="189"/>
        <v>1565.991984</v>
      </c>
      <c r="N294" s="402">
        <f t="shared" si="190"/>
        <v>1565.991984</v>
      </c>
      <c r="O294" s="402">
        <f t="shared" si="191"/>
        <v>1565.991984</v>
      </c>
      <c r="P294" s="402">
        <f t="shared" si="192"/>
        <v>1650.9634139999998</v>
      </c>
      <c r="Q294" s="402">
        <f t="shared" si="193"/>
        <v>1565.991984</v>
      </c>
      <c r="R294" s="425"/>
      <c r="S294" s="455"/>
      <c r="T294" s="403"/>
      <c r="U294" s="403"/>
      <c r="V294" s="403"/>
      <c r="W294" s="403"/>
      <c r="X294" s="323"/>
      <c r="Y294" s="403"/>
      <c r="Z294" s="403"/>
      <c r="AA294" s="403"/>
      <c r="AB294" s="403"/>
      <c r="AC294" s="403"/>
    </row>
    <row r="295" spans="1:29" ht="22.5">
      <c r="A295" s="424">
        <v>6</v>
      </c>
      <c r="B295" s="425" t="s">
        <v>529</v>
      </c>
      <c r="C295" s="428" t="s">
        <v>235</v>
      </c>
      <c r="D295" s="566">
        <f>'G单元 '!$D$16+'G单元 '!$F$16*2</f>
        <v>8.1359999999999992</v>
      </c>
      <c r="E295" s="566">
        <f>J单元!$D$16+J单元!$F$16*2</f>
        <v>8.1359999999999992</v>
      </c>
      <c r="F295" s="566">
        <f>'K单元 '!$D$16+'K单元 '!$F$16*2</f>
        <v>8.1359999999999992</v>
      </c>
      <c r="G295" s="566">
        <f>'A1单元 '!D16+'A1单元 '!F16*2</f>
        <v>8.4059999999999988</v>
      </c>
      <c r="H295" s="566">
        <f>'G单元 '!$D$16+'G单元 '!$F$16*2</f>
        <v>8.1359999999999992</v>
      </c>
      <c r="I295" s="572">
        <f>J295+J295*K295/100+L295</f>
        <v>88.66</v>
      </c>
      <c r="J295" s="572">
        <v>62</v>
      </c>
      <c r="K295" s="572">
        <v>3</v>
      </c>
      <c r="L295" s="572">
        <v>24.8</v>
      </c>
      <c r="M295" s="402">
        <f t="shared" si="189"/>
        <v>721.33775999999989</v>
      </c>
      <c r="N295" s="402">
        <f t="shared" si="190"/>
        <v>721.33775999999989</v>
      </c>
      <c r="O295" s="402">
        <f t="shared" si="191"/>
        <v>721.33775999999989</v>
      </c>
      <c r="P295" s="402">
        <f t="shared" si="192"/>
        <v>745.27595999999983</v>
      </c>
      <c r="Q295" s="402">
        <f t="shared" si="193"/>
        <v>721.33775999999989</v>
      </c>
      <c r="R295" s="425"/>
      <c r="S295" s="455"/>
      <c r="T295" s="403"/>
      <c r="U295" s="403"/>
      <c r="V295" s="403"/>
      <c r="W295" s="403"/>
      <c r="X295" s="323"/>
      <c r="Y295" s="403"/>
      <c r="Z295" s="403"/>
      <c r="AA295" s="403"/>
      <c r="AB295" s="403"/>
      <c r="AC295" s="403"/>
    </row>
    <row r="296" spans="1:29" ht="22.5">
      <c r="A296" s="424">
        <v>7</v>
      </c>
      <c r="B296" s="425" t="s">
        <v>530</v>
      </c>
      <c r="C296" s="428" t="s">
        <v>235</v>
      </c>
      <c r="D296" s="566">
        <f t="shared" ref="D296" si="195">7.66-0.1*2</f>
        <v>7.46</v>
      </c>
      <c r="E296" s="566">
        <f>7.66-0.1*2</f>
        <v>7.46</v>
      </c>
      <c r="F296" s="566">
        <f>7.66-0.1*2</f>
        <v>7.46</v>
      </c>
      <c r="G296" s="566">
        <f>7.66-0.1*2</f>
        <v>7.46</v>
      </c>
      <c r="H296" s="566">
        <f>7.66-0.1*2</f>
        <v>7.46</v>
      </c>
      <c r="I296" s="572">
        <f>J296+J296*K296/100+L296</f>
        <v>45.625999999999998</v>
      </c>
      <c r="J296" s="572">
        <v>36.119999999999997</v>
      </c>
      <c r="K296" s="572">
        <v>5</v>
      </c>
      <c r="L296" s="572">
        <v>7.7</v>
      </c>
      <c r="M296" s="402">
        <f t="shared" si="189"/>
        <v>340.36995999999999</v>
      </c>
      <c r="N296" s="402">
        <f t="shared" si="190"/>
        <v>340.36995999999999</v>
      </c>
      <c r="O296" s="402">
        <f t="shared" si="191"/>
        <v>340.36995999999999</v>
      </c>
      <c r="P296" s="402">
        <f t="shared" si="192"/>
        <v>340.36995999999999</v>
      </c>
      <c r="Q296" s="402">
        <f t="shared" si="193"/>
        <v>340.36995999999999</v>
      </c>
      <c r="R296" s="425"/>
      <c r="S296" s="455"/>
      <c r="T296" s="403"/>
      <c r="U296" s="403"/>
      <c r="V296" s="403"/>
      <c r="W296" s="403"/>
      <c r="X296" s="323"/>
      <c r="Y296" s="403"/>
      <c r="Z296" s="403"/>
      <c r="AA296" s="403"/>
      <c r="AB296" s="403"/>
      <c r="AC296" s="403"/>
    </row>
    <row r="297" spans="1:29" ht="42.75" customHeight="1">
      <c r="A297" s="689" t="s">
        <v>278</v>
      </c>
      <c r="B297" s="407" t="s">
        <v>531</v>
      </c>
      <c r="C297" s="408" t="s">
        <v>231</v>
      </c>
      <c r="D297" s="566">
        <v>0</v>
      </c>
      <c r="E297" s="566">
        <v>1.38</v>
      </c>
      <c r="F297" s="566">
        <v>8.26</v>
      </c>
      <c r="G297" s="566">
        <v>0</v>
      </c>
      <c r="H297" s="566">
        <v>0</v>
      </c>
      <c r="I297" s="567">
        <f t="shared" ref="I297" si="196">J297+J297*K297%+L297</f>
        <v>79.14</v>
      </c>
      <c r="J297" s="567">
        <v>15</v>
      </c>
      <c r="K297" s="567">
        <v>10</v>
      </c>
      <c r="L297" s="567">
        <v>62.64</v>
      </c>
      <c r="M297" s="402">
        <f t="shared" si="189"/>
        <v>0</v>
      </c>
      <c r="N297" s="402">
        <f t="shared" si="190"/>
        <v>109.21319999999999</v>
      </c>
      <c r="O297" s="402">
        <f t="shared" si="191"/>
        <v>653.69640000000004</v>
      </c>
      <c r="P297" s="402">
        <f t="shared" si="192"/>
        <v>0</v>
      </c>
      <c r="Q297" s="402">
        <f t="shared" si="193"/>
        <v>0</v>
      </c>
      <c r="R297" s="409"/>
      <c r="S297" s="455"/>
      <c r="T297" s="403"/>
      <c r="U297" s="403"/>
      <c r="V297" s="403"/>
      <c r="W297" s="403"/>
      <c r="X297" s="323"/>
      <c r="Y297" s="423"/>
      <c r="Z297" s="423"/>
      <c r="AA297" s="423"/>
      <c r="AB297" s="423"/>
      <c r="AC297" s="423"/>
    </row>
    <row r="298" spans="1:29" ht="33.75">
      <c r="A298" s="424">
        <v>8</v>
      </c>
      <c r="B298" s="425" t="s">
        <v>532</v>
      </c>
      <c r="C298" s="428" t="s">
        <v>235</v>
      </c>
      <c r="D298" s="566">
        <v>0</v>
      </c>
      <c r="E298" s="566">
        <v>0</v>
      </c>
      <c r="F298" s="566">
        <v>10</v>
      </c>
      <c r="G298" s="566">
        <v>0</v>
      </c>
      <c r="H298" s="566">
        <v>0</v>
      </c>
      <c r="I298" s="573">
        <f t="shared" ref="I298:I310" si="197">J298+J298*K298/100+L298</f>
        <v>6.8594999999999997</v>
      </c>
      <c r="J298" s="572">
        <f>'附件4-8甲供材料清单'!K119</f>
        <v>1.03</v>
      </c>
      <c r="K298" s="567">
        <v>5</v>
      </c>
      <c r="L298" s="567">
        <v>5.7779999999999996</v>
      </c>
      <c r="M298" s="402">
        <f t="shared" si="189"/>
        <v>0</v>
      </c>
      <c r="N298" s="402">
        <f t="shared" si="190"/>
        <v>0</v>
      </c>
      <c r="O298" s="402">
        <f t="shared" si="191"/>
        <v>68.594999999999999</v>
      </c>
      <c r="P298" s="402">
        <f t="shared" si="192"/>
        <v>0</v>
      </c>
      <c r="Q298" s="402">
        <f t="shared" si="193"/>
        <v>0</v>
      </c>
      <c r="R298" s="430" t="s">
        <v>499</v>
      </c>
      <c r="S298" s="455">
        <f>M298</f>
        <v>0</v>
      </c>
      <c r="T298" s="403">
        <f>N298</f>
        <v>0</v>
      </c>
      <c r="U298" s="403">
        <f>O298</f>
        <v>68.594999999999999</v>
      </c>
      <c r="V298" s="403">
        <f>P298</f>
        <v>0</v>
      </c>
      <c r="W298" s="403">
        <f>Q298</f>
        <v>0</v>
      </c>
      <c r="X298" s="323"/>
      <c r="Y298" s="403">
        <f>D298*$J298*(1+$K298%)</f>
        <v>0</v>
      </c>
      <c r="Z298" s="403">
        <f>E298*$J298*(1+$K298%)</f>
        <v>0</v>
      </c>
      <c r="AA298" s="403">
        <f>F298*$J298*(1+$K298%)</f>
        <v>10.815000000000001</v>
      </c>
      <c r="AB298" s="403">
        <f>G298*$J298*(1+$K298%)</f>
        <v>0</v>
      </c>
      <c r="AC298" s="403">
        <f>H298*$J298*(1+$K298%)</f>
        <v>0</v>
      </c>
    </row>
    <row r="299" spans="1:29" ht="56.25">
      <c r="A299" s="424">
        <v>9</v>
      </c>
      <c r="B299" s="425" t="s">
        <v>534</v>
      </c>
      <c r="C299" s="426" t="s">
        <v>231</v>
      </c>
      <c r="D299" s="566">
        <f>1.8*2.4</f>
        <v>4.32</v>
      </c>
      <c r="E299" s="566">
        <f>3.6*2.4</f>
        <v>8.64</v>
      </c>
      <c r="F299" s="566">
        <f>2.2*2.4</f>
        <v>5.28</v>
      </c>
      <c r="G299" s="566">
        <f t="shared" ref="G299" si="198">1.8*2.4</f>
        <v>4.32</v>
      </c>
      <c r="H299" s="566">
        <f>1.8*2.4</f>
        <v>4.32</v>
      </c>
      <c r="I299" s="573">
        <f t="shared" si="197"/>
        <v>1100</v>
      </c>
      <c r="J299" s="574">
        <f>'附件4-8甲供材料清单'!K242</f>
        <v>1100</v>
      </c>
      <c r="K299" s="572"/>
      <c r="L299" s="572"/>
      <c r="M299" s="402">
        <f t="shared" si="189"/>
        <v>4752</v>
      </c>
      <c r="N299" s="402">
        <f t="shared" si="190"/>
        <v>9504</v>
      </c>
      <c r="O299" s="402">
        <f t="shared" si="191"/>
        <v>5808</v>
      </c>
      <c r="P299" s="402">
        <f t="shared" si="192"/>
        <v>4752</v>
      </c>
      <c r="Q299" s="402">
        <f t="shared" si="193"/>
        <v>4752</v>
      </c>
      <c r="R299" s="425" t="s">
        <v>382</v>
      </c>
      <c r="S299" s="455"/>
      <c r="T299" s="403"/>
      <c r="U299" s="403"/>
      <c r="V299" s="403"/>
      <c r="W299" s="403"/>
      <c r="X299" s="323"/>
      <c r="Y299" s="403"/>
      <c r="Z299" s="403"/>
      <c r="AA299" s="403"/>
      <c r="AB299" s="403"/>
      <c r="AC299" s="403"/>
    </row>
    <row r="300" spans="1:29" ht="22.5">
      <c r="A300" s="424">
        <v>10</v>
      </c>
      <c r="B300" s="425" t="s">
        <v>535</v>
      </c>
      <c r="C300" s="428" t="s">
        <v>320</v>
      </c>
      <c r="D300" s="566">
        <v>4</v>
      </c>
      <c r="E300" s="566">
        <v>5</v>
      </c>
      <c r="F300" s="566">
        <v>4</v>
      </c>
      <c r="G300" s="566">
        <v>2</v>
      </c>
      <c r="H300" s="566">
        <v>4</v>
      </c>
      <c r="I300" s="573">
        <f t="shared" si="197"/>
        <v>104.8355</v>
      </c>
      <c r="J300" s="572">
        <f>'附件4-8甲供材料清单'!K234</f>
        <v>84.55</v>
      </c>
      <c r="K300" s="567">
        <v>1</v>
      </c>
      <c r="L300" s="567">
        <v>19.440000000000001</v>
      </c>
      <c r="M300" s="402">
        <f t="shared" si="189"/>
        <v>419.34199999999998</v>
      </c>
      <c r="N300" s="402">
        <f t="shared" si="190"/>
        <v>524.17750000000001</v>
      </c>
      <c r="O300" s="402">
        <f t="shared" si="191"/>
        <v>419.34199999999998</v>
      </c>
      <c r="P300" s="402">
        <f t="shared" si="192"/>
        <v>209.67099999999999</v>
      </c>
      <c r="Q300" s="402">
        <f t="shared" si="193"/>
        <v>419.34199999999998</v>
      </c>
      <c r="R300" s="409" t="s">
        <v>244</v>
      </c>
      <c r="S300" s="455">
        <f t="shared" ref="S300:W307" si="199">M300</f>
        <v>419.34199999999998</v>
      </c>
      <c r="T300" s="403">
        <f t="shared" si="199"/>
        <v>524.17750000000001</v>
      </c>
      <c r="U300" s="403">
        <f t="shared" si="199"/>
        <v>419.34199999999998</v>
      </c>
      <c r="V300" s="403">
        <f t="shared" si="199"/>
        <v>209.67099999999999</v>
      </c>
      <c r="W300" s="403">
        <f t="shared" si="199"/>
        <v>419.34199999999998</v>
      </c>
      <c r="X300" s="323"/>
      <c r="Y300" s="403">
        <f t="shared" ref="Y300:AC307" si="200">D300*$J300*(1+$K300%)</f>
        <v>341.58199999999999</v>
      </c>
      <c r="Z300" s="403">
        <f t="shared" si="200"/>
        <v>426.97750000000002</v>
      </c>
      <c r="AA300" s="403">
        <f t="shared" si="200"/>
        <v>341.58199999999999</v>
      </c>
      <c r="AB300" s="403">
        <f t="shared" si="200"/>
        <v>170.791</v>
      </c>
      <c r="AC300" s="403">
        <f t="shared" si="200"/>
        <v>341.58199999999999</v>
      </c>
    </row>
    <row r="301" spans="1:29" ht="22.5">
      <c r="A301" s="424">
        <v>11</v>
      </c>
      <c r="B301" s="425" t="s">
        <v>536</v>
      </c>
      <c r="C301" s="428" t="s">
        <v>320</v>
      </c>
      <c r="D301" s="566">
        <v>1</v>
      </c>
      <c r="E301" s="566">
        <v>2</v>
      </c>
      <c r="F301" s="566">
        <v>2</v>
      </c>
      <c r="G301" s="566">
        <v>1</v>
      </c>
      <c r="H301" s="566">
        <v>1</v>
      </c>
      <c r="I301" s="574">
        <f t="shared" si="197"/>
        <v>155.43</v>
      </c>
      <c r="J301" s="574">
        <f>'附件4-8甲供材料清单'!K241</f>
        <v>143</v>
      </c>
      <c r="K301" s="574">
        <v>1</v>
      </c>
      <c r="L301" s="574">
        <v>11</v>
      </c>
      <c r="M301" s="402">
        <f t="shared" si="189"/>
        <v>155.43</v>
      </c>
      <c r="N301" s="402">
        <f t="shared" si="190"/>
        <v>310.86</v>
      </c>
      <c r="O301" s="402">
        <f t="shared" si="191"/>
        <v>310.86</v>
      </c>
      <c r="P301" s="402">
        <f t="shared" si="192"/>
        <v>155.43</v>
      </c>
      <c r="Q301" s="402">
        <f t="shared" si="193"/>
        <v>155.43</v>
      </c>
      <c r="R301" s="409" t="s">
        <v>244</v>
      </c>
      <c r="S301" s="455">
        <f t="shared" si="199"/>
        <v>155.43</v>
      </c>
      <c r="T301" s="403">
        <f t="shared" si="199"/>
        <v>310.86</v>
      </c>
      <c r="U301" s="403">
        <f t="shared" si="199"/>
        <v>310.86</v>
      </c>
      <c r="V301" s="403">
        <f t="shared" si="199"/>
        <v>155.43</v>
      </c>
      <c r="W301" s="403">
        <f t="shared" si="199"/>
        <v>155.43</v>
      </c>
      <c r="X301" s="323"/>
      <c r="Y301" s="403">
        <f t="shared" si="200"/>
        <v>144.43</v>
      </c>
      <c r="Z301" s="403">
        <f t="shared" si="200"/>
        <v>288.86</v>
      </c>
      <c r="AA301" s="403">
        <f t="shared" si="200"/>
        <v>288.86</v>
      </c>
      <c r="AB301" s="403">
        <f t="shared" si="200"/>
        <v>144.43</v>
      </c>
      <c r="AC301" s="403">
        <f t="shared" si="200"/>
        <v>144.43</v>
      </c>
    </row>
    <row r="302" spans="1:29" ht="22.5">
      <c r="A302" s="424">
        <v>12</v>
      </c>
      <c r="B302" s="425" t="s">
        <v>537</v>
      </c>
      <c r="C302" s="426" t="s">
        <v>482</v>
      </c>
      <c r="D302" s="566">
        <v>1</v>
      </c>
      <c r="E302" s="566">
        <v>1</v>
      </c>
      <c r="F302" s="566">
        <v>1</v>
      </c>
      <c r="G302" s="566">
        <v>1</v>
      </c>
      <c r="H302" s="566">
        <v>1</v>
      </c>
      <c r="I302" s="573">
        <f t="shared" si="197"/>
        <v>58.410000000000004</v>
      </c>
      <c r="J302" s="572">
        <f>'附件4-8甲供材料清单'!K210</f>
        <v>45</v>
      </c>
      <c r="K302" s="572">
        <v>1</v>
      </c>
      <c r="L302" s="567">
        <v>12.96</v>
      </c>
      <c r="M302" s="402">
        <f t="shared" si="189"/>
        <v>58.410000000000004</v>
      </c>
      <c r="N302" s="402">
        <f t="shared" si="190"/>
        <v>58.410000000000004</v>
      </c>
      <c r="O302" s="402">
        <f t="shared" si="191"/>
        <v>58.410000000000004</v>
      </c>
      <c r="P302" s="402">
        <f t="shared" si="192"/>
        <v>58.410000000000004</v>
      </c>
      <c r="Q302" s="402">
        <f t="shared" si="193"/>
        <v>58.410000000000004</v>
      </c>
      <c r="R302" s="409" t="s">
        <v>244</v>
      </c>
      <c r="S302" s="455">
        <f t="shared" si="199"/>
        <v>58.410000000000004</v>
      </c>
      <c r="T302" s="403">
        <f t="shared" si="199"/>
        <v>58.410000000000004</v>
      </c>
      <c r="U302" s="403">
        <f t="shared" si="199"/>
        <v>58.410000000000004</v>
      </c>
      <c r="V302" s="403">
        <f t="shared" si="199"/>
        <v>58.410000000000004</v>
      </c>
      <c r="W302" s="403">
        <f t="shared" si="199"/>
        <v>58.410000000000004</v>
      </c>
      <c r="X302" s="323"/>
      <c r="Y302" s="403">
        <f t="shared" si="200"/>
        <v>45.45</v>
      </c>
      <c r="Z302" s="403">
        <f t="shared" si="200"/>
        <v>45.45</v>
      </c>
      <c r="AA302" s="403">
        <f t="shared" si="200"/>
        <v>45.45</v>
      </c>
      <c r="AB302" s="403">
        <f t="shared" si="200"/>
        <v>45.45</v>
      </c>
      <c r="AC302" s="403">
        <f t="shared" si="200"/>
        <v>45.45</v>
      </c>
    </row>
    <row r="303" spans="1:29" ht="22.5">
      <c r="A303" s="424">
        <v>13</v>
      </c>
      <c r="B303" s="425" t="s">
        <v>538</v>
      </c>
      <c r="C303" s="428" t="s">
        <v>320</v>
      </c>
      <c r="D303" s="566">
        <v>1</v>
      </c>
      <c r="E303" s="566">
        <v>1</v>
      </c>
      <c r="F303" s="566">
        <v>1</v>
      </c>
      <c r="G303" s="566">
        <v>1</v>
      </c>
      <c r="H303" s="566">
        <v>1</v>
      </c>
      <c r="I303" s="573">
        <f t="shared" si="197"/>
        <v>139.53319999999999</v>
      </c>
      <c r="J303" s="572">
        <f>'附件4-8甲供材料清单'!K233</f>
        <v>125.32</v>
      </c>
      <c r="K303" s="572">
        <v>1</v>
      </c>
      <c r="L303" s="567">
        <v>12.96</v>
      </c>
      <c r="M303" s="402">
        <f t="shared" si="189"/>
        <v>139.53319999999999</v>
      </c>
      <c r="N303" s="402">
        <f t="shared" si="190"/>
        <v>139.53319999999999</v>
      </c>
      <c r="O303" s="402">
        <f t="shared" si="191"/>
        <v>139.53319999999999</v>
      </c>
      <c r="P303" s="402">
        <f t="shared" si="192"/>
        <v>139.53319999999999</v>
      </c>
      <c r="Q303" s="402">
        <f t="shared" si="193"/>
        <v>139.53319999999999</v>
      </c>
      <c r="R303" s="409" t="s">
        <v>244</v>
      </c>
      <c r="S303" s="455">
        <f t="shared" si="199"/>
        <v>139.53319999999999</v>
      </c>
      <c r="T303" s="403">
        <f t="shared" si="199"/>
        <v>139.53319999999999</v>
      </c>
      <c r="U303" s="403">
        <f t="shared" si="199"/>
        <v>139.53319999999999</v>
      </c>
      <c r="V303" s="403">
        <f t="shared" si="199"/>
        <v>139.53319999999999</v>
      </c>
      <c r="W303" s="403">
        <f t="shared" si="199"/>
        <v>139.53319999999999</v>
      </c>
      <c r="X303" s="323"/>
      <c r="Y303" s="403">
        <f t="shared" si="200"/>
        <v>126.5732</v>
      </c>
      <c r="Z303" s="403">
        <f t="shared" si="200"/>
        <v>126.5732</v>
      </c>
      <c r="AA303" s="403">
        <f t="shared" si="200"/>
        <v>126.5732</v>
      </c>
      <c r="AB303" s="403">
        <f t="shared" si="200"/>
        <v>126.5732</v>
      </c>
      <c r="AC303" s="403">
        <f t="shared" si="200"/>
        <v>126.5732</v>
      </c>
    </row>
    <row r="304" spans="1:29" ht="22.5">
      <c r="A304" s="424">
        <v>14</v>
      </c>
      <c r="B304" s="425" t="s">
        <v>539</v>
      </c>
      <c r="C304" s="428" t="s">
        <v>270</v>
      </c>
      <c r="D304" s="566">
        <f t="shared" ref="D304" si="201">D300</f>
        <v>4</v>
      </c>
      <c r="E304" s="566">
        <f>E300</f>
        <v>5</v>
      </c>
      <c r="F304" s="566">
        <f>F300</f>
        <v>4</v>
      </c>
      <c r="G304" s="566">
        <f t="shared" ref="G304" si="202">G300</f>
        <v>2</v>
      </c>
      <c r="H304" s="566">
        <f>H300</f>
        <v>4</v>
      </c>
      <c r="I304" s="573">
        <f t="shared" si="197"/>
        <v>40.908700000000003</v>
      </c>
      <c r="J304" s="572">
        <f>'附件4-8甲供材料清单'!K232</f>
        <v>33.869999999999997</v>
      </c>
      <c r="K304" s="567">
        <v>1</v>
      </c>
      <c r="L304" s="567">
        <v>6.7</v>
      </c>
      <c r="M304" s="402">
        <f t="shared" si="189"/>
        <v>163.63480000000001</v>
      </c>
      <c r="N304" s="402">
        <f t="shared" si="190"/>
        <v>204.54350000000002</v>
      </c>
      <c r="O304" s="402">
        <f t="shared" si="191"/>
        <v>163.63480000000001</v>
      </c>
      <c r="P304" s="402">
        <f t="shared" si="192"/>
        <v>81.817400000000006</v>
      </c>
      <c r="Q304" s="402">
        <f t="shared" si="193"/>
        <v>163.63480000000001</v>
      </c>
      <c r="R304" s="409" t="s">
        <v>244</v>
      </c>
      <c r="S304" s="455">
        <f t="shared" si="199"/>
        <v>163.63480000000001</v>
      </c>
      <c r="T304" s="403">
        <f t="shared" si="199"/>
        <v>204.54350000000002</v>
      </c>
      <c r="U304" s="403">
        <f t="shared" si="199"/>
        <v>163.63480000000001</v>
      </c>
      <c r="V304" s="403">
        <f t="shared" si="199"/>
        <v>81.817400000000006</v>
      </c>
      <c r="W304" s="403">
        <f t="shared" si="199"/>
        <v>163.63480000000001</v>
      </c>
      <c r="X304" s="323"/>
      <c r="Y304" s="403">
        <f t="shared" si="200"/>
        <v>136.8348</v>
      </c>
      <c r="Z304" s="403">
        <f t="shared" si="200"/>
        <v>171.04349999999999</v>
      </c>
      <c r="AA304" s="403">
        <f t="shared" si="200"/>
        <v>136.8348</v>
      </c>
      <c r="AB304" s="403">
        <f t="shared" si="200"/>
        <v>68.417400000000001</v>
      </c>
      <c r="AC304" s="403">
        <f t="shared" si="200"/>
        <v>136.8348</v>
      </c>
    </row>
    <row r="305" spans="1:29" ht="22.5">
      <c r="A305" s="424">
        <v>15</v>
      </c>
      <c r="B305" s="425" t="s">
        <v>540</v>
      </c>
      <c r="C305" s="428" t="s">
        <v>320</v>
      </c>
      <c r="D305" s="566">
        <v>1</v>
      </c>
      <c r="E305" s="566">
        <v>1</v>
      </c>
      <c r="F305" s="566">
        <v>1</v>
      </c>
      <c r="G305" s="566">
        <v>1</v>
      </c>
      <c r="H305" s="566">
        <v>1</v>
      </c>
      <c r="I305" s="573">
        <f t="shared" si="197"/>
        <v>67.128299999999996</v>
      </c>
      <c r="J305" s="572">
        <f>'附件4-8甲供材料清单'!K230</f>
        <v>59.83</v>
      </c>
      <c r="K305" s="567">
        <v>1</v>
      </c>
      <c r="L305" s="567">
        <v>6.7</v>
      </c>
      <c r="M305" s="402">
        <f t="shared" si="189"/>
        <v>67.128299999999996</v>
      </c>
      <c r="N305" s="402">
        <f t="shared" si="190"/>
        <v>67.128299999999996</v>
      </c>
      <c r="O305" s="402">
        <f t="shared" si="191"/>
        <v>67.128299999999996</v>
      </c>
      <c r="P305" s="402">
        <f t="shared" si="192"/>
        <v>67.128299999999996</v>
      </c>
      <c r="Q305" s="402">
        <f t="shared" si="193"/>
        <v>67.128299999999996</v>
      </c>
      <c r="R305" s="409" t="s">
        <v>244</v>
      </c>
      <c r="S305" s="455">
        <f t="shared" si="199"/>
        <v>67.128299999999996</v>
      </c>
      <c r="T305" s="403">
        <f t="shared" si="199"/>
        <v>67.128299999999996</v>
      </c>
      <c r="U305" s="403">
        <f t="shared" si="199"/>
        <v>67.128299999999996</v>
      </c>
      <c r="V305" s="403">
        <f t="shared" si="199"/>
        <v>67.128299999999996</v>
      </c>
      <c r="W305" s="403">
        <f t="shared" si="199"/>
        <v>67.128299999999996</v>
      </c>
      <c r="X305" s="323"/>
      <c r="Y305" s="403">
        <f t="shared" si="200"/>
        <v>60.4283</v>
      </c>
      <c r="Z305" s="403">
        <f t="shared" si="200"/>
        <v>60.4283</v>
      </c>
      <c r="AA305" s="403">
        <f t="shared" si="200"/>
        <v>60.4283</v>
      </c>
      <c r="AB305" s="403">
        <f t="shared" si="200"/>
        <v>60.4283</v>
      </c>
      <c r="AC305" s="403">
        <f t="shared" si="200"/>
        <v>60.4283</v>
      </c>
    </row>
    <row r="306" spans="1:29" ht="22.5">
      <c r="A306" s="424">
        <v>16</v>
      </c>
      <c r="B306" s="425" t="s">
        <v>541</v>
      </c>
      <c r="C306" s="428" t="s">
        <v>320</v>
      </c>
      <c r="D306" s="566">
        <v>1</v>
      </c>
      <c r="E306" s="566">
        <v>1</v>
      </c>
      <c r="F306" s="566">
        <v>1</v>
      </c>
      <c r="G306" s="566">
        <v>1</v>
      </c>
      <c r="H306" s="566">
        <v>1</v>
      </c>
      <c r="I306" s="573">
        <f t="shared" si="197"/>
        <v>135.172</v>
      </c>
      <c r="J306" s="572">
        <f>'附件4-8甲供材料清单'!K231</f>
        <v>127.2</v>
      </c>
      <c r="K306" s="567">
        <v>1</v>
      </c>
      <c r="L306" s="567">
        <v>6.7</v>
      </c>
      <c r="M306" s="402">
        <f t="shared" si="189"/>
        <v>135.172</v>
      </c>
      <c r="N306" s="402">
        <f t="shared" si="190"/>
        <v>135.172</v>
      </c>
      <c r="O306" s="402">
        <f t="shared" si="191"/>
        <v>135.172</v>
      </c>
      <c r="P306" s="402">
        <f t="shared" si="192"/>
        <v>135.172</v>
      </c>
      <c r="Q306" s="402">
        <f t="shared" si="193"/>
        <v>135.172</v>
      </c>
      <c r="R306" s="409" t="s">
        <v>244</v>
      </c>
      <c r="S306" s="455">
        <f t="shared" si="199"/>
        <v>135.172</v>
      </c>
      <c r="T306" s="403">
        <f t="shared" si="199"/>
        <v>135.172</v>
      </c>
      <c r="U306" s="403">
        <f t="shared" si="199"/>
        <v>135.172</v>
      </c>
      <c r="V306" s="403">
        <f t="shared" si="199"/>
        <v>135.172</v>
      </c>
      <c r="W306" s="403">
        <f t="shared" si="199"/>
        <v>135.172</v>
      </c>
      <c r="X306" s="323"/>
      <c r="Y306" s="403">
        <f t="shared" si="200"/>
        <v>128.47200000000001</v>
      </c>
      <c r="Z306" s="403">
        <f t="shared" si="200"/>
        <v>128.47200000000001</v>
      </c>
      <c r="AA306" s="403">
        <f t="shared" si="200"/>
        <v>128.47200000000001</v>
      </c>
      <c r="AB306" s="403">
        <f t="shared" si="200"/>
        <v>128.47200000000001</v>
      </c>
      <c r="AC306" s="403">
        <f t="shared" si="200"/>
        <v>128.47200000000001</v>
      </c>
    </row>
    <row r="307" spans="1:29" ht="33.75">
      <c r="A307" s="424">
        <v>17</v>
      </c>
      <c r="B307" s="425" t="s">
        <v>542</v>
      </c>
      <c r="C307" s="426" t="s">
        <v>231</v>
      </c>
      <c r="D307" s="575">
        <f>D207+(5.445+0.98+4.77+1.77)*0.15</f>
        <v>34.252749999999999</v>
      </c>
      <c r="E307" s="575">
        <f>E207+(2.65+2.6+4.63+5.75+10.69+8.01)*0.15</f>
        <v>210.59949999999998</v>
      </c>
      <c r="F307" s="575">
        <f>F207+(4.89+1.2+15.69+4.87)*0.15</f>
        <v>199.62350000000001</v>
      </c>
      <c r="G307" s="575">
        <f>G207+2.7*2*0.15</f>
        <v>16.439999999999998</v>
      </c>
      <c r="H307" s="575">
        <f>H207+(5.445+0.98+4.77+1.77)*0.15</f>
        <v>81.672750000000008</v>
      </c>
      <c r="I307" s="573">
        <f t="shared" si="197"/>
        <v>39.800000000000004</v>
      </c>
      <c r="J307" s="572">
        <f>'附件4-8甲供材料清单'!M168</f>
        <v>30.800000000000004</v>
      </c>
      <c r="K307" s="572">
        <v>0</v>
      </c>
      <c r="L307" s="572">
        <v>9</v>
      </c>
      <c r="M307" s="402">
        <f t="shared" si="189"/>
        <v>1363.25945</v>
      </c>
      <c r="N307" s="402">
        <f t="shared" si="190"/>
        <v>8381.8600999999999</v>
      </c>
      <c r="O307" s="402">
        <f t="shared" si="191"/>
        <v>7945.0153000000009</v>
      </c>
      <c r="P307" s="402">
        <f t="shared" si="192"/>
        <v>654.31200000000001</v>
      </c>
      <c r="Q307" s="402">
        <f t="shared" si="193"/>
        <v>3250.5754500000007</v>
      </c>
      <c r="R307" s="409" t="s">
        <v>244</v>
      </c>
      <c r="S307" s="455">
        <f t="shared" si="199"/>
        <v>1363.25945</v>
      </c>
      <c r="T307" s="403">
        <f t="shared" si="199"/>
        <v>8381.8600999999999</v>
      </c>
      <c r="U307" s="403">
        <f t="shared" si="199"/>
        <v>7945.0153000000009</v>
      </c>
      <c r="V307" s="403">
        <f t="shared" si="199"/>
        <v>654.31200000000001</v>
      </c>
      <c r="W307" s="403">
        <f t="shared" si="199"/>
        <v>3250.5754500000007</v>
      </c>
      <c r="X307" s="323"/>
      <c r="Y307" s="403">
        <f t="shared" si="200"/>
        <v>1054.9847000000002</v>
      </c>
      <c r="Z307" s="403">
        <f t="shared" si="200"/>
        <v>6486.4646000000002</v>
      </c>
      <c r="AA307" s="403">
        <f t="shared" si="200"/>
        <v>6148.403800000001</v>
      </c>
      <c r="AB307" s="403">
        <f t="shared" si="200"/>
        <v>506.35199999999998</v>
      </c>
      <c r="AC307" s="403">
        <f t="shared" si="200"/>
        <v>2515.5207000000005</v>
      </c>
    </row>
    <row r="308" spans="1:29" ht="22.5">
      <c r="A308" s="424">
        <v>18</v>
      </c>
      <c r="B308" s="425" t="s">
        <v>543</v>
      </c>
      <c r="C308" s="426" t="s">
        <v>231</v>
      </c>
      <c r="D308" s="575"/>
      <c r="E308" s="570"/>
      <c r="F308" s="575"/>
      <c r="G308" s="575"/>
      <c r="H308" s="575"/>
      <c r="I308" s="573">
        <f t="shared" si="197"/>
        <v>24.44</v>
      </c>
      <c r="J308" s="572">
        <v>0</v>
      </c>
      <c r="K308" s="572">
        <v>0</v>
      </c>
      <c r="L308" s="572">
        <v>24.44</v>
      </c>
      <c r="M308" s="402">
        <f t="shared" si="189"/>
        <v>0</v>
      </c>
      <c r="N308" s="402">
        <f t="shared" si="190"/>
        <v>0</v>
      </c>
      <c r="O308" s="402">
        <f t="shared" si="191"/>
        <v>0</v>
      </c>
      <c r="P308" s="402">
        <f t="shared" si="192"/>
        <v>0</v>
      </c>
      <c r="Q308" s="402">
        <f t="shared" si="193"/>
        <v>0</v>
      </c>
      <c r="R308" s="425"/>
      <c r="S308" s="455"/>
      <c r="T308" s="403"/>
      <c r="U308" s="403"/>
      <c r="V308" s="403"/>
      <c r="W308" s="403"/>
      <c r="X308" s="323"/>
      <c r="Y308" s="403"/>
      <c r="Z308" s="403"/>
      <c r="AA308" s="403"/>
      <c r="AB308" s="403"/>
      <c r="AC308" s="403"/>
    </row>
    <row r="309" spans="1:29" ht="45">
      <c r="A309" s="424">
        <v>19</v>
      </c>
      <c r="B309" s="425" t="s">
        <v>544</v>
      </c>
      <c r="C309" s="426" t="s">
        <v>231</v>
      </c>
      <c r="D309" s="575"/>
      <c r="E309" s="575"/>
      <c r="F309" s="575"/>
      <c r="G309" s="575"/>
      <c r="H309" s="575"/>
      <c r="I309" s="573">
        <f t="shared" si="197"/>
        <v>20.56</v>
      </c>
      <c r="J309" s="572">
        <v>13</v>
      </c>
      <c r="K309" s="572">
        <v>0</v>
      </c>
      <c r="L309" s="572">
        <v>7.56</v>
      </c>
      <c r="M309" s="402">
        <f t="shared" si="189"/>
        <v>0</v>
      </c>
      <c r="N309" s="402">
        <f t="shared" si="190"/>
        <v>0</v>
      </c>
      <c r="O309" s="402">
        <f t="shared" si="191"/>
        <v>0</v>
      </c>
      <c r="P309" s="402">
        <f t="shared" si="192"/>
        <v>0</v>
      </c>
      <c r="Q309" s="402">
        <f t="shared" si="193"/>
        <v>0</v>
      </c>
      <c r="R309" s="425"/>
      <c r="S309" s="455"/>
      <c r="T309" s="403"/>
      <c r="U309" s="403"/>
      <c r="V309" s="403"/>
      <c r="W309" s="403"/>
      <c r="X309" s="323"/>
      <c r="Y309" s="403"/>
      <c r="Z309" s="403"/>
      <c r="AA309" s="403"/>
      <c r="AB309" s="403"/>
      <c r="AC309" s="403"/>
    </row>
    <row r="310" spans="1:29" ht="22.5">
      <c r="A310" s="424">
        <v>20</v>
      </c>
      <c r="B310" s="425" t="s">
        <v>545</v>
      </c>
      <c r="C310" s="428" t="s">
        <v>235</v>
      </c>
      <c r="D310" s="566">
        <v>0</v>
      </c>
      <c r="E310" s="566">
        <v>0</v>
      </c>
      <c r="F310" s="566">
        <v>0</v>
      </c>
      <c r="G310" s="575">
        <v>1</v>
      </c>
      <c r="H310" s="566">
        <v>0</v>
      </c>
      <c r="I310" s="573">
        <f t="shared" si="197"/>
        <v>26.074999999999999</v>
      </c>
      <c r="J310" s="572">
        <v>17.5</v>
      </c>
      <c r="K310" s="572">
        <v>5</v>
      </c>
      <c r="L310" s="572">
        <v>7.7</v>
      </c>
      <c r="M310" s="402">
        <f t="shared" si="189"/>
        <v>0</v>
      </c>
      <c r="N310" s="402">
        <f t="shared" si="190"/>
        <v>0</v>
      </c>
      <c r="O310" s="402">
        <f t="shared" si="191"/>
        <v>0</v>
      </c>
      <c r="P310" s="402">
        <f t="shared" si="192"/>
        <v>26.074999999999999</v>
      </c>
      <c r="Q310" s="402">
        <f t="shared" si="193"/>
        <v>0</v>
      </c>
      <c r="R310" s="425"/>
      <c r="S310" s="455"/>
      <c r="T310" s="403"/>
      <c r="U310" s="403"/>
      <c r="V310" s="403"/>
      <c r="W310" s="403"/>
      <c r="X310" s="323"/>
      <c r="Y310" s="403"/>
      <c r="Z310" s="403"/>
      <c r="AA310" s="403"/>
      <c r="AB310" s="403"/>
      <c r="AC310" s="403"/>
    </row>
    <row r="311" spans="1:29" ht="22.5">
      <c r="A311" s="424">
        <v>21</v>
      </c>
      <c r="B311" s="425" t="s">
        <v>546</v>
      </c>
      <c r="C311" s="426" t="s">
        <v>270</v>
      </c>
      <c r="D311" s="575">
        <v>0</v>
      </c>
      <c r="E311" s="575">
        <v>0</v>
      </c>
      <c r="F311" s="575">
        <v>0</v>
      </c>
      <c r="G311" s="575">
        <v>1</v>
      </c>
      <c r="H311" s="575">
        <v>0</v>
      </c>
      <c r="I311" s="576">
        <f t="shared" ref="I311" si="203">J311+J311*K311%+L311</f>
        <v>104.8355</v>
      </c>
      <c r="J311" s="577">
        <f>'附件4-8甲供材料清单'!K234</f>
        <v>84.55</v>
      </c>
      <c r="K311" s="567">
        <v>1</v>
      </c>
      <c r="L311" s="567">
        <v>19.440000000000001</v>
      </c>
      <c r="M311" s="402">
        <f t="shared" si="189"/>
        <v>0</v>
      </c>
      <c r="N311" s="402">
        <f t="shared" si="190"/>
        <v>0</v>
      </c>
      <c r="O311" s="402">
        <f t="shared" si="191"/>
        <v>0</v>
      </c>
      <c r="P311" s="402">
        <f t="shared" si="192"/>
        <v>104.8355</v>
      </c>
      <c r="Q311" s="402">
        <f t="shared" si="193"/>
        <v>0</v>
      </c>
      <c r="R311" s="409" t="s">
        <v>244</v>
      </c>
      <c r="S311" s="455">
        <f>M311</f>
        <v>0</v>
      </c>
      <c r="T311" s="403">
        <f>N311</f>
        <v>0</v>
      </c>
      <c r="U311" s="403">
        <f>O311</f>
        <v>0</v>
      </c>
      <c r="V311" s="403">
        <f>P311</f>
        <v>104.8355</v>
      </c>
      <c r="W311" s="403">
        <f>Q311</f>
        <v>0</v>
      </c>
      <c r="X311" s="323"/>
      <c r="Y311" s="403">
        <f>D311*$J311*(1+$K311%)</f>
        <v>0</v>
      </c>
      <c r="Z311" s="403">
        <f>E311*$J311*(1+$K311%)</f>
        <v>0</v>
      </c>
      <c r="AA311" s="403">
        <f>F311*$J311*(1+$K311%)</f>
        <v>0</v>
      </c>
      <c r="AB311" s="403">
        <f>G311*$J311*(1+$K311%)</f>
        <v>85.395499999999998</v>
      </c>
      <c r="AC311" s="403">
        <f>H311*$J311*(1+$K311%)</f>
        <v>0</v>
      </c>
    </row>
    <row r="312" spans="1:29" ht="33.75">
      <c r="A312" s="424">
        <v>22</v>
      </c>
      <c r="B312" s="407" t="s">
        <v>335</v>
      </c>
      <c r="C312" s="689" t="s">
        <v>336</v>
      </c>
      <c r="D312" s="566">
        <v>0</v>
      </c>
      <c r="E312" s="566">
        <f>1.7*0.1*0.65</f>
        <v>0.11050000000000001</v>
      </c>
      <c r="F312" s="566">
        <v>0</v>
      </c>
      <c r="G312" s="566">
        <v>0</v>
      </c>
      <c r="H312" s="566">
        <v>0</v>
      </c>
      <c r="I312" s="567">
        <f>J312+J312*K312%+L312</f>
        <v>440</v>
      </c>
      <c r="J312" s="567">
        <v>440</v>
      </c>
      <c r="K312" s="567"/>
      <c r="L312" s="567">
        <v>0</v>
      </c>
      <c r="M312" s="402">
        <f t="shared" si="189"/>
        <v>0</v>
      </c>
      <c r="N312" s="402">
        <f t="shared" si="190"/>
        <v>48.620000000000005</v>
      </c>
      <c r="O312" s="402">
        <f t="shared" si="191"/>
        <v>0</v>
      </c>
      <c r="P312" s="402">
        <f t="shared" si="192"/>
        <v>0</v>
      </c>
      <c r="Q312" s="402">
        <f t="shared" si="193"/>
        <v>0</v>
      </c>
      <c r="R312" s="409" t="s">
        <v>337</v>
      </c>
      <c r="S312" s="455"/>
      <c r="T312" s="403"/>
      <c r="U312" s="403"/>
      <c r="V312" s="403"/>
      <c r="W312" s="403"/>
      <c r="X312" s="323"/>
      <c r="Y312" s="403"/>
      <c r="Z312" s="403"/>
      <c r="AA312" s="403"/>
      <c r="AB312" s="403"/>
      <c r="AC312" s="403"/>
    </row>
    <row r="313" spans="1:29" ht="67.5">
      <c r="A313" s="424">
        <v>23</v>
      </c>
      <c r="B313" s="407" t="s">
        <v>1846</v>
      </c>
      <c r="C313" s="426" t="s">
        <v>231</v>
      </c>
      <c r="D313" s="566">
        <v>0</v>
      </c>
      <c r="E313" s="566">
        <v>1.46</v>
      </c>
      <c r="F313" s="566">
        <v>0</v>
      </c>
      <c r="G313" s="566">
        <v>0</v>
      </c>
      <c r="H313" s="566">
        <v>0</v>
      </c>
      <c r="I313" s="567">
        <f>J313+J313*K313%+L313</f>
        <v>555</v>
      </c>
      <c r="J313" s="567">
        <v>455</v>
      </c>
      <c r="K313" s="567">
        <v>0</v>
      </c>
      <c r="L313" s="567">
        <v>100</v>
      </c>
      <c r="M313" s="402">
        <f>D313*$I313</f>
        <v>0</v>
      </c>
      <c r="N313" s="402">
        <f>I313*E313</f>
        <v>810.3</v>
      </c>
      <c r="O313" s="402">
        <f t="shared" ref="O313:Q315" si="204">F313*$I313</f>
        <v>0</v>
      </c>
      <c r="P313" s="402">
        <f t="shared" si="204"/>
        <v>0</v>
      </c>
      <c r="Q313" s="402">
        <f t="shared" si="204"/>
        <v>0</v>
      </c>
      <c r="R313" s="409"/>
      <c r="S313" s="455"/>
      <c r="T313" s="403"/>
      <c r="U313" s="403"/>
      <c r="V313" s="403"/>
      <c r="W313" s="403"/>
      <c r="X313" s="323"/>
      <c r="Y313" s="403"/>
      <c r="Z313" s="403"/>
      <c r="AA313" s="403"/>
      <c r="AB313" s="403"/>
      <c r="AC313" s="403"/>
    </row>
    <row r="314" spans="1:29" ht="45">
      <c r="A314" s="424">
        <v>24</v>
      </c>
      <c r="B314" s="407" t="s">
        <v>1849</v>
      </c>
      <c r="C314" s="426" t="s">
        <v>231</v>
      </c>
      <c r="D314" s="566">
        <v>0</v>
      </c>
      <c r="E314" s="566">
        <v>1.39</v>
      </c>
      <c r="F314" s="566">
        <v>0</v>
      </c>
      <c r="G314" s="566">
        <v>0</v>
      </c>
      <c r="H314" s="566">
        <v>0</v>
      </c>
      <c r="I314" s="567">
        <f>J314+J314*K314%+L314</f>
        <v>560</v>
      </c>
      <c r="J314" s="567">
        <v>560</v>
      </c>
      <c r="K314" s="567"/>
      <c r="L314" s="567"/>
      <c r="M314" s="402">
        <f>D314*$I314</f>
        <v>0</v>
      </c>
      <c r="N314" s="402">
        <f>E314*$I314</f>
        <v>778.4</v>
      </c>
      <c r="O314" s="402">
        <f t="shared" si="204"/>
        <v>0</v>
      </c>
      <c r="P314" s="402">
        <f t="shared" si="204"/>
        <v>0</v>
      </c>
      <c r="Q314" s="402">
        <f t="shared" si="204"/>
        <v>0</v>
      </c>
      <c r="R314" s="409"/>
      <c r="S314" s="455"/>
      <c r="T314" s="403"/>
      <c r="U314" s="403"/>
      <c r="V314" s="403"/>
      <c r="W314" s="403"/>
      <c r="X314" s="323"/>
      <c r="Y314" s="403"/>
      <c r="Z314" s="403"/>
      <c r="AA314" s="403"/>
      <c r="AB314" s="403"/>
      <c r="AC314" s="403"/>
    </row>
    <row r="315" spans="1:29" ht="22.5">
      <c r="A315" s="457" t="s">
        <v>1845</v>
      </c>
      <c r="B315" s="407" t="s">
        <v>1844</v>
      </c>
      <c r="C315" s="428" t="s">
        <v>235</v>
      </c>
      <c r="D315" s="566">
        <v>3.75</v>
      </c>
      <c r="E315" s="566">
        <v>3.6</v>
      </c>
      <c r="F315" s="566">
        <v>4.4400000000000004</v>
      </c>
      <c r="G315" s="566">
        <v>4.07</v>
      </c>
      <c r="H315" s="566">
        <v>3.75</v>
      </c>
      <c r="I315" s="576">
        <f t="shared" ref="I315" si="205">J315+J315*K315%+L315</f>
        <v>51.8</v>
      </c>
      <c r="J315" s="577">
        <v>25</v>
      </c>
      <c r="K315" s="567">
        <v>10</v>
      </c>
      <c r="L315" s="567">
        <v>24.3</v>
      </c>
      <c r="M315" s="402">
        <f>D315*$I315</f>
        <v>194.25</v>
      </c>
      <c r="N315" s="402">
        <f>E315*$I315</f>
        <v>186.48</v>
      </c>
      <c r="O315" s="402">
        <f t="shared" si="204"/>
        <v>229.99200000000002</v>
      </c>
      <c r="P315" s="402">
        <f t="shared" si="204"/>
        <v>210.82599999999999</v>
      </c>
      <c r="Q315" s="402">
        <f t="shared" si="204"/>
        <v>194.25</v>
      </c>
      <c r="R315" s="458"/>
      <c r="S315" s="456"/>
      <c r="T315" s="450"/>
      <c r="U315" s="450"/>
      <c r="V315" s="450"/>
      <c r="W315" s="450"/>
      <c r="Y315" s="450"/>
      <c r="Z315" s="450"/>
      <c r="AA315" s="450"/>
      <c r="AB315" s="450"/>
      <c r="AC315" s="450"/>
    </row>
    <row r="316" spans="1:29" s="688" customFormat="1">
      <c r="A316" s="689"/>
      <c r="B316" s="413" t="s">
        <v>547</v>
      </c>
      <c r="C316" s="689"/>
      <c r="D316" s="574"/>
      <c r="E316" s="574"/>
      <c r="F316" s="574"/>
      <c r="G316" s="574"/>
      <c r="H316" s="574"/>
      <c r="I316" s="411"/>
      <c r="J316" s="567"/>
      <c r="K316" s="567"/>
      <c r="L316" s="567"/>
      <c r="M316" s="687">
        <f>SUM(M16:M315)</f>
        <v>74230.652852274972</v>
      </c>
      <c r="N316" s="687">
        <f>SUM(N16:N315)</f>
        <v>130434.75984195016</v>
      </c>
      <c r="O316" s="687">
        <f>SUM(O16:O315)</f>
        <v>118852.87069062886</v>
      </c>
      <c r="P316" s="687">
        <f>SUM(P16:P315)</f>
        <v>49814.120480013487</v>
      </c>
      <c r="Q316" s="687">
        <f>SUM(Q16:Q315)</f>
        <v>82548.187187586082</v>
      </c>
      <c r="R316" s="409"/>
      <c r="S316" s="683">
        <f t="shared" ref="S316:AC316" si="206">SUM(S16:S315)</f>
        <v>52382.012020274975</v>
      </c>
      <c r="T316" s="684">
        <f t="shared" si="206"/>
        <v>99801.760195950192</v>
      </c>
      <c r="U316" s="684">
        <f t="shared" si="206"/>
        <v>93655.500818628876</v>
      </c>
      <c r="V316" s="684">
        <f t="shared" si="206"/>
        <v>31623.842904013494</v>
      </c>
      <c r="W316" s="684">
        <f t="shared" si="206"/>
        <v>60699.546355586084</v>
      </c>
      <c r="X316" s="682">
        <f t="shared" si="206"/>
        <v>0</v>
      </c>
      <c r="Y316" s="684">
        <f t="shared" si="206"/>
        <v>33013.548933035003</v>
      </c>
      <c r="Z316" s="684">
        <f t="shared" si="206"/>
        <v>61814.09182243012</v>
      </c>
      <c r="AA316" s="684">
        <f t="shared" si="206"/>
        <v>58574.581740308793</v>
      </c>
      <c r="AB316" s="684">
        <f t="shared" si="206"/>
        <v>19591.180473613495</v>
      </c>
      <c r="AC316" s="684">
        <f t="shared" si="206"/>
        <v>37707.246868346105</v>
      </c>
    </row>
    <row r="317" spans="1:29">
      <c r="A317" s="637"/>
      <c r="B317" s="636" t="s">
        <v>548</v>
      </c>
      <c r="C317" s="637"/>
      <c r="D317" s="702"/>
      <c r="E317" s="702"/>
      <c r="F317" s="702"/>
      <c r="G317" s="702"/>
      <c r="H317" s="702"/>
      <c r="I317" s="705"/>
      <c r="J317" s="706"/>
      <c r="K317" s="706"/>
      <c r="L317" s="706"/>
      <c r="M317" s="639"/>
      <c r="N317" s="639"/>
      <c r="O317" s="639"/>
      <c r="P317" s="639"/>
      <c r="Q317" s="639"/>
      <c r="R317" s="703"/>
      <c r="S317" s="329"/>
      <c r="T317" s="329"/>
      <c r="U317" s="329"/>
      <c r="V317" s="329"/>
      <c r="W317" s="329"/>
      <c r="X317" s="329"/>
      <c r="Y317" s="329"/>
      <c r="Z317" s="329"/>
      <c r="AA317" s="329"/>
      <c r="AB317" s="329"/>
      <c r="AC317" s="329"/>
    </row>
    <row r="318" spans="1:29" ht="56.25">
      <c r="A318" s="635" t="s">
        <v>133</v>
      </c>
      <c r="B318" s="636" t="s">
        <v>549</v>
      </c>
      <c r="C318" s="637"/>
      <c r="D318" s="702"/>
      <c r="E318" s="702"/>
      <c r="F318" s="702"/>
      <c r="G318" s="702"/>
      <c r="H318" s="702"/>
      <c r="I318" s="706"/>
      <c r="J318" s="706"/>
      <c r="K318" s="706"/>
      <c r="L318" s="706"/>
      <c r="M318" s="639"/>
      <c r="N318" s="639"/>
      <c r="O318" s="639"/>
      <c r="P318" s="639"/>
      <c r="Q318" s="639"/>
      <c r="R318" s="703" t="s">
        <v>550</v>
      </c>
      <c r="S318" s="329"/>
      <c r="T318" s="329"/>
      <c r="U318" s="329"/>
      <c r="V318" s="329"/>
      <c r="W318" s="329"/>
      <c r="X318" s="329"/>
      <c r="Y318" s="364"/>
      <c r="Z318" s="364"/>
      <c r="AA318" s="364"/>
      <c r="AB318" s="364"/>
      <c r="AC318" s="364"/>
    </row>
    <row r="319" spans="1:29">
      <c r="A319" s="689" t="s">
        <v>140</v>
      </c>
      <c r="B319" s="407" t="s">
        <v>551</v>
      </c>
      <c r="C319" s="689"/>
      <c r="D319" s="574"/>
      <c r="E319" s="574"/>
      <c r="F319" s="574"/>
      <c r="G319" s="574"/>
      <c r="H319" s="574"/>
      <c r="I319" s="707"/>
      <c r="J319" s="707"/>
      <c r="K319" s="707"/>
      <c r="L319" s="707"/>
      <c r="M319" s="402">
        <f>M316-M326-M335</f>
        <v>8623.3018319999974</v>
      </c>
      <c r="N319" s="402">
        <f t="shared" ref="N319" si="207">N316-N326-N335</f>
        <v>12968.940145999968</v>
      </c>
      <c r="O319" s="402">
        <f t="shared" ref="O319:Q319" si="208">O316-O326-O335</f>
        <v>11188.904871999981</v>
      </c>
      <c r="P319" s="402">
        <f t="shared" si="208"/>
        <v>6982.0660759999919</v>
      </c>
      <c r="Q319" s="402">
        <f t="shared" si="208"/>
        <v>8623.3018319999974</v>
      </c>
      <c r="R319" s="409"/>
      <c r="S319" s="329"/>
      <c r="T319" s="329"/>
      <c r="U319" s="329"/>
      <c r="V319" s="329"/>
      <c r="W319" s="329"/>
      <c r="X319" s="329"/>
      <c r="Y319" s="364"/>
      <c r="Z319" s="364"/>
      <c r="AA319" s="364"/>
      <c r="AB319" s="364"/>
      <c r="AC319" s="364"/>
    </row>
    <row r="320" spans="1:29">
      <c r="A320" s="689" t="s">
        <v>552</v>
      </c>
      <c r="B320" s="407" t="s">
        <v>553</v>
      </c>
      <c r="C320" s="689"/>
      <c r="D320" s="574"/>
      <c r="E320" s="574"/>
      <c r="F320" s="574"/>
      <c r="G320" s="574"/>
      <c r="H320" s="574"/>
      <c r="I320" s="708">
        <v>6.5000000000000002E-2</v>
      </c>
      <c r="J320" s="707"/>
      <c r="K320" s="707"/>
      <c r="L320" s="707"/>
      <c r="M320" s="402">
        <f>M319*$I$320</f>
        <v>560.51461907999987</v>
      </c>
      <c r="N320" s="402">
        <f t="shared" ref="N320" si="209">N319*$I$320</f>
        <v>842.98110948999795</v>
      </c>
      <c r="O320" s="402">
        <f t="shared" ref="O320:Q320" si="210">O319*$I$320</f>
        <v>727.27881667999884</v>
      </c>
      <c r="P320" s="402">
        <f t="shared" si="210"/>
        <v>453.83429493999949</v>
      </c>
      <c r="Q320" s="402">
        <f t="shared" si="210"/>
        <v>560.51461907999987</v>
      </c>
      <c r="R320" s="409"/>
      <c r="S320" s="329"/>
      <c r="T320" s="329"/>
      <c r="U320" s="329"/>
      <c r="V320" s="329"/>
      <c r="W320" s="329"/>
      <c r="X320" s="329"/>
      <c r="Y320" s="364"/>
      <c r="Z320" s="364"/>
      <c r="AA320" s="364"/>
      <c r="AB320" s="364"/>
      <c r="AC320" s="364"/>
    </row>
    <row r="321" spans="1:29">
      <c r="A321" s="689" t="s">
        <v>554</v>
      </c>
      <c r="B321" s="407" t="s">
        <v>555</v>
      </c>
      <c r="C321" s="689"/>
      <c r="D321" s="574"/>
      <c r="E321" s="574"/>
      <c r="F321" s="574"/>
      <c r="G321" s="574"/>
      <c r="H321" s="574"/>
      <c r="I321" s="708">
        <v>0.1</v>
      </c>
      <c r="J321" s="707"/>
      <c r="K321" s="707"/>
      <c r="L321" s="707"/>
      <c r="M321" s="402">
        <f>M319*$I321</f>
        <v>862.33018319999974</v>
      </c>
      <c r="N321" s="402">
        <f t="shared" ref="N321" si="211">N319*$I321</f>
        <v>1296.8940145999968</v>
      </c>
      <c r="O321" s="402">
        <f t="shared" ref="O321:Q321" si="212">O319*$I321</f>
        <v>1118.8904871999982</v>
      </c>
      <c r="P321" s="402">
        <f t="shared" si="212"/>
        <v>698.20660759999919</v>
      </c>
      <c r="Q321" s="402">
        <f t="shared" si="212"/>
        <v>862.33018319999974</v>
      </c>
      <c r="R321" s="409"/>
      <c r="S321" s="329"/>
      <c r="T321" s="329"/>
      <c r="U321" s="329"/>
      <c r="V321" s="329"/>
      <c r="W321" s="329"/>
      <c r="X321" s="329"/>
      <c r="Y321" s="364"/>
      <c r="Z321" s="364"/>
      <c r="AA321" s="364"/>
      <c r="AB321" s="364"/>
      <c r="AC321" s="364"/>
    </row>
    <row r="322" spans="1:29" ht="22.5">
      <c r="A322" s="689" t="s">
        <v>556</v>
      </c>
      <c r="B322" s="407" t="s">
        <v>1854</v>
      </c>
      <c r="C322" s="689"/>
      <c r="D322" s="574"/>
      <c r="E322" s="574"/>
      <c r="F322" s="574"/>
      <c r="G322" s="574"/>
      <c r="H322" s="574"/>
      <c r="I322" s="432">
        <f>'附件4-1套内1'!M319</f>
        <v>0</v>
      </c>
      <c r="J322" s="707"/>
      <c r="K322" s="707"/>
      <c r="L322" s="707"/>
      <c r="M322" s="402">
        <f>M319*$I322</f>
        <v>0</v>
      </c>
      <c r="N322" s="402">
        <f t="shared" ref="N322" si="213">N319*$I322</f>
        <v>0</v>
      </c>
      <c r="O322" s="402">
        <f t="shared" ref="O322:Q322" si="214">O319*$I322</f>
        <v>0</v>
      </c>
      <c r="P322" s="402">
        <f t="shared" si="214"/>
        <v>0</v>
      </c>
      <c r="Q322" s="402">
        <f t="shared" si="214"/>
        <v>0</v>
      </c>
      <c r="R322" s="409"/>
      <c r="S322" s="329"/>
      <c r="T322" s="329"/>
      <c r="U322" s="329"/>
      <c r="V322" s="329"/>
      <c r="W322" s="329"/>
      <c r="X322" s="329"/>
      <c r="Y322" s="364"/>
      <c r="Z322" s="364"/>
      <c r="AA322" s="364"/>
      <c r="AB322" s="364"/>
      <c r="AC322" s="364"/>
    </row>
    <row r="323" spans="1:29">
      <c r="A323" s="689" t="s">
        <v>558</v>
      </c>
      <c r="B323" s="407" t="s">
        <v>559</v>
      </c>
      <c r="C323" s="689"/>
      <c r="D323" s="574"/>
      <c r="E323" s="574"/>
      <c r="F323" s="574"/>
      <c r="G323" s="574"/>
      <c r="H323" s="574"/>
      <c r="I323" s="433">
        <v>3.4770000000000002E-2</v>
      </c>
      <c r="J323" s="707"/>
      <c r="K323" s="707"/>
      <c r="L323" s="707"/>
      <c r="M323" s="402">
        <f>SUM(M319:M322)*$I323</f>
        <v>349.30451847391555</v>
      </c>
      <c r="N323" s="402">
        <f t="shared" ref="N323" si="215">SUM(N319:N322)*$I323</f>
        <v>525.33350694102808</v>
      </c>
      <c r="O323" s="402">
        <f t="shared" ref="O323:Q323" si="216">SUM(O319:O322)*$I323</f>
        <v>453.22952909534683</v>
      </c>
      <c r="P323" s="402">
        <f t="shared" si="216"/>
        <v>282.82289964383551</v>
      </c>
      <c r="Q323" s="402">
        <f t="shared" si="216"/>
        <v>349.30451847391555</v>
      </c>
      <c r="R323" s="409"/>
      <c r="S323" s="329"/>
      <c r="T323" s="329"/>
      <c r="U323" s="329"/>
      <c r="V323" s="329"/>
      <c r="W323" s="329"/>
      <c r="X323" s="329"/>
      <c r="Y323" s="364"/>
      <c r="Z323" s="364"/>
      <c r="AA323" s="364"/>
      <c r="AB323" s="364"/>
      <c r="AC323" s="364"/>
    </row>
    <row r="324" spans="1:29">
      <c r="A324" s="689" t="s">
        <v>560</v>
      </c>
      <c r="B324" s="407" t="s">
        <v>561</v>
      </c>
      <c r="C324" s="689"/>
      <c r="D324" s="574"/>
      <c r="E324" s="574"/>
      <c r="F324" s="574"/>
      <c r="G324" s="574"/>
      <c r="H324" s="574"/>
      <c r="I324" s="708"/>
      <c r="J324" s="707"/>
      <c r="K324" s="707"/>
      <c r="L324" s="707"/>
      <c r="M324" s="402">
        <f>SUM(M319:M323)</f>
        <v>10395.451152753913</v>
      </c>
      <c r="N324" s="402">
        <f t="shared" ref="N324" si="217">SUM(N319:N323)</f>
        <v>15634.14877703099</v>
      </c>
      <c r="O324" s="402">
        <f t="shared" ref="O324:Q324" si="218">SUM(O319:O323)</f>
        <v>13488.303704975324</v>
      </c>
      <c r="P324" s="402">
        <f t="shared" si="218"/>
        <v>8416.9298781838261</v>
      </c>
      <c r="Q324" s="402">
        <f t="shared" si="218"/>
        <v>10395.451152753913</v>
      </c>
      <c r="R324" s="409"/>
      <c r="S324" s="329"/>
      <c r="T324" s="329"/>
      <c r="U324" s="329"/>
      <c r="V324" s="329"/>
      <c r="W324" s="329"/>
      <c r="X324" s="329"/>
      <c r="Y324" s="364"/>
      <c r="Z324" s="364"/>
      <c r="AA324" s="364"/>
      <c r="AB324" s="364"/>
      <c r="AC324" s="364"/>
    </row>
    <row r="325" spans="1:29" ht="22.5">
      <c r="A325" s="635" t="s">
        <v>246</v>
      </c>
      <c r="B325" s="636" t="s">
        <v>562</v>
      </c>
      <c r="C325" s="637"/>
      <c r="D325" s="702"/>
      <c r="E325" s="702"/>
      <c r="F325" s="702"/>
      <c r="G325" s="702"/>
      <c r="H325" s="702"/>
      <c r="I325" s="710"/>
      <c r="J325" s="706"/>
      <c r="K325" s="706"/>
      <c r="L325" s="706"/>
      <c r="M325" s="639"/>
      <c r="N325" s="639"/>
      <c r="O325" s="639"/>
      <c r="P325" s="639"/>
      <c r="Q325" s="639"/>
      <c r="R325" s="703"/>
      <c r="S325" s="329"/>
      <c r="T325" s="329"/>
      <c r="U325" s="329"/>
      <c r="V325" s="329"/>
      <c r="W325" s="329"/>
      <c r="X325" s="329"/>
      <c r="Y325" s="364"/>
      <c r="Z325" s="364"/>
      <c r="AA325" s="364"/>
      <c r="AB325" s="364"/>
      <c r="AC325" s="364"/>
    </row>
    <row r="326" spans="1:29" ht="45">
      <c r="A326" s="689" t="s">
        <v>563</v>
      </c>
      <c r="B326" s="407" t="s">
        <v>551</v>
      </c>
      <c r="C326" s="689"/>
      <c r="D326" s="574"/>
      <c r="E326" s="574"/>
      <c r="F326" s="574"/>
      <c r="G326" s="574"/>
      <c r="H326" s="574"/>
      <c r="I326" s="708"/>
      <c r="J326" s="707"/>
      <c r="K326" s="707"/>
      <c r="L326" s="707"/>
      <c r="M326" s="402">
        <f>S316</f>
        <v>52382.012020274975</v>
      </c>
      <c r="N326" s="402">
        <f t="shared" ref="N326" si="219">T316</f>
        <v>99801.760195950192</v>
      </c>
      <c r="O326" s="402">
        <f>U316</f>
        <v>93655.500818628876</v>
      </c>
      <c r="P326" s="402">
        <f>V316</f>
        <v>31623.842904013494</v>
      </c>
      <c r="Q326" s="402">
        <f>W316</f>
        <v>60699.546355586084</v>
      </c>
      <c r="R326" s="409" t="s">
        <v>564</v>
      </c>
      <c r="S326" s="329"/>
      <c r="T326" s="329"/>
      <c r="U326" s="329"/>
      <c r="V326" s="329"/>
      <c r="W326" s="329"/>
      <c r="X326" s="329"/>
      <c r="Y326" s="364"/>
      <c r="Z326" s="364"/>
      <c r="AA326" s="364"/>
      <c r="AB326" s="364"/>
      <c r="AC326" s="364"/>
    </row>
    <row r="327" spans="1:29">
      <c r="A327" s="689" t="s">
        <v>210</v>
      </c>
      <c r="B327" s="407" t="s">
        <v>565</v>
      </c>
      <c r="C327" s="689"/>
      <c r="D327" s="574"/>
      <c r="E327" s="574"/>
      <c r="F327" s="574"/>
      <c r="G327" s="574"/>
      <c r="H327" s="574"/>
      <c r="I327" s="708"/>
      <c r="J327" s="707"/>
      <c r="K327" s="707"/>
      <c r="L327" s="707"/>
      <c r="M327" s="402">
        <f>Y316</f>
        <v>33013.548933035003</v>
      </c>
      <c r="N327" s="402">
        <f t="shared" ref="N327" si="220">Z316</f>
        <v>61814.09182243012</v>
      </c>
      <c r="O327" s="402">
        <f>AA316</f>
        <v>58574.581740308793</v>
      </c>
      <c r="P327" s="402">
        <f>AB316</f>
        <v>19591.180473613495</v>
      </c>
      <c r="Q327" s="402">
        <f>AC316</f>
        <v>37707.246868346105</v>
      </c>
      <c r="R327" s="409"/>
      <c r="S327" s="329"/>
      <c r="T327" s="329"/>
      <c r="U327" s="329"/>
      <c r="V327" s="329"/>
      <c r="W327" s="329"/>
      <c r="X327" s="329"/>
      <c r="Y327" s="364"/>
      <c r="Z327" s="364"/>
      <c r="AA327" s="364"/>
      <c r="AB327" s="364"/>
      <c r="AC327" s="364"/>
    </row>
    <row r="328" spans="1:29">
      <c r="A328" s="689" t="s">
        <v>566</v>
      </c>
      <c r="B328" s="407" t="s">
        <v>567</v>
      </c>
      <c r="C328" s="689"/>
      <c r="D328" s="574"/>
      <c r="E328" s="574"/>
      <c r="F328" s="574"/>
      <c r="G328" s="574"/>
      <c r="H328" s="574"/>
      <c r="I328" s="708">
        <v>0.1</v>
      </c>
      <c r="J328" s="707"/>
      <c r="K328" s="707"/>
      <c r="L328" s="707"/>
      <c r="M328" s="402">
        <f>(M326-M327)*$I328</f>
        <v>1936.8463087239973</v>
      </c>
      <c r="N328" s="402">
        <f t="shared" ref="N328" si="221">(N326-N327)*$I328</f>
        <v>3798.7668373520073</v>
      </c>
      <c r="O328" s="402">
        <f t="shared" ref="O328:Q328" si="222">(O326-O327)*$I328</f>
        <v>3508.0919078320085</v>
      </c>
      <c r="P328" s="402">
        <f t="shared" si="222"/>
        <v>1203.2662430400001</v>
      </c>
      <c r="Q328" s="402">
        <f t="shared" si="222"/>
        <v>2299.2299487239979</v>
      </c>
      <c r="R328" s="409"/>
      <c r="S328" s="329"/>
      <c r="T328" s="329"/>
      <c r="U328" s="329"/>
      <c r="V328" s="329"/>
      <c r="W328" s="329"/>
      <c r="X328" s="329"/>
      <c r="Y328" s="364"/>
      <c r="Z328" s="364"/>
      <c r="AA328" s="364"/>
      <c r="AB328" s="364"/>
      <c r="AC328" s="364"/>
    </row>
    <row r="329" spans="1:29">
      <c r="A329" s="689" t="s">
        <v>568</v>
      </c>
      <c r="B329" s="407" t="s">
        <v>569</v>
      </c>
      <c r="C329" s="689"/>
      <c r="D329" s="574"/>
      <c r="E329" s="574"/>
      <c r="F329" s="574"/>
      <c r="G329" s="574"/>
      <c r="H329" s="574"/>
      <c r="I329" s="708">
        <v>0.1</v>
      </c>
      <c r="J329" s="707"/>
      <c r="K329" s="707"/>
      <c r="L329" s="707"/>
      <c r="M329" s="402">
        <f>M327*$I329</f>
        <v>3301.3548933035004</v>
      </c>
      <c r="N329" s="402">
        <f t="shared" ref="N329" si="223">N327*$I329</f>
        <v>6181.4091822430128</v>
      </c>
      <c r="O329" s="402">
        <f t="shared" ref="O329:Q329" si="224">O327*$I329</f>
        <v>5857.4581740308795</v>
      </c>
      <c r="P329" s="402">
        <f t="shared" si="224"/>
        <v>1959.1180473613495</v>
      </c>
      <c r="Q329" s="402">
        <f t="shared" si="224"/>
        <v>3770.7246868346106</v>
      </c>
      <c r="R329" s="409"/>
      <c r="S329" s="329"/>
      <c r="T329" s="329"/>
      <c r="U329" s="329"/>
      <c r="V329" s="329"/>
      <c r="W329" s="329"/>
      <c r="X329" s="329"/>
      <c r="Y329" s="364"/>
      <c r="Z329" s="364"/>
      <c r="AA329" s="364"/>
      <c r="AB329" s="364"/>
      <c r="AC329" s="364"/>
    </row>
    <row r="330" spans="1:29" ht="22.5">
      <c r="A330" s="689" t="s">
        <v>570</v>
      </c>
      <c r="B330" s="407" t="s">
        <v>571</v>
      </c>
      <c r="C330" s="689"/>
      <c r="D330" s="574"/>
      <c r="E330" s="574"/>
      <c r="F330" s="574"/>
      <c r="G330" s="574"/>
      <c r="H330" s="574"/>
      <c r="I330" s="708">
        <v>0.1</v>
      </c>
      <c r="J330" s="707"/>
      <c r="K330" s="707"/>
      <c r="L330" s="707"/>
      <c r="M330" s="402">
        <f>(M326-M327)*$I330</f>
        <v>1936.8463087239973</v>
      </c>
      <c r="N330" s="402">
        <f t="shared" ref="N330" si="225">(N326-N327)*$I330</f>
        <v>3798.7668373520073</v>
      </c>
      <c r="O330" s="402">
        <f t="shared" ref="O330:Q330" si="226">(O326-O327)*$I330</f>
        <v>3508.0919078320085</v>
      </c>
      <c r="P330" s="402">
        <f t="shared" si="226"/>
        <v>1203.2662430400001</v>
      </c>
      <c r="Q330" s="402">
        <f t="shared" si="226"/>
        <v>2299.2299487239979</v>
      </c>
      <c r="R330" s="409" t="s">
        <v>572</v>
      </c>
      <c r="S330" s="329"/>
      <c r="T330" s="329"/>
      <c r="U330" s="329"/>
      <c r="V330" s="329"/>
      <c r="W330" s="329"/>
      <c r="X330" s="329"/>
      <c r="Y330" s="364"/>
      <c r="Z330" s="364"/>
      <c r="AA330" s="364"/>
      <c r="AB330" s="364"/>
      <c r="AC330" s="364"/>
    </row>
    <row r="331" spans="1:29" ht="22.5">
      <c r="A331" s="689" t="s">
        <v>573</v>
      </c>
      <c r="B331" s="407" t="s">
        <v>1855</v>
      </c>
      <c r="C331" s="689"/>
      <c r="D331" s="574"/>
      <c r="E331" s="574"/>
      <c r="F331" s="574"/>
      <c r="G331" s="574"/>
      <c r="H331" s="574"/>
      <c r="I331" s="708">
        <f>I322</f>
        <v>0</v>
      </c>
      <c r="J331" s="707"/>
      <c r="K331" s="707"/>
      <c r="L331" s="707"/>
      <c r="M331" s="402">
        <f>M326*$I331</f>
        <v>0</v>
      </c>
      <c r="N331" s="402">
        <f t="shared" ref="N331" si="227">N326*$I331</f>
        <v>0</v>
      </c>
      <c r="O331" s="402">
        <f t="shared" ref="O331:Q331" si="228">O326*$I331</f>
        <v>0</v>
      </c>
      <c r="P331" s="402">
        <f t="shared" si="228"/>
        <v>0</v>
      </c>
      <c r="Q331" s="402">
        <f t="shared" si="228"/>
        <v>0</v>
      </c>
      <c r="R331" s="409"/>
      <c r="S331" s="329"/>
      <c r="T331" s="329"/>
      <c r="U331" s="329"/>
      <c r="V331" s="329"/>
      <c r="W331" s="329"/>
      <c r="X331" s="329"/>
      <c r="Y331" s="364"/>
      <c r="Z331" s="364"/>
      <c r="AA331" s="364"/>
      <c r="AB331" s="364"/>
      <c r="AC331" s="364"/>
    </row>
    <row r="332" spans="1:29">
      <c r="A332" s="689" t="s">
        <v>575</v>
      </c>
      <c r="B332" s="407" t="s">
        <v>576</v>
      </c>
      <c r="C332" s="689"/>
      <c r="D332" s="574"/>
      <c r="E332" s="574"/>
      <c r="F332" s="574"/>
      <c r="G332" s="574"/>
      <c r="H332" s="574"/>
      <c r="I332" s="711">
        <f>I323</f>
        <v>3.4770000000000002E-2</v>
      </c>
      <c r="J332" s="707"/>
      <c r="K332" s="707"/>
      <c r="L332" s="707"/>
      <c r="M332" s="402">
        <f>(M326+M328+M329+M330+M331)*$I332</f>
        <v>2070.7989598937902</v>
      </c>
      <c r="N332" s="402">
        <f t="shared" ref="N332" si="229">(N326+N328+N329+N330+N331)*$I332</f>
        <v>3949.2010451492374</v>
      </c>
      <c r="O332" s="402">
        <f t="shared" ref="O332:Q332" si="230">(O326+O328+O329+O330+O331)*$I332</f>
        <v>3704.0182954454181</v>
      </c>
      <c r="P332" s="402">
        <f t="shared" si="230"/>
        <v>1251.354686820305</v>
      </c>
      <c r="Q332" s="402">
        <f t="shared" si="230"/>
        <v>2401.5197747792345</v>
      </c>
      <c r="R332" s="409"/>
      <c r="S332" s="329"/>
      <c r="T332" s="329"/>
      <c r="U332" s="329"/>
      <c r="V332" s="329"/>
      <c r="W332" s="329"/>
      <c r="X332" s="329"/>
      <c r="Y332" s="364"/>
      <c r="Z332" s="364"/>
      <c r="AA332" s="364"/>
      <c r="AB332" s="364"/>
      <c r="AC332" s="364"/>
    </row>
    <row r="333" spans="1:29">
      <c r="A333" s="689" t="s">
        <v>577</v>
      </c>
      <c r="B333" s="407" t="s">
        <v>578</v>
      </c>
      <c r="C333" s="689"/>
      <c r="D333" s="574"/>
      <c r="E333" s="574"/>
      <c r="F333" s="574"/>
      <c r="G333" s="574"/>
      <c r="H333" s="574"/>
      <c r="I333" s="708"/>
      <c r="J333" s="707"/>
      <c r="K333" s="707"/>
      <c r="L333" s="707"/>
      <c r="M333" s="402">
        <f>M326+M328+M329+M330+M331+M332</f>
        <v>61627.858490920255</v>
      </c>
      <c r="N333" s="402">
        <f t="shared" ref="N333" si="231">N326+N328+N329+N330+N331+N332</f>
        <v>117529.90409804648</v>
      </c>
      <c r="O333" s="402">
        <f t="shared" ref="O333:Q333" si="232">O326+O328+O329+O330+O331+O332</f>
        <v>110233.16110376921</v>
      </c>
      <c r="P333" s="402">
        <f t="shared" si="232"/>
        <v>37240.848124275151</v>
      </c>
      <c r="Q333" s="402">
        <f t="shared" si="232"/>
        <v>71470.250714647933</v>
      </c>
      <c r="R333" s="409"/>
      <c r="S333" s="329"/>
      <c r="T333" s="329"/>
      <c r="U333" s="329"/>
      <c r="V333" s="329"/>
      <c r="W333" s="329"/>
      <c r="X333" s="329"/>
      <c r="Y333" s="364"/>
      <c r="Z333" s="364"/>
      <c r="AA333" s="364"/>
      <c r="AB333" s="364"/>
      <c r="AC333" s="364"/>
    </row>
    <row r="334" spans="1:29" ht="22.5">
      <c r="A334" s="635" t="s">
        <v>136</v>
      </c>
      <c r="B334" s="636" t="s">
        <v>579</v>
      </c>
      <c r="C334" s="637"/>
      <c r="D334" s="702"/>
      <c r="E334" s="702"/>
      <c r="F334" s="702"/>
      <c r="G334" s="702"/>
      <c r="H334" s="702"/>
      <c r="I334" s="710"/>
      <c r="J334" s="706"/>
      <c r="K334" s="706"/>
      <c r="L334" s="706"/>
      <c r="M334" s="639"/>
      <c r="N334" s="639"/>
      <c r="O334" s="639"/>
      <c r="P334" s="639"/>
      <c r="Q334" s="639"/>
      <c r="R334" s="703"/>
      <c r="S334" s="329"/>
      <c r="T334" s="329"/>
      <c r="U334" s="329"/>
      <c r="V334" s="329"/>
      <c r="W334" s="329"/>
      <c r="X334" s="329"/>
      <c r="Y334" s="364"/>
      <c r="Z334" s="364"/>
      <c r="AA334" s="364"/>
      <c r="AB334" s="364"/>
      <c r="AC334" s="364"/>
    </row>
    <row r="335" spans="1:29" ht="56.25">
      <c r="A335" s="689" t="s">
        <v>580</v>
      </c>
      <c r="B335" s="407" t="s">
        <v>551</v>
      </c>
      <c r="C335" s="689"/>
      <c r="D335" s="574"/>
      <c r="E335" s="574"/>
      <c r="F335" s="574"/>
      <c r="G335" s="574"/>
      <c r="H335" s="574"/>
      <c r="I335" s="708"/>
      <c r="J335" s="707"/>
      <c r="K335" s="707"/>
      <c r="L335" s="707"/>
      <c r="M335" s="402">
        <f>M103+M115+M189+M164+M135+M167+M168+M299</f>
        <v>13225.339</v>
      </c>
      <c r="N335" s="402">
        <f>N103+N115+N189+N164+N135+N167+N168+N299</f>
        <v>17664.059499999999</v>
      </c>
      <c r="O335" s="402">
        <f>O103+O115+O189+O164+O135+O167+O168+O299</f>
        <v>14008.465</v>
      </c>
      <c r="P335" s="402">
        <f>P103+P115+P189+P164+P135+P167+P168+P299</f>
        <v>11208.211500000001</v>
      </c>
      <c r="Q335" s="402">
        <f>Q103+Q115+Q189+Q164+Q135+Q167+Q168+Q299</f>
        <v>13225.339</v>
      </c>
      <c r="R335" s="409" t="s">
        <v>581</v>
      </c>
      <c r="S335" s="329"/>
      <c r="T335" s="329"/>
      <c r="U335" s="329"/>
      <c r="V335" s="329"/>
      <c r="W335" s="329"/>
      <c r="X335" s="329"/>
      <c r="Y335" s="364"/>
      <c r="Z335" s="364"/>
      <c r="AA335" s="364"/>
      <c r="AB335" s="364"/>
      <c r="AC335" s="364"/>
    </row>
    <row r="336" spans="1:29">
      <c r="A336" s="689" t="s">
        <v>582</v>
      </c>
      <c r="B336" s="407" t="s">
        <v>583</v>
      </c>
      <c r="C336" s="689"/>
      <c r="D336" s="574"/>
      <c r="E336" s="574"/>
      <c r="F336" s="574"/>
      <c r="G336" s="574"/>
      <c r="H336" s="574"/>
      <c r="I336" s="708">
        <v>2.5000000000000001E-2</v>
      </c>
      <c r="J336" s="707"/>
      <c r="K336" s="707"/>
      <c r="L336" s="707"/>
      <c r="M336" s="402">
        <f>M335*$I$336</f>
        <v>330.63347500000003</v>
      </c>
      <c r="N336" s="402">
        <f t="shared" ref="N336" si="233">N335*$I$336</f>
        <v>441.60148750000002</v>
      </c>
      <c r="O336" s="402">
        <f t="shared" ref="O336:Q336" si="234">O335*$I$336</f>
        <v>350.21162500000003</v>
      </c>
      <c r="P336" s="402">
        <f t="shared" si="234"/>
        <v>280.20528750000005</v>
      </c>
      <c r="Q336" s="402">
        <f t="shared" si="234"/>
        <v>330.63347500000003</v>
      </c>
      <c r="R336" s="409"/>
      <c r="S336" s="329"/>
      <c r="T336" s="329"/>
      <c r="U336" s="329"/>
      <c r="V336" s="329"/>
      <c r="W336" s="329"/>
      <c r="X336" s="329"/>
      <c r="Y336" s="364"/>
      <c r="Z336" s="364"/>
      <c r="AA336" s="364"/>
      <c r="AB336" s="364"/>
      <c r="AC336" s="364"/>
    </row>
    <row r="337" spans="1:29">
      <c r="A337" s="689" t="s">
        <v>584</v>
      </c>
      <c r="B337" s="407" t="s">
        <v>585</v>
      </c>
      <c r="C337" s="689"/>
      <c r="D337" s="574"/>
      <c r="E337" s="574"/>
      <c r="F337" s="574"/>
      <c r="G337" s="574"/>
      <c r="H337" s="574"/>
      <c r="I337" s="434">
        <f>I323</f>
        <v>3.4770000000000002E-2</v>
      </c>
      <c r="J337" s="707"/>
      <c r="K337" s="707"/>
      <c r="L337" s="707"/>
      <c r="M337" s="402">
        <f>SUM(M335:M336)*$I$337</f>
        <v>471.34116295575006</v>
      </c>
      <c r="N337" s="402">
        <f t="shared" ref="N337" si="235">SUM(N335:N336)*$I$337</f>
        <v>629.53383253537504</v>
      </c>
      <c r="O337" s="402">
        <f t="shared" ref="O337:Q337" si="236">SUM(O335:O336)*$I$337</f>
        <v>499.25118625125003</v>
      </c>
      <c r="P337" s="402">
        <f t="shared" si="236"/>
        <v>399.45225170137508</v>
      </c>
      <c r="Q337" s="402">
        <f t="shared" si="236"/>
        <v>471.34116295575006</v>
      </c>
      <c r="R337" s="409"/>
      <c r="S337" s="329"/>
      <c r="T337" s="329"/>
      <c r="U337" s="329"/>
      <c r="V337" s="329"/>
      <c r="W337" s="329"/>
      <c r="X337" s="329"/>
      <c r="Y337" s="364"/>
      <c r="Z337" s="364"/>
      <c r="AA337" s="364"/>
      <c r="AB337" s="364"/>
      <c r="AC337" s="364"/>
    </row>
    <row r="338" spans="1:29">
      <c r="A338" s="689" t="s">
        <v>586</v>
      </c>
      <c r="B338" s="407" t="s">
        <v>587</v>
      </c>
      <c r="C338" s="689"/>
      <c r="D338" s="574"/>
      <c r="E338" s="574"/>
      <c r="F338" s="574"/>
      <c r="G338" s="574"/>
      <c r="H338" s="574"/>
      <c r="I338" s="712"/>
      <c r="J338" s="707"/>
      <c r="K338" s="707"/>
      <c r="L338" s="707"/>
      <c r="M338" s="402">
        <f>SUM(M335:M337)</f>
        <v>14027.313637955751</v>
      </c>
      <c r="N338" s="402">
        <f t="shared" ref="N338" si="237">SUM(N335:N337)</f>
        <v>18735.194820035373</v>
      </c>
      <c r="O338" s="402">
        <f t="shared" ref="O338:Q338" si="238">SUM(O335:O337)</f>
        <v>14857.927811251249</v>
      </c>
      <c r="P338" s="402">
        <f t="shared" si="238"/>
        <v>11887.869039201378</v>
      </c>
      <c r="Q338" s="402">
        <f t="shared" si="238"/>
        <v>14027.313637955751</v>
      </c>
      <c r="R338" s="409"/>
      <c r="S338" s="329"/>
      <c r="T338" s="329"/>
      <c r="U338" s="329"/>
      <c r="V338" s="329"/>
      <c r="W338" s="329"/>
      <c r="X338" s="329"/>
      <c r="Y338" s="364"/>
      <c r="Z338" s="364"/>
      <c r="AA338" s="364"/>
      <c r="AB338" s="364"/>
      <c r="AC338" s="364"/>
    </row>
    <row r="339" spans="1:29" s="451" customFormat="1">
      <c r="A339" s="685" t="s">
        <v>146</v>
      </c>
      <c r="B339" s="413" t="s">
        <v>588</v>
      </c>
      <c r="C339" s="685"/>
      <c r="D339" s="701"/>
      <c r="E339" s="701"/>
      <c r="F339" s="701"/>
      <c r="G339" s="701"/>
      <c r="H339" s="701"/>
      <c r="I339" s="709"/>
      <c r="J339" s="709"/>
      <c r="K339" s="709"/>
      <c r="L339" s="709"/>
      <c r="M339" s="687">
        <f>M324+M333+M338</f>
        <v>86050.623281629916</v>
      </c>
      <c r="N339" s="687">
        <f t="shared" ref="N339" si="239">N324+N333+N338</f>
        <v>151899.24769511283</v>
      </c>
      <c r="O339" s="687">
        <f t="shared" ref="O339:Q339" si="240">O324+O333+O338</f>
        <v>138579.39261999578</v>
      </c>
      <c r="P339" s="687">
        <f t="shared" si="240"/>
        <v>57545.647041660355</v>
      </c>
      <c r="Q339" s="687">
        <f t="shared" si="240"/>
        <v>95893.015505357602</v>
      </c>
      <c r="R339" s="404"/>
      <c r="S339" s="442"/>
      <c r="T339" s="442"/>
      <c r="U339" s="442"/>
      <c r="V339" s="442"/>
      <c r="W339" s="442"/>
      <c r="X339" s="442"/>
      <c r="Y339" s="443"/>
      <c r="Z339" s="443"/>
      <c r="AA339" s="443"/>
      <c r="AB339" s="443"/>
      <c r="AC339" s="443"/>
    </row>
  </sheetData>
  <sheetProtection formatCells="0" formatColumns="0" formatRows="0" insertRows="0" autoFilter="0"/>
  <protectedRanges>
    <protectedRange sqref="A291 I301:J301 I310 A315 C291:K291 B294:I296 I298:XFD300 A290:Q290 A292:XFD293 M291:XFD291 M315:XFD315 I311:XFD314 M310:XFD310 M301:XFD301 I302:XFD309 M294:XFD296 S290:XFD290 A298:H314" name="区域5" securityDescriptor=""/>
    <protectedRange sqref="D10:H17 D19:H314" name="区域1" securityDescriptor=""/>
    <protectedRange sqref="A8" name="区域2" securityDescriptor=""/>
    <protectedRange sqref="A9" name="区域3" securityDescriptor=""/>
    <protectedRange sqref="I322:I323" name="区域4" securityDescriptor=""/>
    <protectedRange sqref="D315:H315 A294:A296" name="区域5_1" securityDescriptor=""/>
    <protectedRange sqref="D315:H315" name="区域1_1" securityDescriptor=""/>
    <protectedRange sqref="L291" name="区域5_2" securityDescriptor=""/>
    <protectedRange sqref="B291" name="区域5_4" securityDescriptor=""/>
    <protectedRange sqref="J295:L296" name="区域5_3" securityDescriptor=""/>
    <protectedRange sqref="K301:L301" name="区域5_5" securityDescriptor=""/>
    <protectedRange sqref="J310:L310" name="区域5_6" securityDescriptor=""/>
    <protectedRange sqref="B315:C315" name="区域5_7" securityDescriptor=""/>
    <protectedRange sqref="I315:L315" name="区域5_8" securityDescriptor=""/>
  </protectedRanges>
  <autoFilter ref="A13:AC339"/>
  <mergeCells count="25">
    <mergeCell ref="S10:AC10"/>
    <mergeCell ref="S11:AC11"/>
    <mergeCell ref="S12:W12"/>
    <mergeCell ref="Y12:AC12"/>
    <mergeCell ref="A10:A13"/>
    <mergeCell ref="B10:B13"/>
    <mergeCell ref="C10:C13"/>
    <mergeCell ref="I10:I11"/>
    <mergeCell ref="I12:I13"/>
    <mergeCell ref="J11:J12"/>
    <mergeCell ref="K11:K12"/>
    <mergeCell ref="L11:L12"/>
    <mergeCell ref="R10:R12"/>
    <mergeCell ref="A8:B8"/>
    <mergeCell ref="A9:R9"/>
    <mergeCell ref="D10:H10"/>
    <mergeCell ref="J10:L10"/>
    <mergeCell ref="M10:Q10"/>
    <mergeCell ref="Q8:R8"/>
    <mergeCell ref="K2:R2"/>
    <mergeCell ref="S2:AC2"/>
    <mergeCell ref="K4:O4"/>
    <mergeCell ref="S4:AC4"/>
    <mergeCell ref="K5:N5"/>
    <mergeCell ref="S5:AC5"/>
  </mergeCells>
  <phoneticPr fontId="7" type="noConversion"/>
  <conditionalFormatting sqref="J283:J288 L302:L303">
    <cfRule type="cellIs" dxfId="32" priority="1" stopIfTrue="1" operator="equal">
      <formula>0</formula>
    </cfRule>
  </conditionalFormatting>
  <printOptions horizontalCentered="1"/>
  <pageMargins left="0.39370078740157483" right="0.19685039370078741" top="0.39370078740157483" bottom="0.39370078740157483" header="0.19685039370078741" footer="0.19685039370078741"/>
  <pageSetup paperSize="9" scale="78" firstPageNumber="4294963191" fitToHeight="0" orientation="landscape" blackAndWhite="1" r:id="rId1"/>
  <headerFooter alignWithMargins="0">
    <oddFooter>&amp;C第 &amp;P 页，共 &amp;N 页</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indexed="13"/>
    <pageSetUpPr fitToPage="1"/>
  </sheetPr>
  <dimension ref="A1:U209"/>
  <sheetViews>
    <sheetView view="pageBreakPreview" zoomScaleSheetLayoutView="100" workbookViewId="0">
      <pane xSplit="4" ySplit="6" topLeftCell="E166" activePane="bottomRight" state="frozen"/>
      <selection activeCell="J6" sqref="J6"/>
      <selection pane="topRight" activeCell="J6" sqref="J6"/>
      <selection pane="bottomLeft" activeCell="J6" sqref="J6"/>
      <selection pane="bottomRight" activeCell="F171" sqref="F171"/>
    </sheetView>
  </sheetViews>
  <sheetFormatPr defaultColWidth="9.125" defaultRowHeight="11.25"/>
  <cols>
    <col min="1" max="1" width="9.875" style="449" hidden="1" customWidth="1"/>
    <col min="2" max="2" width="4.125" style="449" bestFit="1" customWidth="1"/>
    <col min="3" max="3" width="18.625" style="449" customWidth="1"/>
    <col min="4" max="4" width="4.125" style="449" bestFit="1" customWidth="1"/>
    <col min="5" max="5" width="8.5" style="565" customWidth="1"/>
    <col min="6" max="6" width="29.875" style="565" customWidth="1"/>
    <col min="7" max="7" width="7.375" style="565" customWidth="1"/>
    <col min="8" max="8" width="37.875" style="473" customWidth="1"/>
    <col min="9" max="9" width="7.25" style="565" customWidth="1"/>
    <col min="10" max="11" width="8.375" style="565" customWidth="1"/>
    <col min="12" max="13" width="7.5" style="565" bestFit="1" customWidth="1"/>
    <col min="14" max="14" width="13" style="449" hidden="1" customWidth="1"/>
    <col min="15" max="15" width="11.375" style="449" hidden="1" customWidth="1"/>
    <col min="16" max="16" width="8.75" style="449" customWidth="1"/>
    <col min="17" max="17" width="13.75" style="449" customWidth="1"/>
    <col min="18" max="18" width="8.75" style="449" customWidth="1"/>
    <col min="19" max="19" width="7.375" style="449" customWidth="1"/>
    <col min="20" max="21" width="9" style="449" customWidth="1"/>
    <col min="22" max="16384" width="9.125" style="449"/>
  </cols>
  <sheetData>
    <row r="1" spans="1:21" ht="15.75" customHeight="1">
      <c r="B1" s="866" t="s">
        <v>590</v>
      </c>
      <c r="C1" s="866"/>
      <c r="O1" s="850" t="s">
        <v>196</v>
      </c>
      <c r="P1" s="851"/>
    </row>
    <row r="2" spans="1:21" ht="39" customHeight="1">
      <c r="B2" s="852" t="s">
        <v>1873</v>
      </c>
      <c r="C2" s="852"/>
      <c r="D2" s="852"/>
      <c r="E2" s="852"/>
      <c r="F2" s="852"/>
      <c r="G2" s="852"/>
      <c r="H2" s="852"/>
      <c r="I2" s="852"/>
      <c r="J2" s="852"/>
      <c r="K2" s="852"/>
      <c r="L2" s="852"/>
      <c r="M2" s="852"/>
      <c r="N2" s="852"/>
      <c r="O2" s="852"/>
      <c r="P2" s="852"/>
      <c r="Q2" s="355"/>
      <c r="R2" s="355"/>
      <c r="S2" s="355"/>
      <c r="T2" s="355"/>
      <c r="U2" s="355"/>
    </row>
    <row r="3" spans="1:21" s="452" customFormat="1" ht="24" customHeight="1">
      <c r="A3" s="460"/>
      <c r="B3" s="861" t="s">
        <v>54</v>
      </c>
      <c r="C3" s="861" t="s">
        <v>591</v>
      </c>
      <c r="D3" s="861" t="s">
        <v>198</v>
      </c>
      <c r="E3" s="871" t="s">
        <v>199</v>
      </c>
      <c r="F3" s="872"/>
      <c r="G3" s="872"/>
      <c r="H3" s="872"/>
      <c r="I3" s="873"/>
      <c r="J3" s="856" t="s">
        <v>200</v>
      </c>
      <c r="K3" s="856" t="s">
        <v>592</v>
      </c>
      <c r="L3" s="856"/>
      <c r="M3" s="856"/>
      <c r="N3" s="856" t="s">
        <v>202</v>
      </c>
      <c r="O3" s="856"/>
      <c r="P3" s="861" t="s">
        <v>57</v>
      </c>
      <c r="Q3" s="863"/>
      <c r="R3" s="863"/>
      <c r="S3" s="461"/>
      <c r="T3" s="863"/>
      <c r="U3" s="863"/>
    </row>
    <row r="4" spans="1:21" s="452" customFormat="1" ht="22.5" customHeight="1">
      <c r="A4" s="438"/>
      <c r="B4" s="861"/>
      <c r="C4" s="861"/>
      <c r="D4" s="861"/>
      <c r="E4" s="693" t="s">
        <v>594</v>
      </c>
      <c r="F4" s="868" t="s">
        <v>1913</v>
      </c>
      <c r="G4" s="693" t="s">
        <v>594</v>
      </c>
      <c r="H4" s="868" t="s">
        <v>1915</v>
      </c>
      <c r="I4" s="868" t="s">
        <v>1916</v>
      </c>
      <c r="J4" s="856"/>
      <c r="K4" s="856" t="s">
        <v>203</v>
      </c>
      <c r="L4" s="856" t="s">
        <v>204</v>
      </c>
      <c r="M4" s="856" t="s">
        <v>205</v>
      </c>
      <c r="N4" s="684" t="str">
        <f>+E4</f>
        <v>中档公寓大堂</v>
      </c>
      <c r="O4" s="684" t="str">
        <f>+G4</f>
        <v>中档公寓大堂</v>
      </c>
      <c r="P4" s="861"/>
      <c r="Q4" s="463"/>
      <c r="R4" s="463"/>
      <c r="S4" s="463"/>
      <c r="T4" s="463"/>
      <c r="U4" s="463"/>
    </row>
    <row r="5" spans="1:21" s="452" customFormat="1" ht="45">
      <c r="A5" s="438"/>
      <c r="B5" s="861"/>
      <c r="C5" s="861"/>
      <c r="D5" s="861"/>
      <c r="E5" s="693" t="s">
        <v>595</v>
      </c>
      <c r="F5" s="869"/>
      <c r="G5" s="693" t="s">
        <v>596</v>
      </c>
      <c r="H5" s="869"/>
      <c r="I5" s="869"/>
      <c r="J5" s="856"/>
      <c r="K5" s="856"/>
      <c r="L5" s="856"/>
      <c r="M5" s="856"/>
      <c r="N5" s="684" t="str">
        <f>+E5</f>
        <v>1#（实体样板房已装修部分）</v>
      </c>
      <c r="O5" s="684" t="str">
        <f>+G5</f>
        <v>1#（扣除已装修）</v>
      </c>
      <c r="P5" s="861"/>
      <c r="Q5" s="864" t="s">
        <v>593</v>
      </c>
      <c r="R5" s="865"/>
      <c r="S5" s="461"/>
      <c r="T5" s="865" t="s">
        <v>208</v>
      </c>
      <c r="U5" s="865"/>
    </row>
    <row r="6" spans="1:21" s="452" customFormat="1" ht="24" customHeight="1">
      <c r="A6" s="438"/>
      <c r="B6" s="861"/>
      <c r="C6" s="861"/>
      <c r="D6" s="861"/>
      <c r="E6" s="686" t="s">
        <v>209</v>
      </c>
      <c r="F6" s="870"/>
      <c r="G6" s="686" t="s">
        <v>210</v>
      </c>
      <c r="H6" s="870"/>
      <c r="I6" s="870"/>
      <c r="J6" s="704" t="s">
        <v>206</v>
      </c>
      <c r="K6" s="684" t="s">
        <v>217</v>
      </c>
      <c r="L6" s="684" t="s">
        <v>218</v>
      </c>
      <c r="M6" s="684" t="s">
        <v>219</v>
      </c>
      <c r="N6" s="687" t="s">
        <v>220</v>
      </c>
      <c r="O6" s="687" t="s">
        <v>221</v>
      </c>
      <c r="P6" s="861"/>
      <c r="Q6" s="583" t="s">
        <v>209</v>
      </c>
      <c r="R6" s="440" t="s">
        <v>210</v>
      </c>
      <c r="S6" s="463"/>
      <c r="T6" s="440" t="s">
        <v>209</v>
      </c>
      <c r="U6" s="440" t="s">
        <v>210</v>
      </c>
    </row>
    <row r="7" spans="1:21" s="451" customFormat="1" ht="24" customHeight="1">
      <c r="A7" s="438"/>
      <c r="B7" s="635" t="s">
        <v>58</v>
      </c>
      <c r="C7" s="644" t="s">
        <v>229</v>
      </c>
      <c r="D7" s="635"/>
      <c r="E7" s="636" t="s">
        <v>1859</v>
      </c>
      <c r="F7" s="636"/>
      <c r="G7" s="636"/>
      <c r="H7" s="635"/>
      <c r="I7" s="636"/>
      <c r="J7" s="636"/>
      <c r="K7" s="636"/>
      <c r="L7" s="636"/>
      <c r="M7" s="636"/>
      <c r="N7" s="645"/>
      <c r="O7" s="645"/>
      <c r="P7" s="636" t="s">
        <v>1859</v>
      </c>
      <c r="Q7" s="584"/>
      <c r="R7" s="467"/>
      <c r="S7" s="461"/>
      <c r="T7" s="467"/>
      <c r="U7" s="467"/>
    </row>
    <row r="8" spans="1:21" ht="45" customHeight="1">
      <c r="A8" s="300"/>
      <c r="B8" s="689">
        <v>1</v>
      </c>
      <c r="C8" s="431" t="s">
        <v>597</v>
      </c>
      <c r="D8" s="689" t="s">
        <v>231</v>
      </c>
      <c r="E8" s="717">
        <v>0</v>
      </c>
      <c r="F8" s="717"/>
      <c r="G8" s="575">
        <f>4.05-G10</f>
        <v>1.5299999999999998</v>
      </c>
      <c r="H8" s="791"/>
      <c r="I8" s="575"/>
      <c r="J8" s="567">
        <f t="shared" ref="J8" si="0">K8+K8*L8%+M8</f>
        <v>87.995999999999995</v>
      </c>
      <c r="K8" s="567">
        <v>15</v>
      </c>
      <c r="L8" s="567">
        <v>10</v>
      </c>
      <c r="M8" s="567">
        <v>71.495999999999995</v>
      </c>
      <c r="N8" s="403">
        <f t="shared" ref="N8:N23" si="1">E8*$J8</f>
        <v>0</v>
      </c>
      <c r="O8" s="403">
        <f t="shared" ref="O8:O23" si="2">G8*$J8</f>
        <v>134.63387999999998</v>
      </c>
      <c r="P8" s="407"/>
      <c r="Q8" s="585"/>
      <c r="R8" s="468"/>
      <c r="S8" s="388"/>
      <c r="T8" s="468"/>
      <c r="U8" s="468"/>
    </row>
    <row r="9" spans="1:21" ht="45" customHeight="1">
      <c r="A9" s="300"/>
      <c r="B9" s="689">
        <v>2</v>
      </c>
      <c r="C9" s="431" t="s">
        <v>598</v>
      </c>
      <c r="D9" s="689" t="s">
        <v>231</v>
      </c>
      <c r="E9" s="575">
        <v>0</v>
      </c>
      <c r="F9" s="575"/>
      <c r="G9" s="575">
        <f>45.95-4.05</f>
        <v>41.900000000000006</v>
      </c>
      <c r="H9" s="791" t="s">
        <v>1914</v>
      </c>
      <c r="I9" s="575" t="e">
        <f>CCC</f>
        <v>#NAME?</v>
      </c>
      <c r="J9" s="567">
        <f t="shared" ref="J9:J17" si="3">K9+K9*L9%+M9</f>
        <v>105.06</v>
      </c>
      <c r="K9" s="567">
        <v>15</v>
      </c>
      <c r="L9" s="567">
        <v>10</v>
      </c>
      <c r="M9" s="567">
        <v>88.56</v>
      </c>
      <c r="N9" s="403">
        <f t="shared" si="1"/>
        <v>0</v>
      </c>
      <c r="O9" s="403">
        <f t="shared" si="2"/>
        <v>4402.014000000001</v>
      </c>
      <c r="P9" s="407"/>
      <c r="Q9" s="585"/>
      <c r="R9" s="468"/>
      <c r="S9" s="388"/>
      <c r="T9" s="468"/>
      <c r="U9" s="468"/>
    </row>
    <row r="10" spans="1:21" ht="45" customHeight="1">
      <c r="A10" s="300"/>
      <c r="B10" s="689">
        <v>3</v>
      </c>
      <c r="C10" s="431" t="s">
        <v>599</v>
      </c>
      <c r="D10" s="689" t="s">
        <v>231</v>
      </c>
      <c r="E10" s="575">
        <v>0</v>
      </c>
      <c r="F10" s="575"/>
      <c r="G10" s="717">
        <v>2.52</v>
      </c>
      <c r="H10" s="792"/>
      <c r="I10" s="717"/>
      <c r="J10" s="567">
        <f t="shared" si="3"/>
        <v>79.14</v>
      </c>
      <c r="K10" s="567">
        <v>15</v>
      </c>
      <c r="L10" s="567">
        <v>10</v>
      </c>
      <c r="M10" s="567">
        <v>62.64</v>
      </c>
      <c r="N10" s="403">
        <f t="shared" si="1"/>
        <v>0</v>
      </c>
      <c r="O10" s="403">
        <f t="shared" si="2"/>
        <v>199.43280000000001</v>
      </c>
      <c r="P10" s="407"/>
      <c r="Q10" s="585"/>
      <c r="R10" s="468"/>
      <c r="S10" s="388"/>
      <c r="T10" s="468"/>
      <c r="U10" s="468"/>
    </row>
    <row r="11" spans="1:21" ht="45" customHeight="1">
      <c r="A11" s="300"/>
      <c r="B11" s="689">
        <v>4</v>
      </c>
      <c r="C11" s="431" t="s">
        <v>600</v>
      </c>
      <c r="D11" s="689" t="s">
        <v>231</v>
      </c>
      <c r="E11" s="575">
        <f>10.47-6.17+11.91-3.57</f>
        <v>12.64</v>
      </c>
      <c r="F11" s="575"/>
      <c r="G11" s="575">
        <f>5.7-2.48+12.33-6.17</f>
        <v>9.3800000000000008</v>
      </c>
      <c r="H11" s="791" t="s">
        <v>1917</v>
      </c>
      <c r="I11" s="575" t="e">
        <f>CCC</f>
        <v>#NAME?</v>
      </c>
      <c r="J11" s="567">
        <f t="shared" si="3"/>
        <v>125.896</v>
      </c>
      <c r="K11" s="567">
        <v>20</v>
      </c>
      <c r="L11" s="567">
        <v>10</v>
      </c>
      <c r="M11" s="567">
        <v>103.896</v>
      </c>
      <c r="N11" s="403">
        <f t="shared" si="1"/>
        <v>1591.3254400000001</v>
      </c>
      <c r="O11" s="403">
        <f t="shared" si="2"/>
        <v>1180.9044800000001</v>
      </c>
      <c r="P11" s="407"/>
      <c r="Q11" s="585"/>
      <c r="R11" s="468"/>
      <c r="S11" s="388"/>
      <c r="T11" s="468"/>
      <c r="U11" s="468"/>
    </row>
    <row r="12" spans="1:21" ht="45" customHeight="1">
      <c r="A12" s="300"/>
      <c r="B12" s="689">
        <v>5</v>
      </c>
      <c r="C12" s="431" t="s">
        <v>601</v>
      </c>
      <c r="D12" s="689" t="s">
        <v>231</v>
      </c>
      <c r="E12" s="575">
        <f>19.11-10.79</f>
        <v>8.32</v>
      </c>
      <c r="F12" s="575"/>
      <c r="G12" s="575">
        <f>10.2-4.78</f>
        <v>5.419999999999999</v>
      </c>
      <c r="H12" s="791" t="s">
        <v>1942</v>
      </c>
      <c r="I12" s="575" t="e">
        <f>CCC</f>
        <v>#NAME?</v>
      </c>
      <c r="J12" s="567">
        <f t="shared" si="3"/>
        <v>142.95999999999998</v>
      </c>
      <c r="K12" s="567">
        <v>20</v>
      </c>
      <c r="L12" s="567">
        <v>10</v>
      </c>
      <c r="M12" s="567">
        <v>120.96</v>
      </c>
      <c r="N12" s="403">
        <f t="shared" si="1"/>
        <v>1189.4271999999999</v>
      </c>
      <c r="O12" s="403">
        <f t="shared" si="2"/>
        <v>774.8431999999998</v>
      </c>
      <c r="P12" s="407"/>
      <c r="Q12" s="585"/>
      <c r="R12" s="468"/>
      <c r="S12" s="388"/>
      <c r="T12" s="468"/>
      <c r="U12" s="468"/>
    </row>
    <row r="13" spans="1:21" ht="36.4" customHeight="1">
      <c r="A13" s="300"/>
      <c r="B13" s="689">
        <v>6</v>
      </c>
      <c r="C13" s="431" t="s">
        <v>602</v>
      </c>
      <c r="D13" s="689" t="s">
        <v>231</v>
      </c>
      <c r="E13" s="575"/>
      <c r="F13" s="575"/>
      <c r="G13" s="575"/>
      <c r="H13" s="791"/>
      <c r="I13" s="575"/>
      <c r="J13" s="567">
        <f t="shared" si="3"/>
        <v>93.495999999999995</v>
      </c>
      <c r="K13" s="567">
        <v>20</v>
      </c>
      <c r="L13" s="567">
        <v>10</v>
      </c>
      <c r="M13" s="567">
        <v>71.495999999999995</v>
      </c>
      <c r="N13" s="403">
        <f t="shared" si="1"/>
        <v>0</v>
      </c>
      <c r="O13" s="403">
        <f t="shared" si="2"/>
        <v>0</v>
      </c>
      <c r="P13" s="407"/>
      <c r="Q13" s="585"/>
      <c r="R13" s="468"/>
      <c r="S13" s="388"/>
      <c r="T13" s="468"/>
      <c r="U13" s="468"/>
    </row>
    <row r="14" spans="1:21" ht="40.15" customHeight="1">
      <c r="A14" s="300"/>
      <c r="B14" s="689">
        <v>9</v>
      </c>
      <c r="C14" s="431" t="s">
        <v>603</v>
      </c>
      <c r="D14" s="689" t="s">
        <v>231</v>
      </c>
      <c r="E14" s="575">
        <f>6.17+3.57</f>
        <v>9.74</v>
      </c>
      <c r="F14" s="575"/>
      <c r="G14" s="575">
        <f>2.48+6.17</f>
        <v>8.65</v>
      </c>
      <c r="H14" s="791"/>
      <c r="I14" s="575"/>
      <c r="J14" s="567">
        <f t="shared" si="3"/>
        <v>84.64</v>
      </c>
      <c r="K14" s="567">
        <v>20</v>
      </c>
      <c r="L14" s="567">
        <v>10</v>
      </c>
      <c r="M14" s="567">
        <v>62.64</v>
      </c>
      <c r="N14" s="403">
        <f t="shared" si="1"/>
        <v>824.39359999999999</v>
      </c>
      <c r="O14" s="403">
        <f t="shared" si="2"/>
        <v>732.13600000000008</v>
      </c>
      <c r="P14" s="407"/>
      <c r="Q14" s="585"/>
      <c r="R14" s="468"/>
      <c r="S14" s="388"/>
      <c r="T14" s="468"/>
      <c r="U14" s="468"/>
    </row>
    <row r="15" spans="1:21" ht="33.75">
      <c r="A15" s="300"/>
      <c r="B15" s="689">
        <v>10</v>
      </c>
      <c r="C15" s="431" t="s">
        <v>243</v>
      </c>
      <c r="D15" s="689" t="s">
        <v>231</v>
      </c>
      <c r="E15" s="575">
        <f>E11+E12+E14+13.68*0.1+14.32*0.25+8.64*0.03+7.84*0.08-3.57+2.42</f>
        <v>35.384400000000007</v>
      </c>
      <c r="F15" s="575"/>
      <c r="G15" s="575">
        <f>G11+G12+G14+13.77*0.2+9.65*0.25+8.85*0.1+6.45*0.05</f>
        <v>29.824000000000009</v>
      </c>
      <c r="H15" s="797" t="s">
        <v>1943</v>
      </c>
      <c r="I15" s="575" t="e">
        <f>CCC</f>
        <v>#NAME?</v>
      </c>
      <c r="J15" s="567">
        <f t="shared" si="3"/>
        <v>21.43271</v>
      </c>
      <c r="K15" s="567">
        <f>'附件4-8甲供材料清单'!N220</f>
        <v>2.2087100000000004</v>
      </c>
      <c r="L15" s="567">
        <v>0</v>
      </c>
      <c r="M15" s="567">
        <v>19.224</v>
      </c>
      <c r="N15" s="403">
        <f t="shared" si="1"/>
        <v>758.38358372400012</v>
      </c>
      <c r="O15" s="403">
        <f t="shared" si="2"/>
        <v>639.20914304000019</v>
      </c>
      <c r="P15" s="407" t="s">
        <v>244</v>
      </c>
      <c r="Q15" s="585">
        <f>N15</f>
        <v>758.38358372400012</v>
      </c>
      <c r="R15" s="468">
        <f>O15</f>
        <v>639.20914304000019</v>
      </c>
      <c r="S15" s="388"/>
      <c r="T15" s="468">
        <f>E15*$K15*(1+$L15%)</f>
        <v>78.15387812400003</v>
      </c>
      <c r="U15" s="468">
        <f>G15*$K15*(1+$L15%)</f>
        <v>65.872567040000035</v>
      </c>
    </row>
    <row r="16" spans="1:21" ht="40.15" customHeight="1">
      <c r="A16" s="300"/>
      <c r="B16" s="689">
        <v>11</v>
      </c>
      <c r="C16" s="431" t="s">
        <v>604</v>
      </c>
      <c r="D16" s="689" t="s">
        <v>231</v>
      </c>
      <c r="E16" s="575">
        <v>0</v>
      </c>
      <c r="F16" s="575"/>
      <c r="G16" s="575">
        <f>G8+G9+G10+6.87*0.05+8.47*0.05</f>
        <v>46.717000000000006</v>
      </c>
      <c r="H16" s="797" t="s">
        <v>1944</v>
      </c>
      <c r="I16" s="575" t="e">
        <f>CCC</f>
        <v>#NAME?</v>
      </c>
      <c r="J16" s="567">
        <f t="shared" si="3"/>
        <v>22.01651</v>
      </c>
      <c r="K16" s="567">
        <f>'附件4-8甲供材料清单'!N222</f>
        <v>2.79251</v>
      </c>
      <c r="L16" s="567">
        <v>0</v>
      </c>
      <c r="M16" s="567">
        <v>19.224</v>
      </c>
      <c r="N16" s="403">
        <f t="shared" si="1"/>
        <v>0</v>
      </c>
      <c r="O16" s="403">
        <f t="shared" si="2"/>
        <v>1028.5452976700001</v>
      </c>
      <c r="P16" s="407" t="s">
        <v>244</v>
      </c>
      <c r="Q16" s="585">
        <f>N16</f>
        <v>0</v>
      </c>
      <c r="R16" s="468">
        <f>O16</f>
        <v>1028.5452976700001</v>
      </c>
      <c r="S16" s="388"/>
      <c r="T16" s="468">
        <f>E16*$K16*(1+$L16%)</f>
        <v>0</v>
      </c>
      <c r="U16" s="468">
        <f>G16*$K16*(1+$L16%)</f>
        <v>130.45768967000001</v>
      </c>
    </row>
    <row r="17" spans="1:21" ht="28.5" customHeight="1">
      <c r="A17" s="300"/>
      <c r="B17" s="689">
        <v>12</v>
      </c>
      <c r="C17" s="431" t="s">
        <v>605</v>
      </c>
      <c r="D17" s="689" t="s">
        <v>235</v>
      </c>
      <c r="E17" s="718"/>
      <c r="F17" s="718"/>
      <c r="G17" s="718"/>
      <c r="H17" s="793"/>
      <c r="I17" s="718"/>
      <c r="J17" s="567">
        <f t="shared" si="3"/>
        <v>28.396000000000001</v>
      </c>
      <c r="K17" s="567">
        <v>10</v>
      </c>
      <c r="L17" s="567">
        <v>9</v>
      </c>
      <c r="M17" s="567">
        <v>17.495999999999999</v>
      </c>
      <c r="N17" s="403">
        <f t="shared" si="1"/>
        <v>0</v>
      </c>
      <c r="O17" s="403">
        <f t="shared" si="2"/>
        <v>0</v>
      </c>
      <c r="P17" s="407"/>
      <c r="Q17" s="585"/>
      <c r="R17" s="468"/>
      <c r="S17" s="388"/>
      <c r="T17" s="468"/>
      <c r="U17" s="468"/>
    </row>
    <row r="18" spans="1:21" ht="28.5" customHeight="1">
      <c r="A18" s="300" t="s">
        <v>606</v>
      </c>
      <c r="B18" s="689" t="s">
        <v>278</v>
      </c>
      <c r="C18" s="431" t="s">
        <v>607</v>
      </c>
      <c r="D18" s="689" t="s">
        <v>235</v>
      </c>
      <c r="E18" s="718"/>
      <c r="F18" s="718"/>
      <c r="G18" s="718"/>
      <c r="H18" s="793"/>
      <c r="I18" s="718"/>
      <c r="J18" s="567">
        <f t="shared" ref="J18" si="4">K18+K18*L18%+M18</f>
        <v>28.396000000000001</v>
      </c>
      <c r="K18" s="567">
        <v>10</v>
      </c>
      <c r="L18" s="567">
        <v>9</v>
      </c>
      <c r="M18" s="567">
        <v>17.495999999999999</v>
      </c>
      <c r="N18" s="403">
        <f t="shared" si="1"/>
        <v>0</v>
      </c>
      <c r="O18" s="403">
        <f t="shared" si="2"/>
        <v>0</v>
      </c>
      <c r="P18" s="407"/>
      <c r="Q18" s="585"/>
      <c r="R18" s="468"/>
      <c r="S18" s="388"/>
      <c r="T18" s="468"/>
      <c r="U18" s="468"/>
    </row>
    <row r="19" spans="1:21" ht="28.5" customHeight="1">
      <c r="A19" s="300"/>
      <c r="B19" s="689">
        <v>13</v>
      </c>
      <c r="C19" s="431" t="s">
        <v>608</v>
      </c>
      <c r="D19" s="689" t="s">
        <v>235</v>
      </c>
      <c r="E19" s="718"/>
      <c r="F19" s="718"/>
      <c r="G19" s="718"/>
      <c r="H19" s="793"/>
      <c r="I19" s="718"/>
      <c r="J19" s="567">
        <f>K19+K19*L19%+M19</f>
        <v>15.25</v>
      </c>
      <c r="K19" s="567">
        <v>5</v>
      </c>
      <c r="L19" s="567">
        <v>9</v>
      </c>
      <c r="M19" s="567">
        <v>9.8000000000000007</v>
      </c>
      <c r="N19" s="403">
        <f t="shared" si="1"/>
        <v>0</v>
      </c>
      <c r="O19" s="403">
        <f t="shared" si="2"/>
        <v>0</v>
      </c>
      <c r="P19" s="407"/>
      <c r="Q19" s="585"/>
      <c r="R19" s="468"/>
      <c r="S19" s="388"/>
      <c r="T19" s="468"/>
      <c r="U19" s="468"/>
    </row>
    <row r="20" spans="1:21" ht="28.5" customHeight="1">
      <c r="A20" s="300"/>
      <c r="B20" s="689">
        <v>14</v>
      </c>
      <c r="C20" s="431" t="s">
        <v>609</v>
      </c>
      <c r="D20" s="689" t="s">
        <v>235</v>
      </c>
      <c r="E20" s="718"/>
      <c r="F20" s="718"/>
      <c r="G20" s="718"/>
      <c r="H20" s="793"/>
      <c r="I20" s="718"/>
      <c r="J20" s="567">
        <f>K20+K20*L20%+M20</f>
        <v>13.108000000000001</v>
      </c>
      <c r="K20" s="567">
        <v>4</v>
      </c>
      <c r="L20" s="567">
        <v>9</v>
      </c>
      <c r="M20" s="567">
        <v>8.7479999999999993</v>
      </c>
      <c r="N20" s="403">
        <f t="shared" si="1"/>
        <v>0</v>
      </c>
      <c r="O20" s="403">
        <f t="shared" si="2"/>
        <v>0</v>
      </c>
      <c r="P20" s="407"/>
      <c r="Q20" s="585"/>
      <c r="R20" s="468"/>
      <c r="S20" s="388"/>
      <c r="T20" s="468"/>
      <c r="U20" s="468"/>
    </row>
    <row r="21" spans="1:21" ht="28.5" customHeight="1">
      <c r="A21" s="300"/>
      <c r="B21" s="689">
        <v>15</v>
      </c>
      <c r="C21" s="431" t="s">
        <v>610</v>
      </c>
      <c r="D21" s="689" t="s">
        <v>235</v>
      </c>
      <c r="E21" s="718"/>
      <c r="F21" s="718"/>
      <c r="G21" s="718"/>
      <c r="H21" s="793"/>
      <c r="I21" s="718"/>
      <c r="J21" s="567">
        <f>K21+K21*L21%+M21</f>
        <v>12.023</v>
      </c>
      <c r="K21" s="567">
        <v>3.5</v>
      </c>
      <c r="L21" s="567">
        <v>9</v>
      </c>
      <c r="M21" s="567">
        <v>8.2080000000000002</v>
      </c>
      <c r="N21" s="403">
        <f t="shared" si="1"/>
        <v>0</v>
      </c>
      <c r="O21" s="403">
        <f t="shared" si="2"/>
        <v>0</v>
      </c>
      <c r="P21" s="407"/>
      <c r="Q21" s="585"/>
      <c r="R21" s="468"/>
      <c r="S21" s="388"/>
      <c r="T21" s="468"/>
      <c r="U21" s="468"/>
    </row>
    <row r="22" spans="1:21" ht="33.75">
      <c r="A22" s="300"/>
      <c r="B22" s="689">
        <v>16</v>
      </c>
      <c r="C22" s="431" t="s">
        <v>611</v>
      </c>
      <c r="D22" s="689" t="s">
        <v>231</v>
      </c>
      <c r="E22" s="718"/>
      <c r="F22" s="718"/>
      <c r="G22" s="718"/>
      <c r="H22" s="793"/>
      <c r="I22" s="718"/>
      <c r="J22" s="567">
        <f>K22+K22*L22%+M22</f>
        <v>31.865000000000002</v>
      </c>
      <c r="K22" s="567">
        <f>'附件4-8甲供材料清单'!K198</f>
        <v>7.15</v>
      </c>
      <c r="L22" s="567">
        <v>10</v>
      </c>
      <c r="M22" s="567">
        <v>24</v>
      </c>
      <c r="N22" s="403">
        <f t="shared" si="1"/>
        <v>0</v>
      </c>
      <c r="O22" s="403">
        <f t="shared" si="2"/>
        <v>0</v>
      </c>
      <c r="P22" s="407" t="s">
        <v>244</v>
      </c>
      <c r="Q22" s="585">
        <f>N22</f>
        <v>0</v>
      </c>
      <c r="R22" s="468">
        <f>O22</f>
        <v>0</v>
      </c>
      <c r="S22" s="388"/>
      <c r="T22" s="468">
        <f>E22*$K22*(1+$L22%)</f>
        <v>0</v>
      </c>
      <c r="U22" s="468">
        <f>G22*$K22*(1+$L22%)</f>
        <v>0</v>
      </c>
    </row>
    <row r="23" spans="1:21" ht="28.5" customHeight="1">
      <c r="A23" s="300"/>
      <c r="B23" s="689">
        <v>17</v>
      </c>
      <c r="C23" s="431" t="s">
        <v>613</v>
      </c>
      <c r="D23" s="689" t="s">
        <v>231</v>
      </c>
      <c r="E23" s="718"/>
      <c r="F23" s="718"/>
      <c r="G23" s="718"/>
      <c r="H23" s="793"/>
      <c r="I23" s="718"/>
      <c r="J23" s="567">
        <f>K23+K23*L23%+M23</f>
        <v>95.25</v>
      </c>
      <c r="K23" s="567">
        <v>65</v>
      </c>
      <c r="L23" s="567">
        <v>5</v>
      </c>
      <c r="M23" s="567">
        <v>27</v>
      </c>
      <c r="N23" s="403">
        <f t="shared" si="1"/>
        <v>0</v>
      </c>
      <c r="O23" s="403">
        <f t="shared" si="2"/>
        <v>0</v>
      </c>
      <c r="P23" s="407"/>
      <c r="Q23" s="585"/>
      <c r="R23" s="468"/>
      <c r="S23" s="388"/>
      <c r="T23" s="468"/>
      <c r="U23" s="468"/>
    </row>
    <row r="24" spans="1:21" s="451" customFormat="1" ht="17.25" customHeight="1">
      <c r="A24" s="438"/>
      <c r="B24" s="635" t="s">
        <v>60</v>
      </c>
      <c r="C24" s="644" t="s">
        <v>247</v>
      </c>
      <c r="D24" s="635"/>
      <c r="E24" s="636" t="s">
        <v>1859</v>
      </c>
      <c r="F24" s="636"/>
      <c r="G24" s="636"/>
      <c r="H24" s="635"/>
      <c r="I24" s="636"/>
      <c r="J24" s="636"/>
      <c r="K24" s="636"/>
      <c r="L24" s="636"/>
      <c r="M24" s="636"/>
      <c r="N24" s="643"/>
      <c r="O24" s="643"/>
      <c r="P24" s="636" t="s">
        <v>1859</v>
      </c>
      <c r="Q24" s="584"/>
      <c r="R24" s="467"/>
      <c r="S24" s="461"/>
      <c r="T24" s="467"/>
      <c r="U24" s="467"/>
    </row>
    <row r="25" spans="1:21" ht="22.5">
      <c r="A25" s="300"/>
      <c r="B25" s="689">
        <v>1</v>
      </c>
      <c r="C25" s="431" t="s">
        <v>615</v>
      </c>
      <c r="D25" s="689" t="s">
        <v>231</v>
      </c>
      <c r="E25" s="718"/>
      <c r="F25" s="718"/>
      <c r="G25" s="718"/>
      <c r="H25" s="793"/>
      <c r="I25" s="718"/>
      <c r="J25" s="567">
        <f t="shared" ref="J25" si="5">K25+K25*L25%+M25</f>
        <v>156.30799999999999</v>
      </c>
      <c r="K25" s="567">
        <v>90</v>
      </c>
      <c r="L25" s="567">
        <v>2</v>
      </c>
      <c r="M25" s="567">
        <v>64.507999999999996</v>
      </c>
      <c r="N25" s="403">
        <f t="shared" ref="N25:N41" si="6">E25*$J25</f>
        <v>0</v>
      </c>
      <c r="O25" s="403">
        <f t="shared" ref="O25:O41" si="7">G25*$J25</f>
        <v>0</v>
      </c>
      <c r="P25" s="407"/>
      <c r="Q25" s="585"/>
      <c r="R25" s="468"/>
      <c r="S25" s="388"/>
      <c r="T25" s="468"/>
      <c r="U25" s="468"/>
    </row>
    <row r="26" spans="1:21" ht="33.75">
      <c r="A26" s="300"/>
      <c r="B26" s="689">
        <v>2</v>
      </c>
      <c r="C26" s="431" t="s">
        <v>616</v>
      </c>
      <c r="D26" s="689" t="s">
        <v>231</v>
      </c>
      <c r="E26" s="718"/>
      <c r="F26" s="718"/>
      <c r="G26" s="718"/>
      <c r="H26" s="793"/>
      <c r="I26" s="718"/>
      <c r="J26" s="567">
        <f t="shared" ref="J26:J38" si="8">K26+K26*L26%+M26</f>
        <v>168.404</v>
      </c>
      <c r="K26" s="567">
        <v>90</v>
      </c>
      <c r="L26" s="567">
        <v>2</v>
      </c>
      <c r="M26" s="567">
        <v>76.603999999999999</v>
      </c>
      <c r="N26" s="403">
        <f t="shared" si="6"/>
        <v>0</v>
      </c>
      <c r="O26" s="403">
        <f t="shared" si="7"/>
        <v>0</v>
      </c>
      <c r="P26" s="407"/>
      <c r="Q26" s="585"/>
      <c r="R26" s="468"/>
      <c r="S26" s="388"/>
      <c r="T26" s="468"/>
      <c r="U26" s="468"/>
    </row>
    <row r="27" spans="1:21" ht="45">
      <c r="A27" s="300"/>
      <c r="B27" s="689">
        <v>3</v>
      </c>
      <c r="C27" s="431" t="s">
        <v>617</v>
      </c>
      <c r="D27" s="689" t="s">
        <v>231</v>
      </c>
      <c r="E27" s="718"/>
      <c r="F27" s="718"/>
      <c r="G27" s="718"/>
      <c r="H27" s="793"/>
      <c r="I27" s="718"/>
      <c r="J27" s="567">
        <f t="shared" si="8"/>
        <v>156.31</v>
      </c>
      <c r="K27" s="567">
        <v>90</v>
      </c>
      <c r="L27" s="567">
        <v>2</v>
      </c>
      <c r="M27" s="567">
        <v>64.510000000000005</v>
      </c>
      <c r="N27" s="403">
        <f t="shared" si="6"/>
        <v>0</v>
      </c>
      <c r="O27" s="403">
        <f t="shared" si="7"/>
        <v>0</v>
      </c>
      <c r="P27" s="407"/>
      <c r="Q27" s="585"/>
      <c r="R27" s="468"/>
      <c r="S27" s="388"/>
      <c r="T27" s="468"/>
      <c r="U27" s="468"/>
    </row>
    <row r="28" spans="1:21" ht="33.75">
      <c r="A28" s="300"/>
      <c r="B28" s="689">
        <v>4</v>
      </c>
      <c r="C28" s="431" t="s">
        <v>619</v>
      </c>
      <c r="D28" s="689" t="s">
        <v>231</v>
      </c>
      <c r="E28" s="718"/>
      <c r="F28" s="718"/>
      <c r="G28" s="718"/>
      <c r="H28" s="793"/>
      <c r="I28" s="718"/>
      <c r="J28" s="567">
        <f t="shared" si="8"/>
        <v>128.44999999999999</v>
      </c>
      <c r="K28" s="567">
        <f>'附件4-8甲供材料清单'!M185</f>
        <v>75</v>
      </c>
      <c r="L28" s="567">
        <v>7</v>
      </c>
      <c r="M28" s="567">
        <v>48.2</v>
      </c>
      <c r="N28" s="403">
        <f t="shared" si="6"/>
        <v>0</v>
      </c>
      <c r="O28" s="403">
        <f t="shared" si="7"/>
        <v>0</v>
      </c>
      <c r="P28" s="407" t="s">
        <v>244</v>
      </c>
      <c r="Q28" s="585">
        <f>N28</f>
        <v>0</v>
      </c>
      <c r="R28" s="468">
        <f>O28</f>
        <v>0</v>
      </c>
      <c r="S28" s="388"/>
      <c r="T28" s="468">
        <f>E28*$K28*(1+$L28%)</f>
        <v>0</v>
      </c>
      <c r="U28" s="468">
        <f>G28*$K28*(1+$L28%)</f>
        <v>0</v>
      </c>
    </row>
    <row r="29" spans="1:21" ht="22.5" customHeight="1">
      <c r="A29" s="300"/>
      <c r="B29" s="689">
        <v>5</v>
      </c>
      <c r="C29" s="431" t="s">
        <v>620</v>
      </c>
      <c r="D29" s="689" t="s">
        <v>621</v>
      </c>
      <c r="E29" s="718"/>
      <c r="F29" s="718"/>
      <c r="G29" s="718"/>
      <c r="H29" s="793"/>
      <c r="I29" s="718"/>
      <c r="J29" s="567">
        <f t="shared" si="8"/>
        <v>8.4</v>
      </c>
      <c r="K29" s="567">
        <v>4</v>
      </c>
      <c r="L29" s="567">
        <v>2</v>
      </c>
      <c r="M29" s="567">
        <v>4.32</v>
      </c>
      <c r="N29" s="403">
        <f t="shared" si="6"/>
        <v>0</v>
      </c>
      <c r="O29" s="403">
        <f t="shared" si="7"/>
        <v>0</v>
      </c>
      <c r="P29" s="407"/>
      <c r="Q29" s="585"/>
      <c r="R29" s="468"/>
      <c r="S29" s="388"/>
      <c r="T29" s="468"/>
      <c r="U29" s="468"/>
    </row>
    <row r="30" spans="1:21" ht="45">
      <c r="A30" s="300"/>
      <c r="B30" s="689">
        <v>6</v>
      </c>
      <c r="C30" s="431" t="s">
        <v>622</v>
      </c>
      <c r="D30" s="689" t="s">
        <v>231</v>
      </c>
      <c r="E30" s="718"/>
      <c r="F30" s="718"/>
      <c r="G30" s="718"/>
      <c r="H30" s="793"/>
      <c r="I30" s="718"/>
      <c r="J30" s="567">
        <f t="shared" si="8"/>
        <v>121.53333333333335</v>
      </c>
      <c r="K30" s="567">
        <f>'附件4-8甲供材料清单'!M186</f>
        <v>66.666666666666671</v>
      </c>
      <c r="L30" s="567">
        <v>10</v>
      </c>
      <c r="M30" s="567">
        <v>48.2</v>
      </c>
      <c r="N30" s="403">
        <f t="shared" si="6"/>
        <v>0</v>
      </c>
      <c r="O30" s="403">
        <f t="shared" si="7"/>
        <v>0</v>
      </c>
      <c r="P30" s="407" t="s">
        <v>244</v>
      </c>
      <c r="Q30" s="585">
        <f t="shared" ref="Q30:R32" si="9">N30</f>
        <v>0</v>
      </c>
      <c r="R30" s="468">
        <f t="shared" si="9"/>
        <v>0</v>
      </c>
      <c r="S30" s="388"/>
      <c r="T30" s="468">
        <f>E30*$K30*(1+$L30%)</f>
        <v>0</v>
      </c>
      <c r="U30" s="468">
        <f>G30*$K30*(1+$L30%)</f>
        <v>0</v>
      </c>
    </row>
    <row r="31" spans="1:21" ht="48.75" customHeight="1">
      <c r="A31" s="300"/>
      <c r="B31" s="689">
        <v>7</v>
      </c>
      <c r="C31" s="431" t="s">
        <v>623</v>
      </c>
      <c r="D31" s="689" t="s">
        <v>231</v>
      </c>
      <c r="E31" s="718"/>
      <c r="F31" s="718"/>
      <c r="G31" s="718"/>
      <c r="H31" s="793"/>
      <c r="I31" s="718"/>
      <c r="J31" s="567">
        <f t="shared" si="8"/>
        <v>119.53333333333335</v>
      </c>
      <c r="K31" s="567">
        <f>'附件4-8甲供材料清单'!M186</f>
        <v>66.666666666666671</v>
      </c>
      <c r="L31" s="567">
        <v>7</v>
      </c>
      <c r="M31" s="567">
        <v>48.2</v>
      </c>
      <c r="N31" s="403">
        <f t="shared" si="6"/>
        <v>0</v>
      </c>
      <c r="O31" s="403">
        <f t="shared" si="7"/>
        <v>0</v>
      </c>
      <c r="P31" s="407" t="s">
        <v>244</v>
      </c>
      <c r="Q31" s="585">
        <f t="shared" si="9"/>
        <v>0</v>
      </c>
      <c r="R31" s="468">
        <f t="shared" si="9"/>
        <v>0</v>
      </c>
      <c r="S31" s="388"/>
      <c r="T31" s="468">
        <f>E31*$K31*(1+$L31%)</f>
        <v>0</v>
      </c>
      <c r="U31" s="468">
        <f>G31*$K31*(1+$L31%)</f>
        <v>0</v>
      </c>
    </row>
    <row r="32" spans="1:21" ht="56.25">
      <c r="A32" s="300"/>
      <c r="B32" s="689">
        <v>8</v>
      </c>
      <c r="C32" s="431" t="s">
        <v>624</v>
      </c>
      <c r="D32" s="689" t="s">
        <v>231</v>
      </c>
      <c r="E32" s="718"/>
      <c r="F32" s="718"/>
      <c r="G32" s="718"/>
      <c r="H32" s="793"/>
      <c r="I32" s="718"/>
      <c r="J32" s="567">
        <f t="shared" si="8"/>
        <v>135.73333333333335</v>
      </c>
      <c r="K32" s="567">
        <f>'附件4-8甲供材料清单'!M186</f>
        <v>66.666666666666671</v>
      </c>
      <c r="L32" s="567">
        <v>7</v>
      </c>
      <c r="M32" s="567">
        <v>64.400000000000006</v>
      </c>
      <c r="N32" s="403">
        <f t="shared" si="6"/>
        <v>0</v>
      </c>
      <c r="O32" s="403">
        <f t="shared" si="7"/>
        <v>0</v>
      </c>
      <c r="P32" s="407" t="s">
        <v>244</v>
      </c>
      <c r="Q32" s="585">
        <f t="shared" si="9"/>
        <v>0</v>
      </c>
      <c r="R32" s="468">
        <f t="shared" si="9"/>
        <v>0</v>
      </c>
      <c r="S32" s="388"/>
      <c r="T32" s="468">
        <f>E32*$K32*(1+$L32%)</f>
        <v>0</v>
      </c>
      <c r="U32" s="468">
        <f>G32*$K32*(1+$L32%)</f>
        <v>0</v>
      </c>
    </row>
    <row r="33" spans="1:21" ht="21" customHeight="1">
      <c r="A33" s="300"/>
      <c r="B33" s="689">
        <v>9</v>
      </c>
      <c r="C33" s="431" t="s">
        <v>625</v>
      </c>
      <c r="D33" s="689" t="s">
        <v>235</v>
      </c>
      <c r="E33" s="718"/>
      <c r="F33" s="718"/>
      <c r="G33" s="718"/>
      <c r="H33" s="793"/>
      <c r="I33" s="718"/>
      <c r="J33" s="567">
        <f t="shared" si="8"/>
        <v>100.928</v>
      </c>
      <c r="K33" s="567">
        <v>77.599999999999994</v>
      </c>
      <c r="L33" s="567">
        <v>3</v>
      </c>
      <c r="M33" s="567">
        <v>21</v>
      </c>
      <c r="N33" s="403">
        <f t="shared" si="6"/>
        <v>0</v>
      </c>
      <c r="O33" s="403">
        <f t="shared" si="7"/>
        <v>0</v>
      </c>
      <c r="P33" s="407"/>
      <c r="Q33" s="585"/>
      <c r="R33" s="468"/>
      <c r="S33" s="388"/>
      <c r="T33" s="468"/>
      <c r="U33" s="468"/>
    </row>
    <row r="34" spans="1:21" ht="21" customHeight="1">
      <c r="A34" s="300"/>
      <c r="B34" s="689">
        <v>10</v>
      </c>
      <c r="C34" s="431" t="s">
        <v>626</v>
      </c>
      <c r="D34" s="689" t="s">
        <v>235</v>
      </c>
      <c r="E34" s="718"/>
      <c r="F34" s="718"/>
      <c r="G34" s="718"/>
      <c r="H34" s="793"/>
      <c r="I34" s="718"/>
      <c r="J34" s="567">
        <f t="shared" si="8"/>
        <v>40.371200000000002</v>
      </c>
      <c r="K34" s="567">
        <v>31.04</v>
      </c>
      <c r="L34" s="567">
        <v>3</v>
      </c>
      <c r="M34" s="567">
        <v>8.4</v>
      </c>
      <c r="N34" s="403">
        <f t="shared" si="6"/>
        <v>0</v>
      </c>
      <c r="O34" s="403">
        <f t="shared" si="7"/>
        <v>0</v>
      </c>
      <c r="P34" s="407"/>
      <c r="Q34" s="585"/>
      <c r="R34" s="468"/>
      <c r="S34" s="388"/>
      <c r="T34" s="468"/>
      <c r="U34" s="468"/>
    </row>
    <row r="35" spans="1:21" ht="21" customHeight="1">
      <c r="A35" s="300"/>
      <c r="B35" s="689">
        <v>11</v>
      </c>
      <c r="C35" s="431" t="s">
        <v>627</v>
      </c>
      <c r="D35" s="689" t="s">
        <v>235</v>
      </c>
      <c r="E35" s="718"/>
      <c r="F35" s="718"/>
      <c r="G35" s="718"/>
      <c r="H35" s="793"/>
      <c r="I35" s="718"/>
      <c r="J35" s="567">
        <f t="shared" si="8"/>
        <v>50.463999999999999</v>
      </c>
      <c r="K35" s="567">
        <v>38.799999999999997</v>
      </c>
      <c r="L35" s="567">
        <v>3</v>
      </c>
      <c r="M35" s="567">
        <v>10.5</v>
      </c>
      <c r="N35" s="403">
        <f t="shared" si="6"/>
        <v>0</v>
      </c>
      <c r="O35" s="403">
        <f t="shared" si="7"/>
        <v>0</v>
      </c>
      <c r="P35" s="407"/>
      <c r="Q35" s="585"/>
      <c r="R35" s="468"/>
      <c r="S35" s="388"/>
      <c r="T35" s="468"/>
      <c r="U35" s="468"/>
    </row>
    <row r="36" spans="1:21" ht="21" customHeight="1">
      <c r="A36" s="300"/>
      <c r="B36" s="689">
        <v>12</v>
      </c>
      <c r="C36" s="431" t="s">
        <v>628</v>
      </c>
      <c r="D36" s="689" t="s">
        <v>235</v>
      </c>
      <c r="E36" s="718"/>
      <c r="F36" s="718"/>
      <c r="G36" s="718"/>
      <c r="H36" s="793"/>
      <c r="I36" s="718"/>
      <c r="J36" s="567">
        <f t="shared" si="8"/>
        <v>25.231999999999999</v>
      </c>
      <c r="K36" s="567">
        <v>19.399999999999999</v>
      </c>
      <c r="L36" s="567">
        <v>3</v>
      </c>
      <c r="M36" s="567">
        <v>5.25</v>
      </c>
      <c r="N36" s="403">
        <f t="shared" si="6"/>
        <v>0</v>
      </c>
      <c r="O36" s="403">
        <f t="shared" si="7"/>
        <v>0</v>
      </c>
      <c r="P36" s="407"/>
      <c r="Q36" s="585"/>
      <c r="R36" s="468"/>
      <c r="S36" s="388"/>
      <c r="T36" s="468"/>
      <c r="U36" s="468"/>
    </row>
    <row r="37" spans="1:21" ht="22.5" customHeight="1">
      <c r="A37" s="300"/>
      <c r="B37" s="689">
        <v>13</v>
      </c>
      <c r="C37" s="431" t="s">
        <v>629</v>
      </c>
      <c r="D37" s="689" t="s">
        <v>231</v>
      </c>
      <c r="E37" s="718"/>
      <c r="F37" s="718"/>
      <c r="G37" s="718"/>
      <c r="H37" s="793"/>
      <c r="I37" s="718"/>
      <c r="J37" s="567">
        <f t="shared" si="8"/>
        <v>686.3</v>
      </c>
      <c r="K37" s="567">
        <v>530</v>
      </c>
      <c r="L37" s="567">
        <v>3</v>
      </c>
      <c r="M37" s="567">
        <v>140.4</v>
      </c>
      <c r="N37" s="403">
        <f t="shared" si="6"/>
        <v>0</v>
      </c>
      <c r="O37" s="403">
        <f t="shared" si="7"/>
        <v>0</v>
      </c>
      <c r="P37" s="867"/>
      <c r="Q37" s="585"/>
      <c r="R37" s="468"/>
      <c r="S37" s="388"/>
      <c r="T37" s="468"/>
      <c r="U37" s="468"/>
    </row>
    <row r="38" spans="1:21" ht="22.5" customHeight="1">
      <c r="A38" s="299"/>
      <c r="B38" s="478">
        <v>14</v>
      </c>
      <c r="C38" s="590" t="s">
        <v>630</v>
      </c>
      <c r="D38" s="478" t="s">
        <v>231</v>
      </c>
      <c r="E38" s="718"/>
      <c r="F38" s="718"/>
      <c r="G38" s="718"/>
      <c r="H38" s="793"/>
      <c r="I38" s="718"/>
      <c r="J38" s="567">
        <f t="shared" si="8"/>
        <v>648.5</v>
      </c>
      <c r="K38" s="567">
        <v>530</v>
      </c>
      <c r="L38" s="567">
        <v>3</v>
      </c>
      <c r="M38" s="567">
        <v>102.6</v>
      </c>
      <c r="N38" s="403">
        <f t="shared" si="6"/>
        <v>0</v>
      </c>
      <c r="O38" s="403">
        <f t="shared" si="7"/>
        <v>0</v>
      </c>
      <c r="P38" s="867"/>
      <c r="Q38" s="586"/>
      <c r="R38" s="469"/>
      <c r="S38" s="389"/>
      <c r="T38" s="469"/>
      <c r="U38" s="469"/>
    </row>
    <row r="39" spans="1:21" ht="22.5" customHeight="1">
      <c r="A39" s="300" t="s">
        <v>278</v>
      </c>
      <c r="B39" s="689" t="s">
        <v>233</v>
      </c>
      <c r="C39" s="431" t="s">
        <v>631</v>
      </c>
      <c r="D39" s="689" t="s">
        <v>231</v>
      </c>
      <c r="E39" s="718"/>
      <c r="F39" s="718"/>
      <c r="G39" s="718"/>
      <c r="H39" s="793"/>
      <c r="I39" s="718"/>
      <c r="J39" s="567">
        <f t="shared" ref="J39" si="10">K39+K39*L39%+M39</f>
        <v>449.4</v>
      </c>
      <c r="K39" s="567">
        <v>300</v>
      </c>
      <c r="L39" s="567">
        <v>3</v>
      </c>
      <c r="M39" s="567">
        <v>140.4</v>
      </c>
      <c r="N39" s="403">
        <f t="shared" si="6"/>
        <v>0</v>
      </c>
      <c r="O39" s="403">
        <f t="shared" si="7"/>
        <v>0</v>
      </c>
      <c r="P39" s="867"/>
      <c r="Q39" s="585"/>
      <c r="R39" s="468"/>
      <c r="S39" s="388"/>
      <c r="T39" s="468"/>
      <c r="U39" s="468"/>
    </row>
    <row r="40" spans="1:21" ht="22.5" customHeight="1">
      <c r="A40" s="300" t="s">
        <v>278</v>
      </c>
      <c r="B40" s="689" t="s">
        <v>233</v>
      </c>
      <c r="C40" s="590" t="s">
        <v>632</v>
      </c>
      <c r="D40" s="478" t="s">
        <v>231</v>
      </c>
      <c r="E40" s="718"/>
      <c r="F40" s="718"/>
      <c r="G40" s="718"/>
      <c r="H40" s="793"/>
      <c r="I40" s="718"/>
      <c r="J40" s="567">
        <f>K40+K40*L40%+M40</f>
        <v>411.6</v>
      </c>
      <c r="K40" s="567">
        <v>300</v>
      </c>
      <c r="L40" s="567">
        <v>3</v>
      </c>
      <c r="M40" s="567">
        <v>102.6</v>
      </c>
      <c r="N40" s="403">
        <f t="shared" si="6"/>
        <v>0</v>
      </c>
      <c r="O40" s="403">
        <f t="shared" si="7"/>
        <v>0</v>
      </c>
      <c r="P40" s="867"/>
      <c r="Q40" s="586"/>
      <c r="R40" s="469"/>
      <c r="S40" s="389"/>
      <c r="T40" s="469"/>
      <c r="U40" s="469"/>
    </row>
    <row r="41" spans="1:21" ht="78.75">
      <c r="A41" s="299"/>
      <c r="B41" s="478">
        <v>15</v>
      </c>
      <c r="C41" s="590" t="s">
        <v>633</v>
      </c>
      <c r="D41" s="689" t="s">
        <v>235</v>
      </c>
      <c r="E41" s="718"/>
      <c r="F41" s="718"/>
      <c r="G41" s="718"/>
      <c r="H41" s="793"/>
      <c r="I41" s="718"/>
      <c r="J41" s="567">
        <f>K41+K41*L41%+M41</f>
        <v>398.3</v>
      </c>
      <c r="K41" s="567">
        <v>330</v>
      </c>
      <c r="L41" s="567">
        <v>1</v>
      </c>
      <c r="M41" s="567">
        <v>65</v>
      </c>
      <c r="N41" s="403">
        <f t="shared" si="6"/>
        <v>0</v>
      </c>
      <c r="O41" s="403">
        <f t="shared" si="7"/>
        <v>0</v>
      </c>
      <c r="P41" s="591"/>
      <c r="Q41" s="586"/>
      <c r="R41" s="469"/>
      <c r="S41" s="389"/>
      <c r="T41" s="469"/>
      <c r="U41" s="469"/>
    </row>
    <row r="42" spans="1:21" s="451" customFormat="1" ht="15" customHeight="1">
      <c r="A42" s="460"/>
      <c r="B42" s="652" t="s">
        <v>62</v>
      </c>
      <c r="C42" s="653" t="s">
        <v>634</v>
      </c>
      <c r="D42" s="635"/>
      <c r="E42" s="636" t="s">
        <v>1859</v>
      </c>
      <c r="F42" s="636"/>
      <c r="G42" s="636"/>
      <c r="H42" s="635"/>
      <c r="I42" s="636"/>
      <c r="J42" s="636"/>
      <c r="K42" s="636"/>
      <c r="L42" s="636"/>
      <c r="M42" s="636"/>
      <c r="N42" s="643"/>
      <c r="O42" s="643"/>
      <c r="P42" s="636" t="s">
        <v>1859</v>
      </c>
      <c r="Q42" s="587"/>
      <c r="R42" s="470"/>
      <c r="S42" s="466"/>
      <c r="T42" s="470"/>
      <c r="U42" s="470"/>
    </row>
    <row r="43" spans="1:21" s="451" customFormat="1" ht="15" customHeight="1">
      <c r="A43" s="438"/>
      <c r="B43" s="635"/>
      <c r="C43" s="644" t="s">
        <v>635</v>
      </c>
      <c r="D43" s="635"/>
      <c r="E43" s="636" t="s">
        <v>1859</v>
      </c>
      <c r="F43" s="636"/>
      <c r="G43" s="636"/>
      <c r="H43" s="635"/>
      <c r="I43" s="636"/>
      <c r="J43" s="636"/>
      <c r="K43" s="636"/>
      <c r="L43" s="636"/>
      <c r="M43" s="636"/>
      <c r="N43" s="643"/>
      <c r="O43" s="643"/>
      <c r="P43" s="636" t="s">
        <v>1859</v>
      </c>
      <c r="Q43" s="584"/>
      <c r="R43" s="467"/>
      <c r="S43" s="461"/>
      <c r="T43" s="467"/>
      <c r="U43" s="467"/>
    </row>
    <row r="44" spans="1:21" ht="33.75" customHeight="1">
      <c r="A44" s="300"/>
      <c r="B44" s="689">
        <v>1</v>
      </c>
      <c r="C44" s="431" t="s">
        <v>636</v>
      </c>
      <c r="D44" s="689" t="s">
        <v>235</v>
      </c>
      <c r="E44" s="718"/>
      <c r="F44" s="718"/>
      <c r="G44" s="718"/>
      <c r="H44" s="793"/>
      <c r="I44" s="718"/>
      <c r="J44" s="567">
        <f t="shared" ref="J44" si="11">K44+K44*L44%+M44</f>
        <v>288.77999999999997</v>
      </c>
      <c r="K44" s="567">
        <v>240</v>
      </c>
      <c r="L44" s="567">
        <v>3</v>
      </c>
      <c r="M44" s="567">
        <v>41.58</v>
      </c>
      <c r="N44" s="403">
        <f t="shared" ref="N44:N49" si="12">E44*$J44</f>
        <v>0</v>
      </c>
      <c r="O44" s="403">
        <f t="shared" ref="O44:O49" si="13">G44*$J44</f>
        <v>0</v>
      </c>
      <c r="P44" s="867" t="s">
        <v>637</v>
      </c>
      <c r="Q44" s="585"/>
      <c r="R44" s="468"/>
      <c r="S44" s="388"/>
      <c r="T44" s="468"/>
      <c r="U44" s="468"/>
    </row>
    <row r="45" spans="1:21" ht="48.75" customHeight="1">
      <c r="A45" s="300"/>
      <c r="B45" s="689">
        <v>2</v>
      </c>
      <c r="C45" s="431" t="s">
        <v>638</v>
      </c>
      <c r="D45" s="689" t="s">
        <v>235</v>
      </c>
      <c r="E45" s="718"/>
      <c r="F45" s="718"/>
      <c r="G45" s="718"/>
      <c r="H45" s="793"/>
      <c r="I45" s="718"/>
      <c r="J45" s="567">
        <f>K45+K45*L45%+M45</f>
        <v>154.1472</v>
      </c>
      <c r="K45" s="567">
        <f>240-0.27*388</f>
        <v>135.24</v>
      </c>
      <c r="L45" s="567">
        <v>3</v>
      </c>
      <c r="M45" s="567">
        <v>14.85</v>
      </c>
      <c r="N45" s="403">
        <f t="shared" si="12"/>
        <v>0</v>
      </c>
      <c r="O45" s="403">
        <f t="shared" si="13"/>
        <v>0</v>
      </c>
      <c r="P45" s="867"/>
      <c r="Q45" s="585"/>
      <c r="R45" s="468"/>
      <c r="S45" s="388"/>
      <c r="T45" s="468"/>
      <c r="U45" s="468"/>
    </row>
    <row r="46" spans="1:21" ht="33.75" customHeight="1">
      <c r="A46" s="300"/>
      <c r="B46" s="689">
        <v>3</v>
      </c>
      <c r="C46" s="431" t="s">
        <v>639</v>
      </c>
      <c r="D46" s="689" t="s">
        <v>235</v>
      </c>
      <c r="E46" s="718"/>
      <c r="F46" s="718"/>
      <c r="G46" s="718"/>
      <c r="H46" s="793"/>
      <c r="I46" s="718"/>
      <c r="J46" s="567">
        <f>K46+K46*L46%+M46</f>
        <v>204.0112</v>
      </c>
      <c r="K46" s="567">
        <f>240-0.17*388</f>
        <v>174.04</v>
      </c>
      <c r="L46" s="567">
        <v>3</v>
      </c>
      <c r="M46" s="567">
        <v>24.75</v>
      </c>
      <c r="N46" s="403">
        <f t="shared" si="12"/>
        <v>0</v>
      </c>
      <c r="O46" s="403">
        <f t="shared" si="13"/>
        <v>0</v>
      </c>
      <c r="P46" s="867"/>
      <c r="Q46" s="585"/>
      <c r="R46" s="468"/>
      <c r="S46" s="388"/>
      <c r="T46" s="468"/>
      <c r="U46" s="468"/>
    </row>
    <row r="47" spans="1:21" ht="33.75" customHeight="1">
      <c r="A47" s="300"/>
      <c r="B47" s="689">
        <v>4</v>
      </c>
      <c r="C47" s="431" t="s">
        <v>640</v>
      </c>
      <c r="D47" s="689" t="s">
        <v>235</v>
      </c>
      <c r="E47" s="718"/>
      <c r="F47" s="718"/>
      <c r="G47" s="718"/>
      <c r="H47" s="793"/>
      <c r="I47" s="718"/>
      <c r="J47" s="567">
        <f>K47+K47*L47%+M47</f>
        <v>278.48</v>
      </c>
      <c r="K47" s="567">
        <v>230</v>
      </c>
      <c r="L47" s="567">
        <v>3</v>
      </c>
      <c r="M47" s="567">
        <v>41.58</v>
      </c>
      <c r="N47" s="403">
        <f t="shared" si="12"/>
        <v>0</v>
      </c>
      <c r="O47" s="403">
        <f t="shared" si="13"/>
        <v>0</v>
      </c>
      <c r="P47" s="867"/>
      <c r="Q47" s="585"/>
      <c r="R47" s="468"/>
      <c r="S47" s="388"/>
      <c r="T47" s="468"/>
      <c r="U47" s="468"/>
    </row>
    <row r="48" spans="1:21" ht="123.75">
      <c r="A48" s="300"/>
      <c r="B48" s="689">
        <v>5</v>
      </c>
      <c r="C48" s="431" t="s">
        <v>641</v>
      </c>
      <c r="D48" s="689" t="s">
        <v>235</v>
      </c>
      <c r="E48" s="718"/>
      <c r="F48" s="718"/>
      <c r="G48" s="718"/>
      <c r="H48" s="793"/>
      <c r="I48" s="718"/>
      <c r="J48" s="567">
        <f>K48+K48*L48%+M48</f>
        <v>27.4</v>
      </c>
      <c r="K48" s="411">
        <f>'附件4-8甲供材料清单'!M186*0.15</f>
        <v>10</v>
      </c>
      <c r="L48" s="411">
        <v>6</v>
      </c>
      <c r="M48" s="567">
        <v>16.8</v>
      </c>
      <c r="N48" s="403">
        <f t="shared" si="12"/>
        <v>0</v>
      </c>
      <c r="O48" s="403">
        <f t="shared" si="13"/>
        <v>0</v>
      </c>
      <c r="P48" s="407" t="s">
        <v>642</v>
      </c>
      <c r="Q48" s="585">
        <f>N48</f>
        <v>0</v>
      </c>
      <c r="R48" s="468">
        <f>O48</f>
        <v>0</v>
      </c>
      <c r="S48" s="388"/>
      <c r="T48" s="468">
        <f>E48*$K48*(1+$L48%)</f>
        <v>0</v>
      </c>
      <c r="U48" s="468">
        <f>G48*$K48*(1+$L48%)</f>
        <v>0</v>
      </c>
    </row>
    <row r="49" spans="1:21" ht="22.5">
      <c r="A49" s="300"/>
      <c r="B49" s="689" t="s">
        <v>233</v>
      </c>
      <c r="C49" s="431" t="s">
        <v>643</v>
      </c>
      <c r="D49" s="689" t="s">
        <v>235</v>
      </c>
      <c r="E49" s="718"/>
      <c r="F49" s="718"/>
      <c r="G49" s="718"/>
      <c r="H49" s="793"/>
      <c r="I49" s="718"/>
      <c r="J49" s="567">
        <f>K49+K49*L49%+M49</f>
        <v>32.590000000000003</v>
      </c>
      <c r="K49" s="567">
        <f>'附件4-8甲供材料清单'!M187</f>
        <v>18.333333333333336</v>
      </c>
      <c r="L49" s="567">
        <v>5</v>
      </c>
      <c r="M49" s="567">
        <v>13.34</v>
      </c>
      <c r="N49" s="403">
        <f t="shared" si="12"/>
        <v>0</v>
      </c>
      <c r="O49" s="403">
        <f t="shared" si="13"/>
        <v>0</v>
      </c>
      <c r="P49" s="407" t="s">
        <v>244</v>
      </c>
      <c r="Q49" s="585">
        <f>N49</f>
        <v>0</v>
      </c>
      <c r="R49" s="468">
        <f>O49</f>
        <v>0</v>
      </c>
      <c r="S49" s="388"/>
      <c r="T49" s="468">
        <f>E49*$K49*(1+$L49%)</f>
        <v>0</v>
      </c>
      <c r="U49" s="468">
        <f>G49*$K49*(1+$L49%)</f>
        <v>0</v>
      </c>
    </row>
    <row r="50" spans="1:21" s="451" customFormat="1" ht="21" customHeight="1">
      <c r="A50" s="438"/>
      <c r="B50" s="635"/>
      <c r="C50" s="644" t="s">
        <v>644</v>
      </c>
      <c r="D50" s="635"/>
      <c r="E50" s="636" t="s">
        <v>1859</v>
      </c>
      <c r="F50" s="636"/>
      <c r="G50" s="636"/>
      <c r="H50" s="635"/>
      <c r="I50" s="636"/>
      <c r="J50" s="636"/>
      <c r="K50" s="636"/>
      <c r="L50" s="636"/>
      <c r="M50" s="636"/>
      <c r="N50" s="643"/>
      <c r="O50" s="643"/>
      <c r="P50" s="636" t="s">
        <v>1859</v>
      </c>
      <c r="Q50" s="584"/>
      <c r="R50" s="467"/>
      <c r="S50" s="461"/>
      <c r="T50" s="467"/>
      <c r="U50" s="467"/>
    </row>
    <row r="51" spans="1:21" ht="22.5">
      <c r="A51" s="300"/>
      <c r="B51" s="689">
        <v>1</v>
      </c>
      <c r="C51" s="431" t="s">
        <v>645</v>
      </c>
      <c r="D51" s="689" t="s">
        <v>231</v>
      </c>
      <c r="E51" s="718"/>
      <c r="F51" s="718"/>
      <c r="G51" s="718"/>
      <c r="H51" s="793"/>
      <c r="I51" s="718"/>
      <c r="J51" s="567">
        <f t="shared" ref="J51" si="14">K51+K51*L51%+M51</f>
        <v>425.40000000000003</v>
      </c>
      <c r="K51" s="567">
        <v>380</v>
      </c>
      <c r="L51" s="567">
        <v>2</v>
      </c>
      <c r="M51" s="567">
        <v>37.799999999999997</v>
      </c>
      <c r="N51" s="403">
        <f t="shared" ref="N51:N74" si="15">E51*$J51</f>
        <v>0</v>
      </c>
      <c r="O51" s="403">
        <f t="shared" ref="O51:O74" si="16">G51*$J51</f>
        <v>0</v>
      </c>
      <c r="P51" s="407"/>
      <c r="Q51" s="585"/>
      <c r="R51" s="468"/>
      <c r="S51" s="388"/>
      <c r="T51" s="468"/>
      <c r="U51" s="468"/>
    </row>
    <row r="52" spans="1:21" ht="33.75">
      <c r="A52" s="300"/>
      <c r="B52" s="689">
        <v>2</v>
      </c>
      <c r="C52" s="431" t="s">
        <v>646</v>
      </c>
      <c r="D52" s="689" t="s">
        <v>231</v>
      </c>
      <c r="E52" s="718"/>
      <c r="F52" s="718"/>
      <c r="G52" s="718"/>
      <c r="H52" s="793"/>
      <c r="I52" s="718"/>
      <c r="J52" s="567">
        <f>K52+K52*L52%+M52</f>
        <v>318.26400000000001</v>
      </c>
      <c r="K52" s="567">
        <v>105</v>
      </c>
      <c r="L52" s="567">
        <v>120</v>
      </c>
      <c r="M52" s="567">
        <v>87.263999999999996</v>
      </c>
      <c r="N52" s="403">
        <f t="shared" si="15"/>
        <v>0</v>
      </c>
      <c r="O52" s="403">
        <f t="shared" si="16"/>
        <v>0</v>
      </c>
      <c r="P52" s="407" t="s">
        <v>647</v>
      </c>
      <c r="Q52" s="585"/>
      <c r="R52" s="468"/>
      <c r="S52" s="388"/>
      <c r="T52" s="468"/>
      <c r="U52" s="468"/>
    </row>
    <row r="53" spans="1:21" ht="34.5" customHeight="1">
      <c r="A53" s="300"/>
      <c r="B53" s="689">
        <v>3</v>
      </c>
      <c r="C53" s="431" t="s">
        <v>648</v>
      </c>
      <c r="D53" s="689" t="s">
        <v>231</v>
      </c>
      <c r="E53" s="718"/>
      <c r="F53" s="718"/>
      <c r="G53" s="718"/>
      <c r="H53" s="793"/>
      <c r="I53" s="718"/>
      <c r="J53" s="567">
        <f>K53+K53*L53%+M53</f>
        <v>542.52240000000006</v>
      </c>
      <c r="K53" s="567">
        <v>260</v>
      </c>
      <c r="L53" s="567">
        <v>2</v>
      </c>
      <c r="M53" s="567">
        <v>277.32240000000002</v>
      </c>
      <c r="N53" s="403">
        <f t="shared" si="15"/>
        <v>0</v>
      </c>
      <c r="O53" s="403">
        <f t="shared" si="16"/>
        <v>0</v>
      </c>
      <c r="P53" s="407"/>
      <c r="Q53" s="585"/>
      <c r="R53" s="468"/>
      <c r="S53" s="388"/>
      <c r="T53" s="468"/>
      <c r="U53" s="468"/>
    </row>
    <row r="54" spans="1:21" ht="146.25">
      <c r="A54" s="300"/>
      <c r="B54" s="689">
        <v>4</v>
      </c>
      <c r="C54" s="431" t="s">
        <v>649</v>
      </c>
      <c r="D54" s="689" t="s">
        <v>235</v>
      </c>
      <c r="E54" s="718"/>
      <c r="F54" s="718"/>
      <c r="G54" s="718"/>
      <c r="H54" s="793"/>
      <c r="I54" s="718"/>
      <c r="J54" s="567">
        <f>K54+K54*L54%+M54</f>
        <v>52.400000000000006</v>
      </c>
      <c r="K54" s="567">
        <v>32</v>
      </c>
      <c r="L54" s="567">
        <v>3</v>
      </c>
      <c r="M54" s="567">
        <v>19.440000000000001</v>
      </c>
      <c r="N54" s="403">
        <f t="shared" si="15"/>
        <v>0</v>
      </c>
      <c r="O54" s="403">
        <f t="shared" si="16"/>
        <v>0</v>
      </c>
      <c r="P54" s="407" t="s">
        <v>650</v>
      </c>
      <c r="Q54" s="585"/>
      <c r="R54" s="468"/>
      <c r="S54" s="388"/>
      <c r="T54" s="468"/>
      <c r="U54" s="468"/>
    </row>
    <row r="55" spans="1:21" ht="33.75">
      <c r="A55" s="300"/>
      <c r="B55" s="689">
        <v>5</v>
      </c>
      <c r="C55" s="431" t="s">
        <v>651</v>
      </c>
      <c r="D55" s="689" t="s">
        <v>235</v>
      </c>
      <c r="E55" s="718"/>
      <c r="F55" s="718"/>
      <c r="G55" s="718"/>
      <c r="H55" s="793"/>
      <c r="I55" s="718"/>
      <c r="J55" s="567">
        <f>K55+K55*L55%+M55</f>
        <v>61.67</v>
      </c>
      <c r="K55" s="567">
        <v>41</v>
      </c>
      <c r="L55" s="567">
        <v>3</v>
      </c>
      <c r="M55" s="567">
        <v>19.440000000000001</v>
      </c>
      <c r="N55" s="403">
        <f t="shared" si="15"/>
        <v>0</v>
      </c>
      <c r="O55" s="403">
        <f t="shared" si="16"/>
        <v>0</v>
      </c>
      <c r="P55" s="407"/>
      <c r="Q55" s="585"/>
      <c r="R55" s="468"/>
      <c r="S55" s="388"/>
      <c r="T55" s="468"/>
      <c r="U55" s="468"/>
    </row>
    <row r="56" spans="1:21" ht="33.75">
      <c r="A56" s="300" t="s">
        <v>606</v>
      </c>
      <c r="B56" s="689" t="s">
        <v>278</v>
      </c>
      <c r="C56" s="431" t="s">
        <v>652</v>
      </c>
      <c r="D56" s="689" t="s">
        <v>235</v>
      </c>
      <c r="E56" s="718"/>
      <c r="F56" s="718"/>
      <c r="G56" s="718"/>
      <c r="H56" s="793"/>
      <c r="I56" s="718"/>
      <c r="J56" s="567">
        <f t="shared" ref="J56" si="17">K56+K56*L56%+M56</f>
        <v>74.236000000000004</v>
      </c>
      <c r="K56" s="567">
        <v>53.2</v>
      </c>
      <c r="L56" s="567">
        <v>3</v>
      </c>
      <c r="M56" s="567">
        <v>19.440000000000001</v>
      </c>
      <c r="N56" s="403">
        <f t="shared" si="15"/>
        <v>0</v>
      </c>
      <c r="O56" s="403">
        <f t="shared" si="16"/>
        <v>0</v>
      </c>
      <c r="P56" s="407"/>
      <c r="Q56" s="585"/>
      <c r="R56" s="468"/>
      <c r="S56" s="388"/>
      <c r="T56" s="468"/>
      <c r="U56" s="468"/>
    </row>
    <row r="57" spans="1:21" ht="33.75">
      <c r="A57" s="300"/>
      <c r="B57" s="689">
        <v>6</v>
      </c>
      <c r="C57" s="431" t="s">
        <v>653</v>
      </c>
      <c r="D57" s="689" t="s">
        <v>235</v>
      </c>
      <c r="E57" s="718"/>
      <c r="F57" s="718"/>
      <c r="G57" s="718"/>
      <c r="H57" s="793"/>
      <c r="I57" s="718"/>
      <c r="J57" s="567">
        <f t="shared" ref="J57:J64" si="18">K57+K57*L57%+M57</f>
        <v>197.20000000000002</v>
      </c>
      <c r="K57" s="567">
        <v>160</v>
      </c>
      <c r="L57" s="567">
        <v>3</v>
      </c>
      <c r="M57" s="567">
        <v>32.4</v>
      </c>
      <c r="N57" s="403">
        <f t="shared" si="15"/>
        <v>0</v>
      </c>
      <c r="O57" s="403">
        <f t="shared" si="16"/>
        <v>0</v>
      </c>
      <c r="P57" s="407"/>
      <c r="Q57" s="585"/>
      <c r="R57" s="468"/>
      <c r="S57" s="388"/>
      <c r="T57" s="468"/>
      <c r="U57" s="468"/>
    </row>
    <row r="58" spans="1:21" ht="33.75">
      <c r="A58" s="300"/>
      <c r="B58" s="689">
        <v>7</v>
      </c>
      <c r="C58" s="431" t="s">
        <v>654</v>
      </c>
      <c r="D58" s="689" t="s">
        <v>235</v>
      </c>
      <c r="E58" s="718"/>
      <c r="F58" s="718"/>
      <c r="G58" s="718"/>
      <c r="H58" s="793"/>
      <c r="I58" s="718"/>
      <c r="J58" s="567">
        <f t="shared" si="18"/>
        <v>231.39599999999999</v>
      </c>
      <c r="K58" s="567">
        <v>193.2</v>
      </c>
      <c r="L58" s="567">
        <v>3</v>
      </c>
      <c r="M58" s="567">
        <v>32.4</v>
      </c>
      <c r="N58" s="403">
        <f t="shared" si="15"/>
        <v>0</v>
      </c>
      <c r="O58" s="403">
        <f t="shared" si="16"/>
        <v>0</v>
      </c>
      <c r="P58" s="407"/>
      <c r="Q58" s="585"/>
      <c r="R58" s="468"/>
      <c r="S58" s="388"/>
      <c r="T58" s="468"/>
      <c r="U58" s="468"/>
    </row>
    <row r="59" spans="1:21" ht="30" customHeight="1">
      <c r="A59" s="300"/>
      <c r="B59" s="689">
        <v>8</v>
      </c>
      <c r="C59" s="431" t="s">
        <v>655</v>
      </c>
      <c r="D59" s="689" t="s">
        <v>231</v>
      </c>
      <c r="E59" s="718"/>
      <c r="F59" s="718"/>
      <c r="G59" s="718"/>
      <c r="H59" s="793"/>
      <c r="I59" s="718"/>
      <c r="J59" s="567">
        <f t="shared" si="18"/>
        <v>542.52240000000006</v>
      </c>
      <c r="K59" s="567">
        <v>260</v>
      </c>
      <c r="L59" s="567">
        <v>2</v>
      </c>
      <c r="M59" s="567">
        <v>277.32240000000002</v>
      </c>
      <c r="N59" s="403">
        <f t="shared" si="15"/>
        <v>0</v>
      </c>
      <c r="O59" s="403">
        <f t="shared" si="16"/>
        <v>0</v>
      </c>
      <c r="P59" s="407"/>
      <c r="Q59" s="585"/>
      <c r="R59" s="468"/>
      <c r="S59" s="388"/>
      <c r="T59" s="468"/>
      <c r="U59" s="468"/>
    </row>
    <row r="60" spans="1:21" ht="30" customHeight="1">
      <c r="A60" s="300"/>
      <c r="B60" s="689">
        <v>9</v>
      </c>
      <c r="C60" s="431" t="s">
        <v>656</v>
      </c>
      <c r="D60" s="689" t="s">
        <v>231</v>
      </c>
      <c r="E60" s="718"/>
      <c r="F60" s="718"/>
      <c r="G60" s="718"/>
      <c r="H60" s="793"/>
      <c r="I60" s="718"/>
      <c r="J60" s="567">
        <f t="shared" si="18"/>
        <v>542.52240000000006</v>
      </c>
      <c r="K60" s="567">
        <v>260</v>
      </c>
      <c r="L60" s="567">
        <v>2</v>
      </c>
      <c r="M60" s="567">
        <v>277.32240000000002</v>
      </c>
      <c r="N60" s="403">
        <f t="shared" si="15"/>
        <v>0</v>
      </c>
      <c r="O60" s="403">
        <f t="shared" si="16"/>
        <v>0</v>
      </c>
      <c r="P60" s="407"/>
      <c r="Q60" s="585"/>
      <c r="R60" s="468"/>
      <c r="S60" s="388"/>
      <c r="T60" s="468"/>
      <c r="U60" s="468"/>
    </row>
    <row r="61" spans="1:21" ht="30" customHeight="1">
      <c r="A61" s="300"/>
      <c r="B61" s="689">
        <v>10</v>
      </c>
      <c r="C61" s="431" t="s">
        <v>657</v>
      </c>
      <c r="D61" s="689" t="s">
        <v>235</v>
      </c>
      <c r="E61" s="718"/>
      <c r="F61" s="718"/>
      <c r="G61" s="718"/>
      <c r="H61" s="793"/>
      <c r="I61" s="718"/>
      <c r="J61" s="567">
        <f t="shared" si="18"/>
        <v>390.41039999999998</v>
      </c>
      <c r="K61" s="567">
        <v>187</v>
      </c>
      <c r="L61" s="567">
        <v>2</v>
      </c>
      <c r="M61" s="567">
        <v>199.6704</v>
      </c>
      <c r="N61" s="403">
        <f t="shared" si="15"/>
        <v>0</v>
      </c>
      <c r="O61" s="403">
        <f t="shared" si="16"/>
        <v>0</v>
      </c>
      <c r="P61" s="407"/>
      <c r="Q61" s="585"/>
      <c r="R61" s="468"/>
      <c r="S61" s="388"/>
      <c r="T61" s="468"/>
      <c r="U61" s="468"/>
    </row>
    <row r="62" spans="1:21" ht="38.25" customHeight="1">
      <c r="A62" s="300"/>
      <c r="B62" s="689" t="s">
        <v>233</v>
      </c>
      <c r="C62" s="431" t="s">
        <v>658</v>
      </c>
      <c r="D62" s="689" t="s">
        <v>235</v>
      </c>
      <c r="E62" s="718"/>
      <c r="F62" s="718"/>
      <c r="G62" s="718"/>
      <c r="H62" s="793"/>
      <c r="I62" s="718"/>
      <c r="J62" s="567">
        <f t="shared" si="18"/>
        <v>358.4676</v>
      </c>
      <c r="K62" s="567">
        <v>172</v>
      </c>
      <c r="L62" s="567">
        <v>2</v>
      </c>
      <c r="M62" s="567">
        <v>183.02760000000001</v>
      </c>
      <c r="N62" s="403">
        <f t="shared" si="15"/>
        <v>0</v>
      </c>
      <c r="O62" s="403">
        <f t="shared" si="16"/>
        <v>0</v>
      </c>
      <c r="P62" s="407"/>
      <c r="Q62" s="585"/>
      <c r="R62" s="468"/>
      <c r="S62" s="388"/>
      <c r="T62" s="468"/>
      <c r="U62" s="468"/>
    </row>
    <row r="63" spans="1:21" ht="30" customHeight="1">
      <c r="A63" s="300"/>
      <c r="B63" s="689" t="s">
        <v>233</v>
      </c>
      <c r="C63" s="431" t="s">
        <v>659</v>
      </c>
      <c r="D63" s="689" t="s">
        <v>235</v>
      </c>
      <c r="E63" s="718"/>
      <c r="F63" s="718"/>
      <c r="G63" s="718"/>
      <c r="H63" s="793"/>
      <c r="I63" s="718"/>
      <c r="J63" s="567">
        <f t="shared" si="18"/>
        <v>412.72199999999998</v>
      </c>
      <c r="K63" s="567">
        <v>198</v>
      </c>
      <c r="L63" s="567">
        <v>2</v>
      </c>
      <c r="M63" s="567">
        <v>210.762</v>
      </c>
      <c r="N63" s="403">
        <f t="shared" si="15"/>
        <v>0</v>
      </c>
      <c r="O63" s="403">
        <f t="shared" si="16"/>
        <v>0</v>
      </c>
      <c r="P63" s="407"/>
      <c r="Q63" s="585"/>
      <c r="R63" s="468"/>
      <c r="S63" s="388"/>
      <c r="T63" s="468"/>
      <c r="U63" s="468"/>
    </row>
    <row r="64" spans="1:21" ht="33.75">
      <c r="A64" s="300" t="s">
        <v>297</v>
      </c>
      <c r="B64" s="689" t="s">
        <v>278</v>
      </c>
      <c r="C64" s="431" t="s">
        <v>660</v>
      </c>
      <c r="D64" s="689" t="s">
        <v>235</v>
      </c>
      <c r="E64" s="718"/>
      <c r="F64" s="718"/>
      <c r="G64" s="718"/>
      <c r="H64" s="793"/>
      <c r="I64" s="718"/>
      <c r="J64" s="567">
        <f t="shared" si="18"/>
        <v>520.81919999999991</v>
      </c>
      <c r="K64" s="567">
        <v>249.6</v>
      </c>
      <c r="L64" s="567">
        <v>2</v>
      </c>
      <c r="M64" s="567">
        <v>266.22719999999998</v>
      </c>
      <c r="N64" s="403">
        <f t="shared" si="15"/>
        <v>0</v>
      </c>
      <c r="O64" s="403">
        <f t="shared" si="16"/>
        <v>0</v>
      </c>
      <c r="P64" s="407"/>
      <c r="Q64" s="585"/>
      <c r="R64" s="468"/>
      <c r="S64" s="388"/>
      <c r="T64" s="468"/>
      <c r="U64" s="468"/>
    </row>
    <row r="65" spans="1:21" ht="33.75">
      <c r="A65" s="300" t="s">
        <v>297</v>
      </c>
      <c r="B65" s="689" t="s">
        <v>278</v>
      </c>
      <c r="C65" s="431" t="s">
        <v>661</v>
      </c>
      <c r="D65" s="689" t="s">
        <v>235</v>
      </c>
      <c r="E65" s="718"/>
      <c r="F65" s="718"/>
      <c r="G65" s="718"/>
      <c r="H65" s="793"/>
      <c r="I65" s="718"/>
      <c r="J65" s="567">
        <f t="shared" ref="J65" si="19">K65+K65*L65%+M65</f>
        <v>646.15679999999998</v>
      </c>
      <c r="K65" s="567">
        <v>372.48</v>
      </c>
      <c r="L65" s="567">
        <v>2</v>
      </c>
      <c r="M65" s="567">
        <v>266.22719999999998</v>
      </c>
      <c r="N65" s="403">
        <f t="shared" si="15"/>
        <v>0</v>
      </c>
      <c r="O65" s="403">
        <f t="shared" si="16"/>
        <v>0</v>
      </c>
      <c r="P65" s="407"/>
      <c r="Q65" s="585"/>
      <c r="R65" s="468"/>
      <c r="S65" s="388"/>
      <c r="T65" s="468"/>
      <c r="U65" s="468"/>
    </row>
    <row r="66" spans="1:21" ht="33.75">
      <c r="A66" s="300" t="s">
        <v>278</v>
      </c>
      <c r="B66" s="689">
        <v>11</v>
      </c>
      <c r="C66" s="431" t="s">
        <v>662</v>
      </c>
      <c r="D66" s="689" t="s">
        <v>1863</v>
      </c>
      <c r="E66" s="718"/>
      <c r="F66" s="718"/>
      <c r="G66" s="718"/>
      <c r="H66" s="793"/>
      <c r="I66" s="718"/>
      <c r="J66" s="567">
        <f t="shared" ref="J66:J74" si="20">K66+K66*L66%+M66</f>
        <v>485</v>
      </c>
      <c r="K66" s="567">
        <v>350</v>
      </c>
      <c r="L66" s="567">
        <v>10</v>
      </c>
      <c r="M66" s="567">
        <v>100</v>
      </c>
      <c r="N66" s="403">
        <f t="shared" si="15"/>
        <v>0</v>
      </c>
      <c r="O66" s="403">
        <f t="shared" si="16"/>
        <v>0</v>
      </c>
      <c r="P66" s="407"/>
      <c r="Q66" s="585"/>
      <c r="R66" s="468"/>
      <c r="S66" s="388"/>
      <c r="T66" s="468"/>
      <c r="U66" s="468"/>
    </row>
    <row r="67" spans="1:21" ht="80.25" customHeight="1">
      <c r="A67" s="300"/>
      <c r="B67" s="689">
        <v>12</v>
      </c>
      <c r="C67" s="431" t="s">
        <v>664</v>
      </c>
      <c r="D67" s="689" t="s">
        <v>231</v>
      </c>
      <c r="E67" s="575"/>
      <c r="F67" s="575"/>
      <c r="G67" s="575"/>
      <c r="H67" s="791"/>
      <c r="I67" s="575"/>
      <c r="J67" s="567">
        <f t="shared" si="20"/>
        <v>950</v>
      </c>
      <c r="K67" s="567">
        <v>950</v>
      </c>
      <c r="L67" s="567">
        <v>0</v>
      </c>
      <c r="M67" s="567">
        <v>0</v>
      </c>
      <c r="N67" s="403">
        <f t="shared" si="15"/>
        <v>0</v>
      </c>
      <c r="O67" s="403">
        <f t="shared" si="16"/>
        <v>0</v>
      </c>
      <c r="P67" s="407" t="s">
        <v>665</v>
      </c>
      <c r="Q67" s="585"/>
      <c r="R67" s="468"/>
      <c r="S67" s="388"/>
      <c r="T67" s="468"/>
      <c r="U67" s="468"/>
    </row>
    <row r="68" spans="1:21" ht="82.5" customHeight="1">
      <c r="A68" s="300"/>
      <c r="B68" s="689" t="s">
        <v>233</v>
      </c>
      <c r="C68" s="431" t="s">
        <v>666</v>
      </c>
      <c r="D68" s="689" t="s">
        <v>231</v>
      </c>
      <c r="E68" s="718"/>
      <c r="F68" s="718"/>
      <c r="G68" s="718"/>
      <c r="H68" s="793"/>
      <c r="I68" s="718"/>
      <c r="J68" s="567">
        <f t="shared" si="20"/>
        <v>1350</v>
      </c>
      <c r="K68" s="567">
        <v>1350</v>
      </c>
      <c r="L68" s="567">
        <v>0</v>
      </c>
      <c r="M68" s="567">
        <v>0</v>
      </c>
      <c r="N68" s="403">
        <f t="shared" si="15"/>
        <v>0</v>
      </c>
      <c r="O68" s="403">
        <f t="shared" si="16"/>
        <v>0</v>
      </c>
      <c r="P68" s="407" t="s">
        <v>665</v>
      </c>
      <c r="Q68" s="585"/>
      <c r="R68" s="468"/>
      <c r="S68" s="388"/>
      <c r="T68" s="468"/>
      <c r="U68" s="468"/>
    </row>
    <row r="69" spans="1:21" ht="84.75" customHeight="1">
      <c r="A69" s="300"/>
      <c r="B69" s="689" t="s">
        <v>233</v>
      </c>
      <c r="C69" s="431" t="s">
        <v>667</v>
      </c>
      <c r="D69" s="689" t="s">
        <v>231</v>
      </c>
      <c r="E69" s="718"/>
      <c r="F69" s="718"/>
      <c r="G69" s="718"/>
      <c r="H69" s="793"/>
      <c r="I69" s="718"/>
      <c r="J69" s="567">
        <f t="shared" si="20"/>
        <v>991.38</v>
      </c>
      <c r="K69" s="567">
        <v>991.38</v>
      </c>
      <c r="L69" s="567">
        <v>0</v>
      </c>
      <c r="M69" s="567">
        <v>0</v>
      </c>
      <c r="N69" s="403">
        <f t="shared" si="15"/>
        <v>0</v>
      </c>
      <c r="O69" s="403">
        <f t="shared" si="16"/>
        <v>0</v>
      </c>
      <c r="P69" s="407" t="s">
        <v>665</v>
      </c>
      <c r="Q69" s="585"/>
      <c r="R69" s="468"/>
      <c r="S69" s="388"/>
      <c r="T69" s="468"/>
      <c r="U69" s="468"/>
    </row>
    <row r="70" spans="1:21" ht="22.5">
      <c r="A70" s="300"/>
      <c r="B70" s="689">
        <v>13</v>
      </c>
      <c r="C70" s="592" t="s">
        <v>668</v>
      </c>
      <c r="D70" s="593" t="s">
        <v>1865</v>
      </c>
      <c r="E70" s="718"/>
      <c r="F70" s="718"/>
      <c r="G70" s="718"/>
      <c r="H70" s="793"/>
      <c r="I70" s="718"/>
      <c r="J70" s="567">
        <f t="shared" si="20"/>
        <v>232.44</v>
      </c>
      <c r="K70" s="567">
        <v>120</v>
      </c>
      <c r="L70" s="567">
        <v>10</v>
      </c>
      <c r="M70" s="567">
        <v>100.44</v>
      </c>
      <c r="N70" s="403">
        <f t="shared" si="15"/>
        <v>0</v>
      </c>
      <c r="O70" s="403">
        <f t="shared" si="16"/>
        <v>0</v>
      </c>
      <c r="P70" s="407"/>
      <c r="Q70" s="585"/>
      <c r="R70" s="468"/>
      <c r="S70" s="388"/>
      <c r="T70" s="468"/>
      <c r="U70" s="468"/>
    </row>
    <row r="71" spans="1:21" ht="38.25" customHeight="1">
      <c r="A71" s="300"/>
      <c r="B71" s="689">
        <v>14</v>
      </c>
      <c r="C71" s="592" t="s">
        <v>669</v>
      </c>
      <c r="D71" s="593" t="s">
        <v>320</v>
      </c>
      <c r="E71" s="718"/>
      <c r="F71" s="718"/>
      <c r="G71" s="718"/>
      <c r="H71" s="793"/>
      <c r="I71" s="718"/>
      <c r="J71" s="567">
        <f t="shared" si="20"/>
        <v>148.19999999999999</v>
      </c>
      <c r="K71" s="567">
        <v>120</v>
      </c>
      <c r="L71" s="567">
        <v>1</v>
      </c>
      <c r="M71" s="567">
        <v>27</v>
      </c>
      <c r="N71" s="403">
        <f t="shared" si="15"/>
        <v>0</v>
      </c>
      <c r="O71" s="403">
        <f t="shared" si="16"/>
        <v>0</v>
      </c>
      <c r="P71" s="407" t="s">
        <v>670</v>
      </c>
      <c r="Q71" s="585"/>
      <c r="R71" s="468"/>
      <c r="S71" s="388"/>
      <c r="T71" s="468"/>
      <c r="U71" s="468"/>
    </row>
    <row r="72" spans="1:21" ht="30" customHeight="1">
      <c r="A72" s="300"/>
      <c r="B72" s="689">
        <v>15</v>
      </c>
      <c r="C72" s="431" t="s">
        <v>671</v>
      </c>
      <c r="D72" s="689" t="s">
        <v>672</v>
      </c>
      <c r="E72" s="575">
        <v>2</v>
      </c>
      <c r="F72" s="575"/>
      <c r="G72" s="575">
        <v>0</v>
      </c>
      <c r="H72" s="791" t="s">
        <v>1945</v>
      </c>
      <c r="I72" s="575" t="e">
        <f>CCC</f>
        <v>#NAME?</v>
      </c>
      <c r="J72" s="567">
        <f t="shared" si="20"/>
        <v>526.6</v>
      </c>
      <c r="K72" s="567">
        <v>500</v>
      </c>
      <c r="L72" s="567">
        <v>1</v>
      </c>
      <c r="M72" s="567">
        <v>21.6</v>
      </c>
      <c r="N72" s="403">
        <f t="shared" si="15"/>
        <v>1053.2</v>
      </c>
      <c r="O72" s="403">
        <f t="shared" si="16"/>
        <v>0</v>
      </c>
      <c r="P72" s="407"/>
      <c r="Q72" s="585"/>
      <c r="R72" s="468"/>
      <c r="S72" s="388"/>
      <c r="T72" s="468"/>
      <c r="U72" s="468"/>
    </row>
    <row r="73" spans="1:21" ht="30" customHeight="1">
      <c r="A73" s="300"/>
      <c r="B73" s="689">
        <v>16</v>
      </c>
      <c r="C73" s="431" t="s">
        <v>673</v>
      </c>
      <c r="D73" s="689" t="s">
        <v>270</v>
      </c>
      <c r="E73" s="575">
        <v>1</v>
      </c>
      <c r="F73" s="575"/>
      <c r="G73" s="575">
        <v>0</v>
      </c>
      <c r="H73" s="791">
        <v>2</v>
      </c>
      <c r="I73" s="575" t="e">
        <f>CCC</f>
        <v>#NAME?</v>
      </c>
      <c r="J73" s="567">
        <f t="shared" si="20"/>
        <v>249.93</v>
      </c>
      <c r="K73" s="567">
        <f>'附件4-8甲供材料清单'!K225</f>
        <v>225</v>
      </c>
      <c r="L73" s="567">
        <v>1</v>
      </c>
      <c r="M73" s="567">
        <v>22.68</v>
      </c>
      <c r="N73" s="403">
        <f t="shared" si="15"/>
        <v>249.93</v>
      </c>
      <c r="O73" s="403">
        <f t="shared" si="16"/>
        <v>0</v>
      </c>
      <c r="P73" s="407" t="s">
        <v>244</v>
      </c>
      <c r="Q73" s="585">
        <f>N73</f>
        <v>249.93</v>
      </c>
      <c r="R73" s="468">
        <f>O73</f>
        <v>0</v>
      </c>
      <c r="S73" s="388"/>
      <c r="T73" s="468">
        <f>E73*$K73*(1+$L73%)</f>
        <v>227.25</v>
      </c>
      <c r="U73" s="468">
        <f>G73*$K73*(1+$L73%)</f>
        <v>0</v>
      </c>
    </row>
    <row r="74" spans="1:21" ht="40.15" customHeight="1">
      <c r="A74" s="300"/>
      <c r="B74" s="689">
        <v>17</v>
      </c>
      <c r="C74" s="431" t="s">
        <v>675</v>
      </c>
      <c r="D74" s="689" t="s">
        <v>676</v>
      </c>
      <c r="E74" s="575">
        <v>1</v>
      </c>
      <c r="F74" s="575"/>
      <c r="G74" s="575">
        <v>0</v>
      </c>
      <c r="H74" s="791">
        <v>1</v>
      </c>
      <c r="I74" s="575" t="e">
        <f>CCC</f>
        <v>#NAME?</v>
      </c>
      <c r="J74" s="567">
        <f t="shared" si="20"/>
        <v>2016.68</v>
      </c>
      <c r="K74" s="567">
        <v>1700</v>
      </c>
      <c r="L74" s="567">
        <v>3</v>
      </c>
      <c r="M74" s="567">
        <v>265.68</v>
      </c>
      <c r="N74" s="403">
        <f t="shared" si="15"/>
        <v>2016.68</v>
      </c>
      <c r="O74" s="403">
        <f t="shared" si="16"/>
        <v>0</v>
      </c>
      <c r="P74" s="407" t="s">
        <v>677</v>
      </c>
      <c r="Q74" s="585"/>
      <c r="R74" s="468"/>
      <c r="S74" s="388"/>
      <c r="T74" s="468"/>
      <c r="U74" s="468"/>
    </row>
    <row r="75" spans="1:21" s="451" customFormat="1" ht="16.5" customHeight="1">
      <c r="A75" s="438"/>
      <c r="B75" s="635"/>
      <c r="C75" s="644" t="s">
        <v>678</v>
      </c>
      <c r="D75" s="635"/>
      <c r="E75" s="636" t="s">
        <v>1859</v>
      </c>
      <c r="F75" s="636"/>
      <c r="G75" s="636"/>
      <c r="H75" s="635"/>
      <c r="I75" s="636"/>
      <c r="J75" s="636"/>
      <c r="K75" s="636"/>
      <c r="L75" s="636"/>
      <c r="M75" s="636"/>
      <c r="N75" s="643"/>
      <c r="O75" s="643"/>
      <c r="P75" s="636" t="s">
        <v>1859</v>
      </c>
      <c r="Q75" s="584"/>
      <c r="R75" s="467"/>
      <c r="S75" s="461"/>
      <c r="T75" s="467"/>
      <c r="U75" s="467"/>
    </row>
    <row r="76" spans="1:21" ht="22.5">
      <c r="A76" s="300"/>
      <c r="B76" s="689">
        <v>1</v>
      </c>
      <c r="C76" s="431" t="s">
        <v>679</v>
      </c>
      <c r="D76" s="689" t="s">
        <v>235</v>
      </c>
      <c r="E76" s="718"/>
      <c r="F76" s="718"/>
      <c r="G76" s="718"/>
      <c r="H76" s="793"/>
      <c r="I76" s="718"/>
      <c r="J76" s="567">
        <f t="shared" ref="J76" si="21">K76+K76*L76%+M76</f>
        <v>467.16999999999996</v>
      </c>
      <c r="K76" s="567">
        <v>409</v>
      </c>
      <c r="L76" s="567">
        <v>3</v>
      </c>
      <c r="M76" s="567">
        <v>45.9</v>
      </c>
      <c r="N76" s="403">
        <f t="shared" ref="N76:N82" si="22">E76*$J76</f>
        <v>0</v>
      </c>
      <c r="O76" s="403">
        <f t="shared" ref="O76:O82" si="23">G76*$J76</f>
        <v>0</v>
      </c>
      <c r="P76" s="407"/>
      <c r="Q76" s="585"/>
      <c r="R76" s="468"/>
      <c r="S76" s="388"/>
      <c r="T76" s="468"/>
      <c r="U76" s="468"/>
    </row>
    <row r="77" spans="1:21" ht="45">
      <c r="A77" s="300"/>
      <c r="B77" s="689">
        <v>2</v>
      </c>
      <c r="C77" s="431" t="s">
        <v>680</v>
      </c>
      <c r="D77" s="689" t="s">
        <v>270</v>
      </c>
      <c r="E77" s="718"/>
      <c r="F77" s="718"/>
      <c r="G77" s="718"/>
      <c r="H77" s="793"/>
      <c r="I77" s="718"/>
      <c r="J77" s="567">
        <f t="shared" ref="J77:J82" si="24">K77+K77*L77%+M77</f>
        <v>102.8835</v>
      </c>
      <c r="K77" s="567">
        <v>87.75</v>
      </c>
      <c r="L77" s="567">
        <v>1</v>
      </c>
      <c r="M77" s="567">
        <v>14.256</v>
      </c>
      <c r="N77" s="403">
        <f t="shared" si="22"/>
        <v>0</v>
      </c>
      <c r="O77" s="403">
        <f t="shared" si="23"/>
        <v>0</v>
      </c>
      <c r="P77" s="407"/>
      <c r="Q77" s="585"/>
      <c r="R77" s="468"/>
      <c r="S77" s="388"/>
      <c r="T77" s="468"/>
      <c r="U77" s="468"/>
    </row>
    <row r="78" spans="1:21" ht="45">
      <c r="A78" s="300" t="s">
        <v>297</v>
      </c>
      <c r="B78" s="689" t="s">
        <v>278</v>
      </c>
      <c r="C78" s="431" t="s">
        <v>681</v>
      </c>
      <c r="D78" s="689" t="s">
        <v>270</v>
      </c>
      <c r="E78" s="718"/>
      <c r="F78" s="718"/>
      <c r="G78" s="718"/>
      <c r="H78" s="793"/>
      <c r="I78" s="718"/>
      <c r="J78" s="567">
        <f t="shared" si="24"/>
        <v>98.085999999999999</v>
      </c>
      <c r="K78" s="567">
        <v>83</v>
      </c>
      <c r="L78" s="567">
        <v>1</v>
      </c>
      <c r="M78" s="567">
        <v>14.256</v>
      </c>
      <c r="N78" s="403">
        <f t="shared" si="22"/>
        <v>0</v>
      </c>
      <c r="O78" s="403">
        <f t="shared" si="23"/>
        <v>0</v>
      </c>
      <c r="P78" s="407"/>
      <c r="Q78" s="585"/>
      <c r="R78" s="468"/>
      <c r="S78" s="388"/>
      <c r="T78" s="468"/>
      <c r="U78" s="468"/>
    </row>
    <row r="79" spans="1:21" ht="45">
      <c r="A79" s="300"/>
      <c r="B79" s="689">
        <v>3</v>
      </c>
      <c r="C79" s="431" t="s">
        <v>682</v>
      </c>
      <c r="D79" s="689" t="s">
        <v>235</v>
      </c>
      <c r="E79" s="718"/>
      <c r="F79" s="718"/>
      <c r="G79" s="718"/>
      <c r="H79" s="793"/>
      <c r="I79" s="718"/>
      <c r="J79" s="567">
        <f t="shared" si="24"/>
        <v>278.48</v>
      </c>
      <c r="K79" s="567">
        <v>230</v>
      </c>
      <c r="L79" s="567">
        <v>3</v>
      </c>
      <c r="M79" s="567">
        <v>41.58</v>
      </c>
      <c r="N79" s="403">
        <f t="shared" si="22"/>
        <v>0</v>
      </c>
      <c r="O79" s="403">
        <f t="shared" si="23"/>
        <v>0</v>
      </c>
      <c r="P79" s="407"/>
      <c r="Q79" s="585"/>
      <c r="R79" s="468"/>
      <c r="S79" s="388"/>
      <c r="T79" s="468"/>
      <c r="U79" s="468"/>
    </row>
    <row r="80" spans="1:21" ht="33.75">
      <c r="A80" s="300"/>
      <c r="B80" s="689">
        <v>4</v>
      </c>
      <c r="C80" s="431" t="s">
        <v>683</v>
      </c>
      <c r="D80" s="689" t="s">
        <v>231</v>
      </c>
      <c r="E80" s="718"/>
      <c r="F80" s="718"/>
      <c r="G80" s="718"/>
      <c r="H80" s="793"/>
      <c r="I80" s="718"/>
      <c r="J80" s="567">
        <f t="shared" si="24"/>
        <v>168.3</v>
      </c>
      <c r="K80" s="567">
        <v>45</v>
      </c>
      <c r="L80" s="567">
        <v>10</v>
      </c>
      <c r="M80" s="567">
        <v>118.8</v>
      </c>
      <c r="N80" s="403">
        <f t="shared" si="22"/>
        <v>0</v>
      </c>
      <c r="O80" s="403">
        <f t="shared" si="23"/>
        <v>0</v>
      </c>
      <c r="P80" s="407"/>
      <c r="Q80" s="585"/>
      <c r="R80" s="468"/>
      <c r="S80" s="388"/>
      <c r="T80" s="468"/>
      <c r="U80" s="468"/>
    </row>
    <row r="81" spans="1:21" ht="33.75">
      <c r="A81" s="300"/>
      <c r="B81" s="689">
        <v>5</v>
      </c>
      <c r="C81" s="431" t="s">
        <v>684</v>
      </c>
      <c r="D81" s="689" t="s">
        <v>235</v>
      </c>
      <c r="E81" s="718"/>
      <c r="F81" s="718"/>
      <c r="G81" s="718"/>
      <c r="H81" s="793"/>
      <c r="I81" s="718"/>
      <c r="J81" s="567">
        <f t="shared" si="24"/>
        <v>89.6</v>
      </c>
      <c r="K81" s="567">
        <v>52</v>
      </c>
      <c r="L81" s="567">
        <v>10</v>
      </c>
      <c r="M81" s="567">
        <v>32.4</v>
      </c>
      <c r="N81" s="403">
        <f t="shared" si="22"/>
        <v>0</v>
      </c>
      <c r="O81" s="403">
        <f t="shared" si="23"/>
        <v>0</v>
      </c>
      <c r="P81" s="407" t="s">
        <v>266</v>
      </c>
      <c r="Q81" s="585"/>
      <c r="R81" s="468"/>
      <c r="S81" s="388"/>
      <c r="T81" s="468"/>
      <c r="U81" s="468"/>
    </row>
    <row r="82" spans="1:21" ht="22.5">
      <c r="A82" s="300"/>
      <c r="B82" s="689">
        <v>6</v>
      </c>
      <c r="C82" s="431" t="s">
        <v>685</v>
      </c>
      <c r="D82" s="689" t="s">
        <v>231</v>
      </c>
      <c r="E82" s="718"/>
      <c r="F82" s="718"/>
      <c r="G82" s="718"/>
      <c r="H82" s="793"/>
      <c r="I82" s="718"/>
      <c r="J82" s="567">
        <f t="shared" si="24"/>
        <v>103.224</v>
      </c>
      <c r="K82" s="567">
        <f>'附件4-8甲供材料清单'!K199</f>
        <v>15</v>
      </c>
      <c r="L82" s="567">
        <v>10</v>
      </c>
      <c r="M82" s="567">
        <v>86.724000000000004</v>
      </c>
      <c r="N82" s="403">
        <f t="shared" si="22"/>
        <v>0</v>
      </c>
      <c r="O82" s="403">
        <f t="shared" si="23"/>
        <v>0</v>
      </c>
      <c r="P82" s="407" t="s">
        <v>244</v>
      </c>
      <c r="Q82" s="585">
        <f>N82</f>
        <v>0</v>
      </c>
      <c r="R82" s="468">
        <f>O82</f>
        <v>0</v>
      </c>
      <c r="S82" s="388"/>
      <c r="T82" s="468">
        <f>E82*$K82*(1+$L82%)</f>
        <v>0</v>
      </c>
      <c r="U82" s="468">
        <f>G82*$K82*(1+$L82%)</f>
        <v>0</v>
      </c>
    </row>
    <row r="83" spans="1:21" s="451" customFormat="1" ht="19.5" customHeight="1">
      <c r="A83" s="438"/>
      <c r="B83" s="635"/>
      <c r="C83" s="644" t="s">
        <v>686</v>
      </c>
      <c r="D83" s="635"/>
      <c r="E83" s="636" t="s">
        <v>1859</v>
      </c>
      <c r="F83" s="636"/>
      <c r="G83" s="636"/>
      <c r="H83" s="635"/>
      <c r="I83" s="636"/>
      <c r="J83" s="636"/>
      <c r="K83" s="636"/>
      <c r="L83" s="636"/>
      <c r="M83" s="636"/>
      <c r="N83" s="643"/>
      <c r="O83" s="643"/>
      <c r="P83" s="636" t="s">
        <v>1859</v>
      </c>
      <c r="Q83" s="584"/>
      <c r="R83" s="467"/>
      <c r="S83" s="461"/>
      <c r="T83" s="467"/>
      <c r="U83" s="467"/>
    </row>
    <row r="84" spans="1:21" ht="33.75">
      <c r="A84" s="300"/>
      <c r="B84" s="689">
        <v>1</v>
      </c>
      <c r="C84" s="431" t="s">
        <v>687</v>
      </c>
      <c r="D84" s="689" t="s">
        <v>231</v>
      </c>
      <c r="E84" s="718"/>
      <c r="F84" s="718"/>
      <c r="G84" s="718"/>
      <c r="H84" s="793"/>
      <c r="I84" s="718"/>
      <c r="J84" s="567">
        <f t="shared" ref="J84" si="25">K84+K84*L84%+M84</f>
        <v>358.83600000000001</v>
      </c>
      <c r="K84" s="567">
        <v>260</v>
      </c>
      <c r="L84" s="567">
        <v>2</v>
      </c>
      <c r="M84" s="567">
        <v>93.635999999999996</v>
      </c>
      <c r="N84" s="403">
        <f t="shared" ref="N84:N99" si="26">E84*$J84</f>
        <v>0</v>
      </c>
      <c r="O84" s="403">
        <f t="shared" ref="O84:O99" si="27">G84*$J84</f>
        <v>0</v>
      </c>
      <c r="P84" s="407"/>
      <c r="Q84" s="585"/>
      <c r="R84" s="468"/>
      <c r="S84" s="388"/>
      <c r="T84" s="468"/>
      <c r="U84" s="468"/>
    </row>
    <row r="85" spans="1:21" ht="22.5">
      <c r="A85" s="300"/>
      <c r="B85" s="689" t="s">
        <v>233</v>
      </c>
      <c r="C85" s="431" t="s">
        <v>688</v>
      </c>
      <c r="D85" s="689" t="s">
        <v>231</v>
      </c>
      <c r="E85" s="718"/>
      <c r="F85" s="718"/>
      <c r="G85" s="718"/>
      <c r="H85" s="793"/>
      <c r="I85" s="718"/>
      <c r="J85" s="567">
        <f t="shared" ref="J85:J90" si="28">K85+K85*L85%+M85</f>
        <v>542.52240000000006</v>
      </c>
      <c r="K85" s="567">
        <v>260</v>
      </c>
      <c r="L85" s="567">
        <v>2</v>
      </c>
      <c r="M85" s="567">
        <v>277.32240000000002</v>
      </c>
      <c r="N85" s="403">
        <f t="shared" si="26"/>
        <v>0</v>
      </c>
      <c r="O85" s="403">
        <f t="shared" si="27"/>
        <v>0</v>
      </c>
      <c r="P85" s="407"/>
      <c r="Q85" s="585"/>
      <c r="R85" s="468"/>
      <c r="S85" s="388"/>
      <c r="T85" s="468"/>
      <c r="U85" s="468"/>
    </row>
    <row r="86" spans="1:21" ht="33.75">
      <c r="A86" s="300"/>
      <c r="B86" s="689">
        <v>2</v>
      </c>
      <c r="C86" s="431" t="s">
        <v>689</v>
      </c>
      <c r="D86" s="689" t="s">
        <v>235</v>
      </c>
      <c r="E86" s="718"/>
      <c r="F86" s="718"/>
      <c r="G86" s="718"/>
      <c r="H86" s="793"/>
      <c r="I86" s="718"/>
      <c r="J86" s="567">
        <f t="shared" si="28"/>
        <v>334.29999999999995</v>
      </c>
      <c r="K86" s="567">
        <v>280</v>
      </c>
      <c r="L86" s="567">
        <v>3</v>
      </c>
      <c r="M86" s="567">
        <v>45.9</v>
      </c>
      <c r="N86" s="403">
        <f t="shared" si="26"/>
        <v>0</v>
      </c>
      <c r="O86" s="403">
        <f t="shared" si="27"/>
        <v>0</v>
      </c>
      <c r="P86" s="407"/>
      <c r="Q86" s="585"/>
      <c r="R86" s="468"/>
      <c r="S86" s="388"/>
      <c r="T86" s="468"/>
      <c r="U86" s="468"/>
    </row>
    <row r="87" spans="1:21" ht="33.75">
      <c r="A87" s="300"/>
      <c r="B87" s="689">
        <v>3</v>
      </c>
      <c r="C87" s="431" t="s">
        <v>690</v>
      </c>
      <c r="D87" s="689" t="s">
        <v>270</v>
      </c>
      <c r="E87" s="718"/>
      <c r="F87" s="718"/>
      <c r="G87" s="718"/>
      <c r="H87" s="793"/>
      <c r="I87" s="718"/>
      <c r="J87" s="567">
        <f t="shared" si="28"/>
        <v>102.8835</v>
      </c>
      <c r="K87" s="567">
        <v>87.75</v>
      </c>
      <c r="L87" s="567">
        <v>1</v>
      </c>
      <c r="M87" s="567">
        <v>14.256</v>
      </c>
      <c r="N87" s="403">
        <f t="shared" si="26"/>
        <v>0</v>
      </c>
      <c r="O87" s="403">
        <f t="shared" si="27"/>
        <v>0</v>
      </c>
      <c r="P87" s="407"/>
      <c r="Q87" s="585"/>
      <c r="R87" s="468"/>
      <c r="S87" s="388"/>
      <c r="T87" s="468"/>
      <c r="U87" s="468"/>
    </row>
    <row r="88" spans="1:21" ht="45">
      <c r="A88" s="300" t="s">
        <v>606</v>
      </c>
      <c r="B88" s="689" t="s">
        <v>278</v>
      </c>
      <c r="C88" s="431" t="s">
        <v>691</v>
      </c>
      <c r="D88" s="689" t="s">
        <v>270</v>
      </c>
      <c r="E88" s="718"/>
      <c r="F88" s="718"/>
      <c r="G88" s="718"/>
      <c r="H88" s="793"/>
      <c r="I88" s="718"/>
      <c r="J88" s="567">
        <f t="shared" si="28"/>
        <v>105.83775</v>
      </c>
      <c r="K88" s="567">
        <v>90.674999999999997</v>
      </c>
      <c r="L88" s="567">
        <v>1</v>
      </c>
      <c r="M88" s="567">
        <v>14.256</v>
      </c>
      <c r="N88" s="403">
        <f t="shared" si="26"/>
        <v>0</v>
      </c>
      <c r="O88" s="403">
        <f t="shared" si="27"/>
        <v>0</v>
      </c>
      <c r="P88" s="407"/>
      <c r="Q88" s="585"/>
      <c r="R88" s="468"/>
      <c r="S88" s="388"/>
      <c r="T88" s="468"/>
      <c r="U88" s="468"/>
    </row>
    <row r="89" spans="1:21" ht="38.25" customHeight="1">
      <c r="A89" s="300"/>
      <c r="B89" s="689">
        <v>4</v>
      </c>
      <c r="C89" s="431" t="s">
        <v>692</v>
      </c>
      <c r="D89" s="689" t="s">
        <v>235</v>
      </c>
      <c r="E89" s="718"/>
      <c r="F89" s="718"/>
      <c r="G89" s="718"/>
      <c r="H89" s="793"/>
      <c r="I89" s="718"/>
      <c r="J89" s="567">
        <f t="shared" si="28"/>
        <v>251.94</v>
      </c>
      <c r="K89" s="567">
        <v>210</v>
      </c>
      <c r="L89" s="567">
        <v>3</v>
      </c>
      <c r="M89" s="567">
        <v>35.64</v>
      </c>
      <c r="N89" s="403">
        <f t="shared" si="26"/>
        <v>0</v>
      </c>
      <c r="O89" s="403">
        <f t="shared" si="27"/>
        <v>0</v>
      </c>
      <c r="P89" s="407"/>
      <c r="Q89" s="585"/>
      <c r="R89" s="468"/>
      <c r="S89" s="388"/>
      <c r="T89" s="468"/>
      <c r="U89" s="468"/>
    </row>
    <row r="90" spans="1:21" ht="38.25" customHeight="1">
      <c r="A90" s="300"/>
      <c r="B90" s="689">
        <v>5</v>
      </c>
      <c r="C90" s="431" t="s">
        <v>693</v>
      </c>
      <c r="D90" s="689" t="s">
        <v>270</v>
      </c>
      <c r="E90" s="718"/>
      <c r="F90" s="718"/>
      <c r="G90" s="718"/>
      <c r="H90" s="793"/>
      <c r="I90" s="718"/>
      <c r="J90" s="567">
        <f t="shared" si="28"/>
        <v>80.516000000000005</v>
      </c>
      <c r="K90" s="567">
        <v>65.599999999999994</v>
      </c>
      <c r="L90" s="567">
        <v>1</v>
      </c>
      <c r="M90" s="567">
        <v>14.26</v>
      </c>
      <c r="N90" s="403">
        <f t="shared" si="26"/>
        <v>0</v>
      </c>
      <c r="O90" s="403">
        <f t="shared" si="27"/>
        <v>0</v>
      </c>
      <c r="P90" s="407"/>
      <c r="Q90" s="585"/>
      <c r="R90" s="468"/>
      <c r="S90" s="388"/>
      <c r="T90" s="468"/>
      <c r="U90" s="468"/>
    </row>
    <row r="91" spans="1:21" ht="45">
      <c r="A91" s="300" t="s">
        <v>606</v>
      </c>
      <c r="B91" s="689" t="s">
        <v>278</v>
      </c>
      <c r="C91" s="431" t="s">
        <v>694</v>
      </c>
      <c r="D91" s="689" t="s">
        <v>270</v>
      </c>
      <c r="E91" s="718"/>
      <c r="F91" s="718"/>
      <c r="G91" s="718"/>
      <c r="H91" s="793"/>
      <c r="I91" s="718"/>
      <c r="J91" s="567">
        <f t="shared" ref="J91" si="29">K91+K91*L91%+M91</f>
        <v>78.08395999999999</v>
      </c>
      <c r="K91" s="567">
        <v>63.195999999999998</v>
      </c>
      <c r="L91" s="567">
        <v>1</v>
      </c>
      <c r="M91" s="567">
        <v>14.256</v>
      </c>
      <c r="N91" s="403">
        <f t="shared" si="26"/>
        <v>0</v>
      </c>
      <c r="O91" s="403">
        <f t="shared" si="27"/>
        <v>0</v>
      </c>
      <c r="P91" s="407"/>
      <c r="Q91" s="585"/>
      <c r="R91" s="468"/>
      <c r="S91" s="388"/>
      <c r="T91" s="468"/>
      <c r="U91" s="468"/>
    </row>
    <row r="92" spans="1:21" ht="45">
      <c r="A92" s="300" t="s">
        <v>606</v>
      </c>
      <c r="B92" s="689" t="s">
        <v>278</v>
      </c>
      <c r="C92" s="431" t="s">
        <v>695</v>
      </c>
      <c r="D92" s="689" t="s">
        <v>270</v>
      </c>
      <c r="E92" s="718"/>
      <c r="F92" s="718"/>
      <c r="G92" s="718"/>
      <c r="H92" s="793"/>
      <c r="I92" s="718"/>
      <c r="J92" s="567">
        <f t="shared" ref="J92" si="30">K92+K92*L92%+M92</f>
        <v>87.202240000000003</v>
      </c>
      <c r="K92" s="567">
        <v>72.224000000000004</v>
      </c>
      <c r="L92" s="567">
        <v>1</v>
      </c>
      <c r="M92" s="567">
        <v>14.256</v>
      </c>
      <c r="N92" s="403">
        <f t="shared" si="26"/>
        <v>0</v>
      </c>
      <c r="O92" s="403">
        <f t="shared" si="27"/>
        <v>0</v>
      </c>
      <c r="P92" s="407"/>
      <c r="Q92" s="585"/>
      <c r="R92" s="468"/>
      <c r="S92" s="388"/>
      <c r="T92" s="468"/>
      <c r="U92" s="468"/>
    </row>
    <row r="93" spans="1:21" ht="45">
      <c r="A93" s="300" t="s">
        <v>606</v>
      </c>
      <c r="B93" s="689" t="s">
        <v>278</v>
      </c>
      <c r="C93" s="431" t="s">
        <v>696</v>
      </c>
      <c r="D93" s="689" t="s">
        <v>270</v>
      </c>
      <c r="E93" s="718"/>
      <c r="F93" s="718"/>
      <c r="G93" s="718"/>
      <c r="H93" s="793"/>
      <c r="I93" s="718"/>
      <c r="J93" s="567">
        <f t="shared" ref="J93:J99" si="31">K93+K93*L93%+M93</f>
        <v>89.63378133333336</v>
      </c>
      <c r="K93" s="567">
        <v>74.631466666666697</v>
      </c>
      <c r="L93" s="567">
        <v>1</v>
      </c>
      <c r="M93" s="567">
        <v>14.256</v>
      </c>
      <c r="N93" s="403">
        <f t="shared" si="26"/>
        <v>0</v>
      </c>
      <c r="O93" s="403">
        <f t="shared" si="27"/>
        <v>0</v>
      </c>
      <c r="P93" s="407"/>
      <c r="Q93" s="585"/>
      <c r="R93" s="468"/>
      <c r="S93" s="388"/>
      <c r="T93" s="468"/>
      <c r="U93" s="468"/>
    </row>
    <row r="94" spans="1:21" ht="34.5" customHeight="1">
      <c r="A94" s="300" t="s">
        <v>277</v>
      </c>
      <c r="B94" s="689" t="s">
        <v>278</v>
      </c>
      <c r="C94" s="431" t="s">
        <v>697</v>
      </c>
      <c r="D94" s="689" t="s">
        <v>270</v>
      </c>
      <c r="E94" s="718"/>
      <c r="F94" s="718"/>
      <c r="G94" s="718"/>
      <c r="H94" s="793"/>
      <c r="I94" s="718"/>
      <c r="J94" s="567">
        <f t="shared" si="31"/>
        <v>58.497999999999998</v>
      </c>
      <c r="K94" s="567">
        <v>43.8</v>
      </c>
      <c r="L94" s="567">
        <v>1</v>
      </c>
      <c r="M94" s="567">
        <v>14.26</v>
      </c>
      <c r="N94" s="403">
        <f t="shared" si="26"/>
        <v>0</v>
      </c>
      <c r="O94" s="403">
        <f t="shared" si="27"/>
        <v>0</v>
      </c>
      <c r="P94" s="407"/>
      <c r="Q94" s="585"/>
      <c r="R94" s="468"/>
      <c r="S94" s="388"/>
      <c r="T94" s="468"/>
      <c r="U94" s="468"/>
    </row>
    <row r="95" spans="1:21" ht="33.75">
      <c r="A95" s="300"/>
      <c r="B95" s="689" t="s">
        <v>233</v>
      </c>
      <c r="C95" s="431" t="s">
        <v>698</v>
      </c>
      <c r="D95" s="689" t="s">
        <v>235</v>
      </c>
      <c r="E95" s="718"/>
      <c r="F95" s="718"/>
      <c r="G95" s="718"/>
      <c r="H95" s="793"/>
      <c r="I95" s="718"/>
      <c r="J95" s="567">
        <f t="shared" si="31"/>
        <v>155.25</v>
      </c>
      <c r="K95" s="567">
        <v>135</v>
      </c>
      <c r="L95" s="567">
        <v>3</v>
      </c>
      <c r="M95" s="567">
        <v>16.2</v>
      </c>
      <c r="N95" s="403">
        <f t="shared" si="26"/>
        <v>0</v>
      </c>
      <c r="O95" s="403">
        <f t="shared" si="27"/>
        <v>0</v>
      </c>
      <c r="P95" s="407"/>
      <c r="Q95" s="585"/>
      <c r="R95" s="468"/>
      <c r="S95" s="388"/>
      <c r="T95" s="468"/>
      <c r="U95" s="468"/>
    </row>
    <row r="96" spans="1:21" ht="33.75">
      <c r="A96" s="300"/>
      <c r="B96" s="689" t="s">
        <v>233</v>
      </c>
      <c r="C96" s="431" t="s">
        <v>699</v>
      </c>
      <c r="D96" s="689" t="s">
        <v>270</v>
      </c>
      <c r="E96" s="718"/>
      <c r="F96" s="718"/>
      <c r="G96" s="718"/>
      <c r="H96" s="793"/>
      <c r="I96" s="718"/>
      <c r="J96" s="567">
        <f t="shared" si="31"/>
        <v>74.098500000000001</v>
      </c>
      <c r="K96" s="567">
        <v>59.25</v>
      </c>
      <c r="L96" s="567">
        <v>1</v>
      </c>
      <c r="M96" s="567">
        <v>14.256</v>
      </c>
      <c r="N96" s="403">
        <f t="shared" si="26"/>
        <v>0</v>
      </c>
      <c r="O96" s="403">
        <f t="shared" si="27"/>
        <v>0</v>
      </c>
      <c r="P96" s="407"/>
      <c r="Q96" s="585"/>
      <c r="R96" s="468"/>
      <c r="S96" s="388"/>
      <c r="T96" s="468"/>
      <c r="U96" s="468"/>
    </row>
    <row r="97" spans="1:21" ht="45">
      <c r="A97" s="300" t="s">
        <v>606</v>
      </c>
      <c r="B97" s="689" t="s">
        <v>278</v>
      </c>
      <c r="C97" s="431" t="s">
        <v>700</v>
      </c>
      <c r="D97" s="689" t="s">
        <v>270</v>
      </c>
      <c r="E97" s="718"/>
      <c r="F97" s="718"/>
      <c r="G97" s="718"/>
      <c r="H97" s="793"/>
      <c r="I97" s="718"/>
      <c r="J97" s="567">
        <f t="shared" si="31"/>
        <v>36.001973333333368</v>
      </c>
      <c r="K97" s="567">
        <v>21.530666666666701</v>
      </c>
      <c r="L97" s="567">
        <v>1</v>
      </c>
      <c r="M97" s="567">
        <v>14.256</v>
      </c>
      <c r="N97" s="403">
        <f t="shared" si="26"/>
        <v>0</v>
      </c>
      <c r="O97" s="403">
        <f t="shared" si="27"/>
        <v>0</v>
      </c>
      <c r="P97" s="407"/>
      <c r="Q97" s="585"/>
      <c r="R97" s="468"/>
      <c r="S97" s="388"/>
      <c r="T97" s="468"/>
      <c r="U97" s="468"/>
    </row>
    <row r="98" spans="1:21" ht="45">
      <c r="A98" s="300" t="s">
        <v>606</v>
      </c>
      <c r="B98" s="689" t="s">
        <v>278</v>
      </c>
      <c r="C98" s="431" t="s">
        <v>701</v>
      </c>
      <c r="D98" s="689" t="s">
        <v>270</v>
      </c>
      <c r="E98" s="718"/>
      <c r="F98" s="718"/>
      <c r="G98" s="718"/>
      <c r="H98" s="793"/>
      <c r="I98" s="718"/>
      <c r="J98" s="567">
        <f t="shared" si="31"/>
        <v>36.726839111111161</v>
      </c>
      <c r="K98" s="567">
        <v>22.248355555555602</v>
      </c>
      <c r="L98" s="567">
        <v>1</v>
      </c>
      <c r="M98" s="567">
        <v>14.256</v>
      </c>
      <c r="N98" s="403">
        <f t="shared" si="26"/>
        <v>0</v>
      </c>
      <c r="O98" s="403">
        <f t="shared" si="27"/>
        <v>0</v>
      </c>
      <c r="P98" s="407"/>
      <c r="Q98" s="585"/>
      <c r="R98" s="468"/>
      <c r="S98" s="388"/>
      <c r="T98" s="468"/>
      <c r="U98" s="468"/>
    </row>
    <row r="99" spans="1:21" ht="22.5">
      <c r="A99" s="300"/>
      <c r="B99" s="689">
        <v>6</v>
      </c>
      <c r="C99" s="431" t="s">
        <v>702</v>
      </c>
      <c r="D99" s="689" t="s">
        <v>231</v>
      </c>
      <c r="E99" s="718"/>
      <c r="F99" s="718"/>
      <c r="G99" s="718"/>
      <c r="H99" s="793"/>
      <c r="I99" s="718"/>
      <c r="J99" s="567">
        <f t="shared" si="31"/>
        <v>489.39599999999996</v>
      </c>
      <c r="K99" s="567">
        <v>388</v>
      </c>
      <c r="L99" s="567">
        <v>2</v>
      </c>
      <c r="M99" s="567">
        <v>93.635999999999996</v>
      </c>
      <c r="N99" s="403">
        <f t="shared" si="26"/>
        <v>0</v>
      </c>
      <c r="O99" s="403">
        <f t="shared" si="27"/>
        <v>0</v>
      </c>
      <c r="P99" s="407"/>
      <c r="Q99" s="585"/>
      <c r="R99" s="468"/>
      <c r="S99" s="388"/>
      <c r="T99" s="468"/>
      <c r="U99" s="468"/>
    </row>
    <row r="100" spans="1:21" s="451" customFormat="1" ht="40.15" customHeight="1">
      <c r="A100" s="438"/>
      <c r="B100" s="635"/>
      <c r="C100" s="644" t="s">
        <v>703</v>
      </c>
      <c r="D100" s="635"/>
      <c r="E100" s="636" t="s">
        <v>1859</v>
      </c>
      <c r="F100" s="636"/>
      <c r="G100" s="636"/>
      <c r="H100" s="635"/>
      <c r="I100" s="636"/>
      <c r="J100" s="636"/>
      <c r="K100" s="636"/>
      <c r="L100" s="636"/>
      <c r="M100" s="636"/>
      <c r="N100" s="643"/>
      <c r="O100" s="643"/>
      <c r="P100" s="636" t="s">
        <v>1859</v>
      </c>
      <c r="Q100" s="584"/>
      <c r="R100" s="467"/>
      <c r="S100" s="461"/>
      <c r="T100" s="467"/>
      <c r="U100" s="467"/>
    </row>
    <row r="101" spans="1:21" ht="44.25" customHeight="1">
      <c r="A101" s="300"/>
      <c r="B101" s="689">
        <v>1</v>
      </c>
      <c r="C101" s="431" t="s">
        <v>704</v>
      </c>
      <c r="D101" s="689" t="s">
        <v>231</v>
      </c>
      <c r="E101" s="718"/>
      <c r="F101" s="718"/>
      <c r="G101" s="718"/>
      <c r="H101" s="793"/>
      <c r="I101" s="718"/>
      <c r="J101" s="567">
        <f t="shared" ref="J101" si="32">K101+K101*L101%+M101</f>
        <v>673.08240000000001</v>
      </c>
      <c r="K101" s="567">
        <v>388</v>
      </c>
      <c r="L101" s="567">
        <v>2</v>
      </c>
      <c r="M101" s="567">
        <v>277.32240000000002</v>
      </c>
      <c r="N101" s="403">
        <f>E101*$J101</f>
        <v>0</v>
      </c>
      <c r="O101" s="403">
        <f>G101*$J101</f>
        <v>0</v>
      </c>
      <c r="P101" s="431" t="s">
        <v>705</v>
      </c>
      <c r="Q101" s="585"/>
      <c r="R101" s="468"/>
      <c r="S101" s="388"/>
      <c r="T101" s="468"/>
      <c r="U101" s="468"/>
    </row>
    <row r="102" spans="1:21" ht="22.5">
      <c r="A102" s="300"/>
      <c r="B102" s="689">
        <v>2</v>
      </c>
      <c r="C102" s="431" t="s">
        <v>706</v>
      </c>
      <c r="D102" s="689" t="s">
        <v>231</v>
      </c>
      <c r="E102" s="718"/>
      <c r="F102" s="718"/>
      <c r="G102" s="718"/>
      <c r="H102" s="793"/>
      <c r="I102" s="718"/>
      <c r="J102" s="567">
        <f>K102+K102*L102%+M102</f>
        <v>350.9890666666667</v>
      </c>
      <c r="K102" s="567">
        <f>K115</f>
        <v>66.666666666666671</v>
      </c>
      <c r="L102" s="567">
        <v>10.5</v>
      </c>
      <c r="M102" s="567">
        <v>277.32240000000002</v>
      </c>
      <c r="N102" s="403">
        <f>E102*$J102</f>
        <v>0</v>
      </c>
      <c r="O102" s="403">
        <f>G102*$J102</f>
        <v>0</v>
      </c>
      <c r="P102" s="407" t="s">
        <v>244</v>
      </c>
      <c r="Q102" s="585">
        <f>N102</f>
        <v>0</v>
      </c>
      <c r="R102" s="468">
        <f>O102</f>
        <v>0</v>
      </c>
      <c r="S102" s="388"/>
      <c r="T102" s="468">
        <f>E102*$K102*(1+$L102%)</f>
        <v>0</v>
      </c>
      <c r="U102" s="468">
        <f>G102*$K102*(1+$L102%)</f>
        <v>0</v>
      </c>
    </row>
    <row r="103" spans="1:21" ht="30" customHeight="1">
      <c r="A103" s="300"/>
      <c r="B103" s="689">
        <v>3</v>
      </c>
      <c r="C103" s="431" t="s">
        <v>707</v>
      </c>
      <c r="D103" s="689" t="s">
        <v>231</v>
      </c>
      <c r="E103" s="575">
        <v>0</v>
      </c>
      <c r="F103" s="575"/>
      <c r="G103" s="575">
        <v>2.0099999999999998</v>
      </c>
      <c r="H103" s="791"/>
      <c r="I103" s="575"/>
      <c r="J103" s="567">
        <f>K103+K103*L103%+M103</f>
        <v>58.5</v>
      </c>
      <c r="K103" s="567">
        <v>30</v>
      </c>
      <c r="L103" s="567">
        <v>5</v>
      </c>
      <c r="M103" s="567">
        <v>27</v>
      </c>
      <c r="N103" s="403">
        <f>E103*$J103</f>
        <v>0</v>
      </c>
      <c r="O103" s="403">
        <f>G103*$J103</f>
        <v>117.58499999999999</v>
      </c>
      <c r="P103" s="407"/>
      <c r="Q103" s="585"/>
      <c r="R103" s="468"/>
      <c r="S103" s="388"/>
      <c r="T103" s="468"/>
      <c r="U103" s="468"/>
    </row>
    <row r="104" spans="1:21" s="451" customFormat="1" ht="18" customHeight="1">
      <c r="A104" s="438"/>
      <c r="B104" s="635"/>
      <c r="C104" s="644" t="s">
        <v>708</v>
      </c>
      <c r="D104" s="635"/>
      <c r="E104" s="636" t="s">
        <v>1859</v>
      </c>
      <c r="F104" s="636"/>
      <c r="G104" s="636"/>
      <c r="H104" s="635"/>
      <c r="I104" s="636"/>
      <c r="J104" s="636"/>
      <c r="K104" s="636"/>
      <c r="L104" s="636"/>
      <c r="M104" s="636"/>
      <c r="N104" s="643"/>
      <c r="O104" s="643"/>
      <c r="P104" s="636" t="s">
        <v>1859</v>
      </c>
      <c r="Q104" s="584"/>
      <c r="R104" s="467"/>
      <c r="S104" s="461"/>
      <c r="T104" s="467"/>
      <c r="U104" s="467"/>
    </row>
    <row r="105" spans="1:21" ht="24" customHeight="1">
      <c r="A105" s="300"/>
      <c r="B105" s="689">
        <v>1</v>
      </c>
      <c r="C105" s="431" t="s">
        <v>709</v>
      </c>
      <c r="D105" s="689" t="s">
        <v>231</v>
      </c>
      <c r="E105" s="718"/>
      <c r="F105" s="718"/>
      <c r="G105" s="718"/>
      <c r="H105" s="793"/>
      <c r="I105" s="718"/>
      <c r="J105" s="567">
        <f t="shared" ref="J105" si="33">K105+K105*L105%+M105</f>
        <v>549.9</v>
      </c>
      <c r="K105" s="567">
        <v>450</v>
      </c>
      <c r="L105" s="567">
        <v>3</v>
      </c>
      <c r="M105" s="567">
        <v>86.4</v>
      </c>
      <c r="N105" s="403">
        <f t="shared" ref="N105:N113" si="34">E105*$J105</f>
        <v>0</v>
      </c>
      <c r="O105" s="403">
        <f t="shared" ref="O105:O113" si="35">G105*$J105</f>
        <v>0</v>
      </c>
      <c r="P105" s="407"/>
      <c r="Q105" s="585"/>
      <c r="R105" s="468"/>
      <c r="S105" s="388"/>
      <c r="T105" s="468"/>
      <c r="U105" s="468"/>
    </row>
    <row r="106" spans="1:21" ht="33.75">
      <c r="A106" s="300"/>
      <c r="B106" s="689">
        <v>2</v>
      </c>
      <c r="C106" s="431" t="s">
        <v>710</v>
      </c>
      <c r="D106" s="689" t="s">
        <v>231</v>
      </c>
      <c r="E106" s="718"/>
      <c r="F106" s="718"/>
      <c r="G106" s="718"/>
      <c r="H106" s="793"/>
      <c r="I106" s="718"/>
      <c r="J106" s="567">
        <f t="shared" ref="J106:J113" si="36">K106+K106*L106%+M106</f>
        <v>542.52240000000006</v>
      </c>
      <c r="K106" s="567">
        <v>260</v>
      </c>
      <c r="L106" s="567">
        <v>2</v>
      </c>
      <c r="M106" s="567">
        <v>277.32240000000002</v>
      </c>
      <c r="N106" s="403">
        <f t="shared" si="34"/>
        <v>0</v>
      </c>
      <c r="O106" s="403">
        <f t="shared" si="35"/>
        <v>0</v>
      </c>
      <c r="P106" s="407"/>
      <c r="Q106" s="585"/>
      <c r="R106" s="468"/>
      <c r="S106" s="388"/>
      <c r="T106" s="468"/>
      <c r="U106" s="468"/>
    </row>
    <row r="107" spans="1:21" ht="24.75" customHeight="1">
      <c r="A107" s="300"/>
      <c r="B107" s="689">
        <v>3</v>
      </c>
      <c r="C107" s="431" t="s">
        <v>711</v>
      </c>
      <c r="D107" s="689" t="s">
        <v>231</v>
      </c>
      <c r="E107" s="718"/>
      <c r="F107" s="718"/>
      <c r="G107" s="718"/>
      <c r="H107" s="793"/>
      <c r="I107" s="718"/>
      <c r="J107" s="567">
        <f t="shared" si="36"/>
        <v>358.83600000000001</v>
      </c>
      <c r="K107" s="567">
        <v>260</v>
      </c>
      <c r="L107" s="567">
        <v>2</v>
      </c>
      <c r="M107" s="567">
        <v>93.635999999999996</v>
      </c>
      <c r="N107" s="403">
        <f t="shared" si="34"/>
        <v>0</v>
      </c>
      <c r="O107" s="403">
        <f t="shared" si="35"/>
        <v>0</v>
      </c>
      <c r="P107" s="407"/>
      <c r="Q107" s="585"/>
      <c r="R107" s="468"/>
      <c r="S107" s="388"/>
      <c r="T107" s="468"/>
      <c r="U107" s="468"/>
    </row>
    <row r="108" spans="1:21" ht="45">
      <c r="A108" s="300"/>
      <c r="B108" s="689">
        <v>4</v>
      </c>
      <c r="C108" s="431" t="s">
        <v>712</v>
      </c>
      <c r="D108" s="689" t="s">
        <v>231</v>
      </c>
      <c r="E108" s="718"/>
      <c r="F108" s="718"/>
      <c r="G108" s="718"/>
      <c r="H108" s="793"/>
      <c r="I108" s="718"/>
      <c r="J108" s="567">
        <f t="shared" si="36"/>
        <v>373.416</v>
      </c>
      <c r="K108" s="567">
        <v>260</v>
      </c>
      <c r="L108" s="567">
        <v>2</v>
      </c>
      <c r="M108" s="567">
        <v>108.21599999999999</v>
      </c>
      <c r="N108" s="403">
        <f t="shared" si="34"/>
        <v>0</v>
      </c>
      <c r="O108" s="403">
        <f t="shared" si="35"/>
        <v>0</v>
      </c>
      <c r="P108" s="407" t="s">
        <v>705</v>
      </c>
      <c r="Q108" s="585"/>
      <c r="R108" s="468"/>
      <c r="S108" s="388"/>
      <c r="T108" s="468"/>
      <c r="U108" s="468"/>
    </row>
    <row r="109" spans="1:21" ht="38.25" customHeight="1">
      <c r="A109" s="300"/>
      <c r="B109" s="689">
        <v>5</v>
      </c>
      <c r="C109" s="431" t="s">
        <v>713</v>
      </c>
      <c r="D109" s="689" t="s">
        <v>235</v>
      </c>
      <c r="E109" s="718"/>
      <c r="F109" s="718"/>
      <c r="G109" s="718"/>
      <c r="H109" s="793"/>
      <c r="I109" s="718"/>
      <c r="J109" s="567">
        <f t="shared" si="36"/>
        <v>159.446</v>
      </c>
      <c r="K109" s="567">
        <v>120.2</v>
      </c>
      <c r="L109" s="567">
        <v>3</v>
      </c>
      <c r="M109" s="567">
        <v>35.64</v>
      </c>
      <c r="N109" s="403">
        <f t="shared" si="34"/>
        <v>0</v>
      </c>
      <c r="O109" s="403">
        <f t="shared" si="35"/>
        <v>0</v>
      </c>
      <c r="P109" s="407"/>
      <c r="Q109" s="585"/>
      <c r="R109" s="468"/>
      <c r="S109" s="388"/>
      <c r="T109" s="468"/>
      <c r="U109" s="468"/>
    </row>
    <row r="110" spans="1:21" ht="33.75">
      <c r="A110" s="300"/>
      <c r="B110" s="689">
        <v>6</v>
      </c>
      <c r="C110" s="431" t="s">
        <v>714</v>
      </c>
      <c r="D110" s="689" t="s">
        <v>235</v>
      </c>
      <c r="E110" s="718"/>
      <c r="F110" s="718"/>
      <c r="G110" s="718"/>
      <c r="H110" s="793"/>
      <c r="I110" s="718"/>
      <c r="J110" s="567">
        <f t="shared" si="36"/>
        <v>183.096</v>
      </c>
      <c r="K110" s="567">
        <v>133.19999999999999</v>
      </c>
      <c r="L110" s="567">
        <v>3</v>
      </c>
      <c r="M110" s="567">
        <v>45.9</v>
      </c>
      <c r="N110" s="403">
        <f t="shared" si="34"/>
        <v>0</v>
      </c>
      <c r="O110" s="403">
        <f t="shared" si="35"/>
        <v>0</v>
      </c>
      <c r="P110" s="407"/>
      <c r="Q110" s="585"/>
      <c r="R110" s="468"/>
      <c r="S110" s="388"/>
      <c r="T110" s="468"/>
      <c r="U110" s="468"/>
    </row>
    <row r="111" spans="1:21" ht="38.25" customHeight="1">
      <c r="A111" s="300"/>
      <c r="B111" s="689">
        <v>7</v>
      </c>
      <c r="C111" s="431" t="s">
        <v>715</v>
      </c>
      <c r="D111" s="689" t="s">
        <v>270</v>
      </c>
      <c r="E111" s="718"/>
      <c r="F111" s="718"/>
      <c r="G111" s="718"/>
      <c r="H111" s="793"/>
      <c r="I111" s="718"/>
      <c r="J111" s="567">
        <f t="shared" si="36"/>
        <v>55.029699999999998</v>
      </c>
      <c r="K111" s="567">
        <v>40.369999999999997</v>
      </c>
      <c r="L111" s="567">
        <v>1</v>
      </c>
      <c r="M111" s="567">
        <v>14.256</v>
      </c>
      <c r="N111" s="403">
        <f t="shared" si="34"/>
        <v>0</v>
      </c>
      <c r="O111" s="403">
        <f t="shared" si="35"/>
        <v>0</v>
      </c>
      <c r="P111" s="407"/>
      <c r="Q111" s="585"/>
      <c r="R111" s="468"/>
      <c r="S111" s="388"/>
      <c r="T111" s="468"/>
      <c r="U111" s="468"/>
    </row>
    <row r="112" spans="1:21" ht="27" customHeight="1">
      <c r="A112" s="300"/>
      <c r="B112" s="689">
        <v>8</v>
      </c>
      <c r="C112" s="431" t="s">
        <v>716</v>
      </c>
      <c r="D112" s="689" t="s">
        <v>270</v>
      </c>
      <c r="E112" s="718"/>
      <c r="F112" s="718"/>
      <c r="G112" s="718"/>
      <c r="H112" s="793"/>
      <c r="I112" s="718"/>
      <c r="J112" s="567">
        <f t="shared" si="36"/>
        <v>61.887599999999999</v>
      </c>
      <c r="K112" s="567">
        <v>47.16</v>
      </c>
      <c r="L112" s="567">
        <v>1</v>
      </c>
      <c r="M112" s="567">
        <v>14.256</v>
      </c>
      <c r="N112" s="403">
        <f t="shared" si="34"/>
        <v>0</v>
      </c>
      <c r="O112" s="403">
        <f t="shared" si="35"/>
        <v>0</v>
      </c>
      <c r="P112" s="407"/>
      <c r="Q112" s="585"/>
      <c r="R112" s="468"/>
      <c r="S112" s="388"/>
      <c r="T112" s="468"/>
      <c r="U112" s="468"/>
    </row>
    <row r="113" spans="1:21" ht="17.25" customHeight="1">
      <c r="A113" s="300"/>
      <c r="B113" s="689">
        <v>9</v>
      </c>
      <c r="C113" s="431" t="s">
        <v>717</v>
      </c>
      <c r="D113" s="689" t="s">
        <v>231</v>
      </c>
      <c r="E113" s="718"/>
      <c r="F113" s="718"/>
      <c r="G113" s="718"/>
      <c r="H113" s="793"/>
      <c r="I113" s="718"/>
      <c r="J113" s="567">
        <f t="shared" si="36"/>
        <v>673.07999999999993</v>
      </c>
      <c r="K113" s="567">
        <v>388</v>
      </c>
      <c r="L113" s="567">
        <v>2</v>
      </c>
      <c r="M113" s="567">
        <v>277.32</v>
      </c>
      <c r="N113" s="403">
        <f t="shared" si="34"/>
        <v>0</v>
      </c>
      <c r="O113" s="403">
        <f t="shared" si="35"/>
        <v>0</v>
      </c>
      <c r="P113" s="407"/>
      <c r="Q113" s="585"/>
      <c r="R113" s="468"/>
      <c r="S113" s="388"/>
      <c r="T113" s="468"/>
      <c r="U113" s="468"/>
    </row>
    <row r="114" spans="1:21" s="451" customFormat="1" ht="25.15" customHeight="1">
      <c r="A114" s="438"/>
      <c r="B114" s="635"/>
      <c r="C114" s="644" t="s">
        <v>718</v>
      </c>
      <c r="D114" s="635"/>
      <c r="E114" s="636" t="s">
        <v>1859</v>
      </c>
      <c r="F114" s="636"/>
      <c r="G114" s="636"/>
      <c r="H114" s="635"/>
      <c r="I114" s="636"/>
      <c r="J114" s="636"/>
      <c r="K114" s="636"/>
      <c r="L114" s="636"/>
      <c r="M114" s="636"/>
      <c r="N114" s="643"/>
      <c r="O114" s="643"/>
      <c r="P114" s="636" t="s">
        <v>1859</v>
      </c>
      <c r="Q114" s="584"/>
      <c r="R114" s="467"/>
      <c r="S114" s="461"/>
      <c r="T114" s="467"/>
      <c r="U114" s="467"/>
    </row>
    <row r="115" spans="1:21" ht="45">
      <c r="A115" s="300"/>
      <c r="B115" s="689">
        <v>1</v>
      </c>
      <c r="C115" s="431" t="s">
        <v>719</v>
      </c>
      <c r="D115" s="689" t="s">
        <v>231</v>
      </c>
      <c r="E115" s="718"/>
      <c r="F115" s="718"/>
      <c r="G115" s="718"/>
      <c r="H115" s="793"/>
      <c r="I115" s="718"/>
      <c r="J115" s="567">
        <f t="shared" ref="J115" si="37">K115+K115*L115%+M115</f>
        <v>135.47466666666668</v>
      </c>
      <c r="K115" s="567">
        <f>K32</f>
        <v>66.666666666666671</v>
      </c>
      <c r="L115" s="567">
        <v>10.5</v>
      </c>
      <c r="M115" s="567">
        <v>61.808</v>
      </c>
      <c r="N115" s="403">
        <f t="shared" ref="N115:N131" si="38">E115*$J115</f>
        <v>0</v>
      </c>
      <c r="O115" s="403">
        <f t="shared" ref="O115:O131" si="39">G115*$J115</f>
        <v>0</v>
      </c>
      <c r="P115" s="407" t="s">
        <v>244</v>
      </c>
      <c r="Q115" s="585">
        <f t="shared" ref="Q115:R120" si="40">N115</f>
        <v>0</v>
      </c>
      <c r="R115" s="468">
        <f t="shared" si="40"/>
        <v>0</v>
      </c>
      <c r="S115" s="388"/>
      <c r="T115" s="468">
        <f t="shared" ref="T115:T120" si="41">E115*$K115*(1+$L115%)</f>
        <v>0</v>
      </c>
      <c r="U115" s="468">
        <f t="shared" ref="U115:U120" si="42">G115*$K115*(1+$L115%)</f>
        <v>0</v>
      </c>
    </row>
    <row r="116" spans="1:21" ht="67.5">
      <c r="A116" s="300"/>
      <c r="B116" s="478" t="s">
        <v>233</v>
      </c>
      <c r="C116" s="590" t="s">
        <v>720</v>
      </c>
      <c r="D116" s="480" t="s">
        <v>231</v>
      </c>
      <c r="E116" s="718"/>
      <c r="F116" s="718"/>
      <c r="G116" s="718"/>
      <c r="H116" s="793"/>
      <c r="I116" s="718"/>
      <c r="J116" s="567">
        <f>K116+K116*L116%+M116</f>
        <v>158.47666666666669</v>
      </c>
      <c r="K116" s="567">
        <f t="shared" ref="K116" si="43">K115</f>
        <v>66.666666666666671</v>
      </c>
      <c r="L116" s="411">
        <v>10.5</v>
      </c>
      <c r="M116" s="411">
        <v>84.81</v>
      </c>
      <c r="N116" s="403">
        <f t="shared" si="38"/>
        <v>0</v>
      </c>
      <c r="O116" s="403">
        <f t="shared" si="39"/>
        <v>0</v>
      </c>
      <c r="P116" s="407" t="s">
        <v>244</v>
      </c>
      <c r="Q116" s="585">
        <f t="shared" si="40"/>
        <v>0</v>
      </c>
      <c r="R116" s="468">
        <f t="shared" si="40"/>
        <v>0</v>
      </c>
      <c r="S116" s="388"/>
      <c r="T116" s="468">
        <f t="shared" si="41"/>
        <v>0</v>
      </c>
      <c r="U116" s="468">
        <f t="shared" si="42"/>
        <v>0</v>
      </c>
    </row>
    <row r="117" spans="1:21" ht="112.5">
      <c r="A117" s="300"/>
      <c r="B117" s="478" t="s">
        <v>233</v>
      </c>
      <c r="C117" s="590" t="s">
        <v>721</v>
      </c>
      <c r="D117" s="480" t="s">
        <v>231</v>
      </c>
      <c r="E117" s="718"/>
      <c r="F117" s="718"/>
      <c r="G117" s="718"/>
      <c r="H117" s="793"/>
      <c r="I117" s="718"/>
      <c r="J117" s="567">
        <f>K117+K117*L117%+M117</f>
        <v>164.47666666666669</v>
      </c>
      <c r="K117" s="567">
        <f>K116</f>
        <v>66.666666666666671</v>
      </c>
      <c r="L117" s="411">
        <v>10.5</v>
      </c>
      <c r="M117" s="411">
        <v>90.81</v>
      </c>
      <c r="N117" s="403">
        <f t="shared" si="38"/>
        <v>0</v>
      </c>
      <c r="O117" s="403">
        <f t="shared" si="39"/>
        <v>0</v>
      </c>
      <c r="P117" s="407" t="s">
        <v>244</v>
      </c>
      <c r="Q117" s="585">
        <f t="shared" si="40"/>
        <v>0</v>
      </c>
      <c r="R117" s="468">
        <f t="shared" si="40"/>
        <v>0</v>
      </c>
      <c r="S117" s="388"/>
      <c r="T117" s="468">
        <f t="shared" si="41"/>
        <v>0</v>
      </c>
      <c r="U117" s="468">
        <f t="shared" si="42"/>
        <v>0</v>
      </c>
    </row>
    <row r="118" spans="1:21" ht="59.25" customHeight="1">
      <c r="A118" s="300"/>
      <c r="B118" s="478" t="s">
        <v>233</v>
      </c>
      <c r="C118" s="590" t="s">
        <v>722</v>
      </c>
      <c r="D118" s="480" t="s">
        <v>231</v>
      </c>
      <c r="E118" s="718"/>
      <c r="F118" s="718"/>
      <c r="G118" s="718"/>
      <c r="H118" s="793"/>
      <c r="I118" s="718"/>
      <c r="J118" s="567">
        <f>K118+K118*L118%+M118</f>
        <v>150.15666666666667</v>
      </c>
      <c r="K118" s="567">
        <f>K117</f>
        <v>66.666666666666671</v>
      </c>
      <c r="L118" s="411">
        <v>10.5</v>
      </c>
      <c r="M118" s="411">
        <v>76.489999999999995</v>
      </c>
      <c r="N118" s="403">
        <f t="shared" si="38"/>
        <v>0</v>
      </c>
      <c r="O118" s="403">
        <f t="shared" si="39"/>
        <v>0</v>
      </c>
      <c r="P118" s="407" t="s">
        <v>244</v>
      </c>
      <c r="Q118" s="585">
        <f t="shared" si="40"/>
        <v>0</v>
      </c>
      <c r="R118" s="468">
        <f t="shared" si="40"/>
        <v>0</v>
      </c>
      <c r="S118" s="388"/>
      <c r="T118" s="468">
        <f t="shared" si="41"/>
        <v>0</v>
      </c>
      <c r="U118" s="468">
        <f t="shared" si="42"/>
        <v>0</v>
      </c>
    </row>
    <row r="119" spans="1:21" ht="101.25">
      <c r="A119" s="300"/>
      <c r="B119" s="478" t="s">
        <v>233</v>
      </c>
      <c r="C119" s="590" t="s">
        <v>723</v>
      </c>
      <c r="D119" s="480" t="s">
        <v>231</v>
      </c>
      <c r="E119" s="718"/>
      <c r="F119" s="718"/>
      <c r="G119" s="718"/>
      <c r="H119" s="793"/>
      <c r="I119" s="718"/>
      <c r="J119" s="567">
        <f>K119+K119*L119%+M119</f>
        <v>156.15666666666667</v>
      </c>
      <c r="K119" s="567">
        <f>K118</f>
        <v>66.666666666666671</v>
      </c>
      <c r="L119" s="411">
        <v>10.5</v>
      </c>
      <c r="M119" s="411">
        <v>82.49</v>
      </c>
      <c r="N119" s="403">
        <f t="shared" si="38"/>
        <v>0</v>
      </c>
      <c r="O119" s="403">
        <f t="shared" si="39"/>
        <v>0</v>
      </c>
      <c r="P119" s="407" t="s">
        <v>244</v>
      </c>
      <c r="Q119" s="585">
        <f t="shared" si="40"/>
        <v>0</v>
      </c>
      <c r="R119" s="468">
        <f t="shared" si="40"/>
        <v>0</v>
      </c>
      <c r="S119" s="388"/>
      <c r="T119" s="468">
        <f t="shared" si="41"/>
        <v>0</v>
      </c>
      <c r="U119" s="468">
        <f t="shared" si="42"/>
        <v>0</v>
      </c>
    </row>
    <row r="120" spans="1:21" ht="101.25">
      <c r="A120" s="300"/>
      <c r="B120" s="478" t="s">
        <v>233</v>
      </c>
      <c r="C120" s="590" t="s">
        <v>724</v>
      </c>
      <c r="D120" s="480" t="s">
        <v>231</v>
      </c>
      <c r="E120" s="718"/>
      <c r="F120" s="718"/>
      <c r="G120" s="718"/>
      <c r="H120" s="793"/>
      <c r="I120" s="718"/>
      <c r="J120" s="567">
        <f>K120+K120*L120%+M120</f>
        <v>203.36666666666667</v>
      </c>
      <c r="K120" s="567">
        <f>K119</f>
        <v>66.666666666666671</v>
      </c>
      <c r="L120" s="411">
        <v>10.5</v>
      </c>
      <c r="M120" s="411">
        <v>129.69999999999999</v>
      </c>
      <c r="N120" s="403">
        <f t="shared" si="38"/>
        <v>0</v>
      </c>
      <c r="O120" s="403">
        <f t="shared" si="39"/>
        <v>0</v>
      </c>
      <c r="P120" s="407" t="s">
        <v>244</v>
      </c>
      <c r="Q120" s="585">
        <f t="shared" si="40"/>
        <v>0</v>
      </c>
      <c r="R120" s="468">
        <f t="shared" si="40"/>
        <v>0</v>
      </c>
      <c r="S120" s="388"/>
      <c r="T120" s="468">
        <f t="shared" si="41"/>
        <v>0</v>
      </c>
      <c r="U120" s="468">
        <f t="shared" si="42"/>
        <v>0</v>
      </c>
    </row>
    <row r="121" spans="1:21" ht="45">
      <c r="A121" s="300" t="s">
        <v>277</v>
      </c>
      <c r="B121" s="689" t="s">
        <v>278</v>
      </c>
      <c r="C121" s="431" t="s">
        <v>725</v>
      </c>
      <c r="D121" s="689" t="s">
        <v>231</v>
      </c>
      <c r="E121" s="718"/>
      <c r="F121" s="718"/>
      <c r="G121" s="718"/>
      <c r="H121" s="793"/>
      <c r="I121" s="718"/>
      <c r="J121" s="567">
        <f t="shared" ref="J121" si="44">K121+K121*L121%+M121</f>
        <v>14</v>
      </c>
      <c r="K121" s="567">
        <v>8</v>
      </c>
      <c r="L121" s="567"/>
      <c r="M121" s="567">
        <v>6</v>
      </c>
      <c r="N121" s="403">
        <f t="shared" si="38"/>
        <v>0</v>
      </c>
      <c r="O121" s="403">
        <f t="shared" si="39"/>
        <v>0</v>
      </c>
      <c r="P121" s="407"/>
      <c r="Q121" s="585"/>
      <c r="R121" s="468"/>
      <c r="S121" s="388"/>
      <c r="T121" s="468"/>
      <c r="U121" s="468"/>
    </row>
    <row r="122" spans="1:21" ht="28.5" customHeight="1">
      <c r="A122" s="300"/>
      <c r="B122" s="689" t="s">
        <v>233</v>
      </c>
      <c r="C122" s="431" t="s">
        <v>726</v>
      </c>
      <c r="D122" s="689" t="s">
        <v>231</v>
      </c>
      <c r="E122" s="718"/>
      <c r="F122" s="718"/>
      <c r="G122" s="718"/>
      <c r="H122" s="793"/>
      <c r="I122" s="718"/>
      <c r="J122" s="567">
        <f t="shared" ref="J122:J131" si="45">K122+K122*L122%+M122</f>
        <v>373.416</v>
      </c>
      <c r="K122" s="567">
        <v>260</v>
      </c>
      <c r="L122" s="567">
        <v>2</v>
      </c>
      <c r="M122" s="567">
        <v>108.21599999999999</v>
      </c>
      <c r="N122" s="403">
        <f t="shared" si="38"/>
        <v>0</v>
      </c>
      <c r="O122" s="403">
        <f t="shared" si="39"/>
        <v>0</v>
      </c>
      <c r="P122" s="407"/>
      <c r="Q122" s="585"/>
      <c r="R122" s="468"/>
      <c r="S122" s="388"/>
      <c r="T122" s="468"/>
      <c r="U122" s="468"/>
    </row>
    <row r="123" spans="1:21" ht="23.25" customHeight="1">
      <c r="A123" s="300"/>
      <c r="B123" s="689">
        <v>2</v>
      </c>
      <c r="C123" s="431" t="s">
        <v>727</v>
      </c>
      <c r="D123" s="689" t="s">
        <v>231</v>
      </c>
      <c r="E123" s="718"/>
      <c r="F123" s="718"/>
      <c r="G123" s="718"/>
      <c r="H123" s="793"/>
      <c r="I123" s="718"/>
      <c r="J123" s="567">
        <f t="shared" si="45"/>
        <v>385.5</v>
      </c>
      <c r="K123" s="567">
        <v>105</v>
      </c>
      <c r="L123" s="567">
        <v>10</v>
      </c>
      <c r="M123" s="567">
        <v>270</v>
      </c>
      <c r="N123" s="403">
        <f t="shared" si="38"/>
        <v>0</v>
      </c>
      <c r="O123" s="403">
        <f t="shared" si="39"/>
        <v>0</v>
      </c>
      <c r="P123" s="407"/>
      <c r="Q123" s="585"/>
      <c r="R123" s="468"/>
      <c r="S123" s="388"/>
      <c r="T123" s="468"/>
      <c r="U123" s="468"/>
    </row>
    <row r="124" spans="1:21" ht="23.25" customHeight="1">
      <c r="A124" s="300"/>
      <c r="B124" s="689" t="s">
        <v>233</v>
      </c>
      <c r="C124" s="431" t="s">
        <v>728</v>
      </c>
      <c r="D124" s="689" t="s">
        <v>231</v>
      </c>
      <c r="E124" s="718"/>
      <c r="F124" s="718"/>
      <c r="G124" s="718"/>
      <c r="H124" s="793"/>
      <c r="I124" s="718"/>
      <c r="J124" s="567">
        <f t="shared" si="45"/>
        <v>441.6</v>
      </c>
      <c r="K124" s="567">
        <v>156</v>
      </c>
      <c r="L124" s="567">
        <v>10</v>
      </c>
      <c r="M124" s="567">
        <v>270</v>
      </c>
      <c r="N124" s="403">
        <f t="shared" si="38"/>
        <v>0</v>
      </c>
      <c r="O124" s="403">
        <f t="shared" si="39"/>
        <v>0</v>
      </c>
      <c r="P124" s="407"/>
      <c r="Q124" s="585"/>
      <c r="R124" s="468"/>
      <c r="S124" s="388"/>
      <c r="T124" s="468"/>
      <c r="U124" s="468"/>
    </row>
    <row r="125" spans="1:21" ht="23.25" customHeight="1">
      <c r="A125" s="300"/>
      <c r="B125" s="689" t="s">
        <v>233</v>
      </c>
      <c r="C125" s="431" t="s">
        <v>729</v>
      </c>
      <c r="D125" s="689" t="s">
        <v>231</v>
      </c>
      <c r="E125" s="718"/>
      <c r="F125" s="718"/>
      <c r="G125" s="718"/>
      <c r="H125" s="793"/>
      <c r="I125" s="718"/>
      <c r="J125" s="567">
        <f t="shared" si="45"/>
        <v>322.60000000000002</v>
      </c>
      <c r="K125" s="567">
        <v>200</v>
      </c>
      <c r="L125" s="567">
        <v>10</v>
      </c>
      <c r="M125" s="567">
        <v>102.6</v>
      </c>
      <c r="N125" s="403">
        <f t="shared" si="38"/>
        <v>0</v>
      </c>
      <c r="O125" s="403">
        <f t="shared" si="39"/>
        <v>0</v>
      </c>
      <c r="P125" s="407"/>
      <c r="Q125" s="585"/>
      <c r="R125" s="468"/>
      <c r="S125" s="388"/>
      <c r="T125" s="468"/>
      <c r="U125" s="468"/>
    </row>
    <row r="126" spans="1:21" ht="23.25" customHeight="1">
      <c r="A126" s="300"/>
      <c r="B126" s="689">
        <v>3</v>
      </c>
      <c r="C126" s="431" t="s">
        <v>730</v>
      </c>
      <c r="D126" s="689" t="s">
        <v>231</v>
      </c>
      <c r="E126" s="718"/>
      <c r="F126" s="718"/>
      <c r="G126" s="718"/>
      <c r="H126" s="793"/>
      <c r="I126" s="718"/>
      <c r="J126" s="567">
        <f t="shared" si="45"/>
        <v>147.45600000000002</v>
      </c>
      <c r="K126" s="567">
        <v>60</v>
      </c>
      <c r="L126" s="567">
        <v>5</v>
      </c>
      <c r="M126" s="567">
        <v>84.456000000000003</v>
      </c>
      <c r="N126" s="403">
        <f t="shared" si="38"/>
        <v>0</v>
      </c>
      <c r="O126" s="403">
        <f t="shared" si="39"/>
        <v>0</v>
      </c>
      <c r="P126" s="407"/>
      <c r="Q126" s="585"/>
      <c r="R126" s="468"/>
      <c r="S126" s="388"/>
      <c r="T126" s="468"/>
      <c r="U126" s="468"/>
    </row>
    <row r="127" spans="1:21" ht="33.75">
      <c r="A127" s="300"/>
      <c r="B127" s="689">
        <v>4</v>
      </c>
      <c r="C127" s="431" t="s">
        <v>731</v>
      </c>
      <c r="D127" s="689" t="s">
        <v>231</v>
      </c>
      <c r="E127" s="718"/>
      <c r="F127" s="718"/>
      <c r="G127" s="718"/>
      <c r="H127" s="793"/>
      <c r="I127" s="718"/>
      <c r="J127" s="567">
        <f t="shared" si="45"/>
        <v>21.43271</v>
      </c>
      <c r="K127" s="567">
        <f>'附件4-8甲供材料清单'!N220</f>
        <v>2.2087100000000004</v>
      </c>
      <c r="L127" s="567">
        <v>0</v>
      </c>
      <c r="M127" s="567">
        <v>19.224</v>
      </c>
      <c r="N127" s="403">
        <f t="shared" si="38"/>
        <v>0</v>
      </c>
      <c r="O127" s="403">
        <f t="shared" si="39"/>
        <v>0</v>
      </c>
      <c r="P127" s="407" t="s">
        <v>244</v>
      </c>
      <c r="Q127" s="585">
        <f>N127</f>
        <v>0</v>
      </c>
      <c r="R127" s="468">
        <f>O127</f>
        <v>0</v>
      </c>
      <c r="S127" s="388"/>
      <c r="T127" s="468">
        <f>E127*$K127*(1+$L127%)</f>
        <v>0</v>
      </c>
      <c r="U127" s="468">
        <f>G127*$K127*(1+$L127%)</f>
        <v>0</v>
      </c>
    </row>
    <row r="128" spans="1:21" ht="23.25" customHeight="1">
      <c r="A128" s="300"/>
      <c r="B128" s="689">
        <v>5</v>
      </c>
      <c r="C128" s="431" t="s">
        <v>732</v>
      </c>
      <c r="D128" s="689" t="s">
        <v>235</v>
      </c>
      <c r="E128" s="718"/>
      <c r="F128" s="718"/>
      <c r="G128" s="718"/>
      <c r="H128" s="793"/>
      <c r="I128" s="718"/>
      <c r="J128" s="567">
        <f t="shared" si="45"/>
        <v>12.023</v>
      </c>
      <c r="K128" s="567">
        <v>3.5</v>
      </c>
      <c r="L128" s="567">
        <v>9</v>
      </c>
      <c r="M128" s="567">
        <v>8.2080000000000002</v>
      </c>
      <c r="N128" s="403">
        <f t="shared" si="38"/>
        <v>0</v>
      </c>
      <c r="O128" s="403">
        <f t="shared" si="39"/>
        <v>0</v>
      </c>
      <c r="P128" s="407"/>
      <c r="Q128" s="585"/>
      <c r="R128" s="468"/>
      <c r="S128" s="388"/>
      <c r="T128" s="468"/>
      <c r="U128" s="468"/>
    </row>
    <row r="129" spans="1:21" ht="45">
      <c r="A129" s="300"/>
      <c r="B129" s="689">
        <v>6</v>
      </c>
      <c r="C129" s="431" t="s">
        <v>733</v>
      </c>
      <c r="D129" s="689" t="s">
        <v>231</v>
      </c>
      <c r="E129" s="718"/>
      <c r="F129" s="718"/>
      <c r="G129" s="718"/>
      <c r="H129" s="793"/>
      <c r="I129" s="718"/>
      <c r="J129" s="567">
        <f t="shared" si="45"/>
        <v>232.44</v>
      </c>
      <c r="K129" s="567">
        <v>120</v>
      </c>
      <c r="L129" s="567">
        <v>10</v>
      </c>
      <c r="M129" s="567">
        <v>100.44</v>
      </c>
      <c r="N129" s="403">
        <f t="shared" si="38"/>
        <v>0</v>
      </c>
      <c r="O129" s="403">
        <f t="shared" si="39"/>
        <v>0</v>
      </c>
      <c r="P129" s="407"/>
      <c r="Q129" s="585"/>
      <c r="R129" s="468"/>
      <c r="S129" s="388"/>
      <c r="T129" s="468"/>
      <c r="U129" s="468"/>
    </row>
    <row r="130" spans="1:21" ht="22.5">
      <c r="A130" s="300"/>
      <c r="B130" s="689">
        <v>7</v>
      </c>
      <c r="C130" s="590" t="s">
        <v>734</v>
      </c>
      <c r="D130" s="478" t="s">
        <v>231</v>
      </c>
      <c r="E130" s="718"/>
      <c r="F130" s="718"/>
      <c r="G130" s="718"/>
      <c r="H130" s="793"/>
      <c r="I130" s="718"/>
      <c r="J130" s="567">
        <f t="shared" si="45"/>
        <v>489.4</v>
      </c>
      <c r="K130" s="567">
        <v>388</v>
      </c>
      <c r="L130" s="567">
        <v>2</v>
      </c>
      <c r="M130" s="567">
        <v>93.64</v>
      </c>
      <c r="N130" s="403">
        <f t="shared" si="38"/>
        <v>0</v>
      </c>
      <c r="O130" s="403">
        <f t="shared" si="39"/>
        <v>0</v>
      </c>
      <c r="P130" s="407"/>
      <c r="Q130" s="585"/>
      <c r="R130" s="468"/>
      <c r="S130" s="388"/>
      <c r="T130" s="468"/>
      <c r="U130" s="468"/>
    </row>
    <row r="131" spans="1:21" ht="18.75" customHeight="1">
      <c r="A131" s="300"/>
      <c r="B131" s="689">
        <v>8</v>
      </c>
      <c r="C131" s="431" t="s">
        <v>735</v>
      </c>
      <c r="D131" s="689" t="s">
        <v>231</v>
      </c>
      <c r="E131" s="718"/>
      <c r="F131" s="718"/>
      <c r="G131" s="718"/>
      <c r="H131" s="793"/>
      <c r="I131" s="718"/>
      <c r="J131" s="567">
        <f t="shared" si="45"/>
        <v>411.04</v>
      </c>
      <c r="K131" s="567">
        <v>260</v>
      </c>
      <c r="L131" s="567">
        <v>3</v>
      </c>
      <c r="M131" s="567">
        <v>143.24</v>
      </c>
      <c r="N131" s="403">
        <f t="shared" si="38"/>
        <v>0</v>
      </c>
      <c r="O131" s="403">
        <f t="shared" si="39"/>
        <v>0</v>
      </c>
      <c r="P131" s="407"/>
      <c r="Q131" s="585"/>
      <c r="R131" s="468"/>
      <c r="S131" s="388"/>
      <c r="T131" s="468"/>
      <c r="U131" s="468"/>
    </row>
    <row r="132" spans="1:21" s="451" customFormat="1" ht="21.75" customHeight="1">
      <c r="A132" s="438"/>
      <c r="B132" s="635"/>
      <c r="C132" s="644" t="s">
        <v>736</v>
      </c>
      <c r="D132" s="635"/>
      <c r="E132" s="636" t="s">
        <v>1859</v>
      </c>
      <c r="F132" s="636"/>
      <c r="G132" s="636"/>
      <c r="H132" s="635"/>
      <c r="I132" s="636"/>
      <c r="J132" s="636"/>
      <c r="K132" s="636"/>
      <c r="L132" s="636"/>
      <c r="M132" s="636"/>
      <c r="N132" s="643"/>
      <c r="O132" s="643"/>
      <c r="P132" s="636" t="s">
        <v>1859</v>
      </c>
      <c r="Q132" s="584"/>
      <c r="R132" s="467"/>
      <c r="S132" s="461"/>
      <c r="T132" s="467"/>
      <c r="U132" s="467"/>
    </row>
    <row r="133" spans="1:21" ht="56.25">
      <c r="A133" s="300"/>
      <c r="B133" s="689">
        <v>1</v>
      </c>
      <c r="C133" s="431" t="s">
        <v>737</v>
      </c>
      <c r="D133" s="689" t="s">
        <v>231</v>
      </c>
      <c r="E133" s="718"/>
      <c r="F133" s="718"/>
      <c r="G133" s="718"/>
      <c r="H133" s="793"/>
      <c r="I133" s="718"/>
      <c r="J133" s="567">
        <f t="shared" ref="J133" si="46">K133+K133*L133%+M133</f>
        <v>397.44</v>
      </c>
      <c r="K133" s="567">
        <v>0</v>
      </c>
      <c r="L133" s="567">
        <v>0</v>
      </c>
      <c r="M133" s="567">
        <v>397.44</v>
      </c>
      <c r="N133" s="403">
        <f>E133*$J133</f>
        <v>0</v>
      </c>
      <c r="O133" s="403">
        <f>G133*$J133</f>
        <v>0</v>
      </c>
      <c r="P133" s="407" t="s">
        <v>738</v>
      </c>
      <c r="Q133" s="585"/>
      <c r="R133" s="468"/>
      <c r="S133" s="388"/>
      <c r="T133" s="468"/>
      <c r="U133" s="468"/>
    </row>
    <row r="134" spans="1:21" ht="45">
      <c r="A134" s="300"/>
      <c r="B134" s="689">
        <v>2</v>
      </c>
      <c r="C134" s="431" t="s">
        <v>739</v>
      </c>
      <c r="D134" s="689" t="s">
        <v>231</v>
      </c>
      <c r="E134" s="718"/>
      <c r="F134" s="718"/>
      <c r="G134" s="718"/>
      <c r="H134" s="793"/>
      <c r="I134" s="718"/>
      <c r="J134" s="567">
        <f>K134+K134*L134%+M134</f>
        <v>170.86666666666667</v>
      </c>
      <c r="K134" s="567">
        <f>'附件4-8甲供材料清单'!M186</f>
        <v>66.666666666666671</v>
      </c>
      <c r="L134" s="567">
        <v>10.5</v>
      </c>
      <c r="M134" s="567">
        <v>97.2</v>
      </c>
      <c r="N134" s="403">
        <f>E134*$J134</f>
        <v>0</v>
      </c>
      <c r="O134" s="403">
        <f>G134*$J134</f>
        <v>0</v>
      </c>
      <c r="P134" s="407" t="s">
        <v>740</v>
      </c>
      <c r="Q134" s="585">
        <f>N134</f>
        <v>0</v>
      </c>
      <c r="R134" s="468">
        <f>O134</f>
        <v>0</v>
      </c>
      <c r="S134" s="388"/>
      <c r="T134" s="468">
        <f>E134*$K134*(1+$L134%)</f>
        <v>0</v>
      </c>
      <c r="U134" s="468">
        <f>G134*$K134*(1+$L134%)</f>
        <v>0</v>
      </c>
    </row>
    <row r="135" spans="1:21" ht="45">
      <c r="A135" s="300"/>
      <c r="B135" s="689">
        <v>3</v>
      </c>
      <c r="C135" s="431" t="s">
        <v>741</v>
      </c>
      <c r="D135" s="689" t="s">
        <v>231</v>
      </c>
      <c r="E135" s="718"/>
      <c r="F135" s="718"/>
      <c r="G135" s="718"/>
      <c r="H135" s="793"/>
      <c r="I135" s="718"/>
      <c r="J135" s="567">
        <f>K135+K135*L135%+M135</f>
        <v>170.86666666666667</v>
      </c>
      <c r="K135" s="567">
        <f>'附件4-8甲供材料清单'!M186</f>
        <v>66.666666666666671</v>
      </c>
      <c r="L135" s="567">
        <v>10.5</v>
      </c>
      <c r="M135" s="567">
        <v>97.2</v>
      </c>
      <c r="N135" s="403">
        <f>E135*$J135</f>
        <v>0</v>
      </c>
      <c r="O135" s="403">
        <f>G135*$J135</f>
        <v>0</v>
      </c>
      <c r="P135" s="407" t="s">
        <v>740</v>
      </c>
      <c r="Q135" s="585">
        <f>N135</f>
        <v>0</v>
      </c>
      <c r="R135" s="468">
        <f>O135</f>
        <v>0</v>
      </c>
      <c r="S135" s="388"/>
      <c r="T135" s="468">
        <f>E135*$K135*(1+$L135%)</f>
        <v>0</v>
      </c>
      <c r="U135" s="468">
        <f>G135*$K135*(1+$L135%)</f>
        <v>0</v>
      </c>
    </row>
    <row r="136" spans="1:21" ht="45">
      <c r="A136" s="300"/>
      <c r="B136" s="689">
        <v>4</v>
      </c>
      <c r="C136" s="431" t="s">
        <v>335</v>
      </c>
      <c r="D136" s="689" t="s">
        <v>336</v>
      </c>
      <c r="E136" s="718"/>
      <c r="F136" s="718"/>
      <c r="G136" s="718"/>
      <c r="H136" s="793"/>
      <c r="I136" s="718"/>
      <c r="J136" s="567">
        <f>K136+K136*L136%+M136</f>
        <v>440</v>
      </c>
      <c r="K136" s="567">
        <v>0</v>
      </c>
      <c r="L136" s="567">
        <v>0</v>
      </c>
      <c r="M136" s="567">
        <v>440</v>
      </c>
      <c r="N136" s="403">
        <f>E136*$J136</f>
        <v>0</v>
      </c>
      <c r="O136" s="403">
        <f>G136*$J136</f>
        <v>0</v>
      </c>
      <c r="P136" s="407" t="s">
        <v>742</v>
      </c>
      <c r="Q136" s="585"/>
      <c r="R136" s="468"/>
      <c r="S136" s="388"/>
      <c r="T136" s="468"/>
      <c r="U136" s="468"/>
    </row>
    <row r="137" spans="1:21" ht="45">
      <c r="A137" s="300"/>
      <c r="B137" s="689">
        <v>5</v>
      </c>
      <c r="C137" s="431" t="s">
        <v>338</v>
      </c>
      <c r="D137" s="689" t="s">
        <v>231</v>
      </c>
      <c r="E137" s="718"/>
      <c r="F137" s="718"/>
      <c r="G137" s="718"/>
      <c r="H137" s="793"/>
      <c r="I137" s="718"/>
      <c r="J137" s="567">
        <f>K137+K137*L137%+M137</f>
        <v>18.5</v>
      </c>
      <c r="K137" s="567">
        <v>0</v>
      </c>
      <c r="L137" s="567">
        <v>0</v>
      </c>
      <c r="M137" s="567">
        <v>18.5</v>
      </c>
      <c r="N137" s="403">
        <f>E137*$J137</f>
        <v>0</v>
      </c>
      <c r="O137" s="403">
        <f>G137*$J137</f>
        <v>0</v>
      </c>
      <c r="P137" s="407" t="s">
        <v>742</v>
      </c>
      <c r="Q137" s="585"/>
      <c r="R137" s="468"/>
      <c r="S137" s="388"/>
      <c r="T137" s="468"/>
      <c r="U137" s="468"/>
    </row>
    <row r="138" spans="1:21" s="451" customFormat="1" ht="17.25" customHeight="1">
      <c r="A138" s="438"/>
      <c r="B138" s="635" t="s">
        <v>64</v>
      </c>
      <c r="C138" s="644" t="s">
        <v>743</v>
      </c>
      <c r="D138" s="635"/>
      <c r="E138" s="636" t="s">
        <v>1859</v>
      </c>
      <c r="F138" s="636"/>
      <c r="G138" s="636"/>
      <c r="H138" s="635"/>
      <c r="I138" s="636"/>
      <c r="J138" s="636"/>
      <c r="K138" s="636"/>
      <c r="L138" s="636"/>
      <c r="M138" s="636"/>
      <c r="N138" s="643"/>
      <c r="O138" s="643"/>
      <c r="P138" s="636" t="s">
        <v>1859</v>
      </c>
      <c r="Q138" s="584"/>
      <c r="R138" s="467"/>
      <c r="S138" s="461"/>
      <c r="T138" s="467"/>
      <c r="U138" s="467"/>
    </row>
    <row r="139" spans="1:21" ht="30" customHeight="1">
      <c r="A139" s="300"/>
      <c r="B139" s="689">
        <v>1</v>
      </c>
      <c r="C139" s="431" t="s">
        <v>744</v>
      </c>
      <c r="D139" s="689" t="s">
        <v>320</v>
      </c>
      <c r="E139" s="575">
        <v>2</v>
      </c>
      <c r="F139" s="575"/>
      <c r="G139" s="575">
        <v>0</v>
      </c>
      <c r="H139" s="791">
        <v>3</v>
      </c>
      <c r="I139" s="575" t="e">
        <f>CCC</f>
        <v>#NAME?</v>
      </c>
      <c r="J139" s="567">
        <f t="shared" ref="J139" si="47">K139+K139*L139%+M139</f>
        <v>12.473199999999999</v>
      </c>
      <c r="K139" s="567">
        <f>'附件4-8甲供材料清单'!K93</f>
        <v>5.72</v>
      </c>
      <c r="L139" s="567">
        <v>1</v>
      </c>
      <c r="M139" s="567">
        <v>6.6959999999999997</v>
      </c>
      <c r="N139" s="403">
        <f t="shared" ref="N139:N162" si="48">E139*$J139</f>
        <v>24.946399999999997</v>
      </c>
      <c r="O139" s="403">
        <f t="shared" ref="O139:O162" si="49">G139*$J139</f>
        <v>0</v>
      </c>
      <c r="P139" s="407" t="s">
        <v>244</v>
      </c>
      <c r="Q139" s="585">
        <f t="shared" ref="Q139:Q153" si="50">N139</f>
        <v>24.946399999999997</v>
      </c>
      <c r="R139" s="468">
        <f t="shared" ref="R139:R153" si="51">O139</f>
        <v>0</v>
      </c>
      <c r="S139" s="388"/>
      <c r="T139" s="468">
        <f t="shared" ref="T139:T153" si="52">E139*$K139*(1+$L139%)</f>
        <v>11.554399999999999</v>
      </c>
      <c r="U139" s="468">
        <f t="shared" ref="U139:U153" si="53">G139*$K139*(1+$L139%)</f>
        <v>0</v>
      </c>
    </row>
    <row r="140" spans="1:21" ht="30" customHeight="1">
      <c r="A140" s="300"/>
      <c r="B140" s="689">
        <v>2</v>
      </c>
      <c r="C140" s="431" t="s">
        <v>745</v>
      </c>
      <c r="D140" s="689" t="s">
        <v>320</v>
      </c>
      <c r="E140" s="575">
        <v>2</v>
      </c>
      <c r="F140" s="575"/>
      <c r="G140" s="575">
        <v>2</v>
      </c>
      <c r="H140" s="791">
        <v>1</v>
      </c>
      <c r="I140" s="575" t="e">
        <f>CCC</f>
        <v>#NAME?</v>
      </c>
      <c r="J140" s="567">
        <f t="shared" ref="J140:J162" si="54">K140+K140*L140%+M140</f>
        <v>15.109299999999999</v>
      </c>
      <c r="K140" s="567">
        <f>'附件4-8甲供材料清单'!K94</f>
        <v>8.33</v>
      </c>
      <c r="L140" s="567">
        <v>1</v>
      </c>
      <c r="M140" s="567">
        <v>6.6959999999999997</v>
      </c>
      <c r="N140" s="403">
        <f t="shared" si="48"/>
        <v>30.218599999999999</v>
      </c>
      <c r="O140" s="403">
        <f t="shared" si="49"/>
        <v>30.218599999999999</v>
      </c>
      <c r="P140" s="407" t="s">
        <v>244</v>
      </c>
      <c r="Q140" s="585">
        <f t="shared" si="50"/>
        <v>30.218599999999999</v>
      </c>
      <c r="R140" s="468">
        <f t="shared" si="51"/>
        <v>30.218599999999999</v>
      </c>
      <c r="S140" s="388"/>
      <c r="T140" s="468">
        <f t="shared" si="52"/>
        <v>16.826599999999999</v>
      </c>
      <c r="U140" s="468">
        <f t="shared" si="53"/>
        <v>16.826599999999999</v>
      </c>
    </row>
    <row r="141" spans="1:21" ht="30" customHeight="1">
      <c r="A141" s="300"/>
      <c r="B141" s="689">
        <v>3</v>
      </c>
      <c r="C141" s="431" t="s">
        <v>746</v>
      </c>
      <c r="D141" s="689" t="s">
        <v>320</v>
      </c>
      <c r="E141" s="575">
        <v>2</v>
      </c>
      <c r="F141" s="575"/>
      <c r="G141" s="575">
        <v>0</v>
      </c>
      <c r="H141" s="791"/>
      <c r="I141" s="575"/>
      <c r="J141" s="567">
        <f t="shared" si="54"/>
        <v>14.109400000000001</v>
      </c>
      <c r="K141" s="567">
        <f>'附件4-8甲供材料清单'!K97</f>
        <v>7.34</v>
      </c>
      <c r="L141" s="567">
        <v>1</v>
      </c>
      <c r="M141" s="567">
        <v>6.6959999999999997</v>
      </c>
      <c r="N141" s="403">
        <f t="shared" si="48"/>
        <v>28.218800000000002</v>
      </c>
      <c r="O141" s="403">
        <f t="shared" si="49"/>
        <v>0</v>
      </c>
      <c r="P141" s="407" t="s">
        <v>244</v>
      </c>
      <c r="Q141" s="585">
        <f t="shared" si="50"/>
        <v>28.218800000000002</v>
      </c>
      <c r="R141" s="468">
        <f t="shared" si="51"/>
        <v>0</v>
      </c>
      <c r="S141" s="388"/>
      <c r="T141" s="468">
        <f t="shared" si="52"/>
        <v>14.8268</v>
      </c>
      <c r="U141" s="468">
        <f t="shared" si="53"/>
        <v>0</v>
      </c>
    </row>
    <row r="142" spans="1:21" ht="30" customHeight="1">
      <c r="A142" s="300"/>
      <c r="B142" s="689">
        <v>4</v>
      </c>
      <c r="C142" s="431" t="s">
        <v>747</v>
      </c>
      <c r="D142" s="689" t="s">
        <v>320</v>
      </c>
      <c r="E142" s="575">
        <v>1</v>
      </c>
      <c r="F142" s="575"/>
      <c r="G142" s="575">
        <v>1</v>
      </c>
      <c r="H142" s="791"/>
      <c r="I142" s="575"/>
      <c r="J142" s="567">
        <f t="shared" si="54"/>
        <v>18.815999999999999</v>
      </c>
      <c r="K142" s="567">
        <f>'附件4-8甲供材料清单'!K95</f>
        <v>12</v>
      </c>
      <c r="L142" s="567">
        <v>1</v>
      </c>
      <c r="M142" s="567">
        <v>6.6959999999999997</v>
      </c>
      <c r="N142" s="403">
        <f t="shared" si="48"/>
        <v>18.815999999999999</v>
      </c>
      <c r="O142" s="403">
        <f t="shared" si="49"/>
        <v>18.815999999999999</v>
      </c>
      <c r="P142" s="407" t="s">
        <v>244</v>
      </c>
      <c r="Q142" s="585">
        <f t="shared" si="50"/>
        <v>18.815999999999999</v>
      </c>
      <c r="R142" s="468">
        <f t="shared" si="51"/>
        <v>18.815999999999999</v>
      </c>
      <c r="S142" s="388"/>
      <c r="T142" s="468">
        <f t="shared" si="52"/>
        <v>12.120000000000001</v>
      </c>
      <c r="U142" s="468">
        <f t="shared" si="53"/>
        <v>12.120000000000001</v>
      </c>
    </row>
    <row r="143" spans="1:21" ht="22.5">
      <c r="A143" s="300"/>
      <c r="B143" s="689">
        <v>5</v>
      </c>
      <c r="C143" s="431" t="s">
        <v>748</v>
      </c>
      <c r="D143" s="689" t="s">
        <v>320</v>
      </c>
      <c r="E143" s="575"/>
      <c r="F143" s="575"/>
      <c r="G143" s="575"/>
      <c r="H143" s="791"/>
      <c r="I143" s="575"/>
      <c r="J143" s="567">
        <f t="shared" si="54"/>
        <v>25.886000000000003</v>
      </c>
      <c r="K143" s="567">
        <f>'附件4-8甲供材料清单'!K96</f>
        <v>19</v>
      </c>
      <c r="L143" s="567">
        <v>1</v>
      </c>
      <c r="M143" s="567">
        <v>6.6959999999999997</v>
      </c>
      <c r="N143" s="403">
        <f t="shared" si="48"/>
        <v>0</v>
      </c>
      <c r="O143" s="403">
        <f t="shared" si="49"/>
        <v>0</v>
      </c>
      <c r="P143" s="407" t="s">
        <v>244</v>
      </c>
      <c r="Q143" s="585">
        <f t="shared" si="50"/>
        <v>0</v>
      </c>
      <c r="R143" s="468">
        <f t="shared" si="51"/>
        <v>0</v>
      </c>
      <c r="S143" s="388"/>
      <c r="T143" s="468">
        <f t="shared" si="52"/>
        <v>0</v>
      </c>
      <c r="U143" s="468">
        <f t="shared" si="53"/>
        <v>0</v>
      </c>
    </row>
    <row r="144" spans="1:21" ht="30" customHeight="1">
      <c r="A144" s="300"/>
      <c r="B144" s="689">
        <v>6</v>
      </c>
      <c r="C144" s="431" t="s">
        <v>749</v>
      </c>
      <c r="D144" s="689" t="s">
        <v>320</v>
      </c>
      <c r="E144" s="575">
        <v>2</v>
      </c>
      <c r="F144" s="575"/>
      <c r="G144" s="575">
        <v>2</v>
      </c>
      <c r="H144" s="791"/>
      <c r="I144" s="575"/>
      <c r="J144" s="567">
        <f t="shared" si="54"/>
        <v>13.968</v>
      </c>
      <c r="K144" s="567">
        <f>'附件4-8甲供材料清单'!K101</f>
        <v>7.2</v>
      </c>
      <c r="L144" s="567">
        <v>1</v>
      </c>
      <c r="M144" s="567">
        <v>6.6959999999999997</v>
      </c>
      <c r="N144" s="403">
        <f t="shared" si="48"/>
        <v>27.936</v>
      </c>
      <c r="O144" s="403">
        <f t="shared" si="49"/>
        <v>27.936</v>
      </c>
      <c r="P144" s="407" t="s">
        <v>244</v>
      </c>
      <c r="Q144" s="585">
        <f t="shared" si="50"/>
        <v>27.936</v>
      </c>
      <c r="R144" s="468">
        <f t="shared" si="51"/>
        <v>27.936</v>
      </c>
      <c r="S144" s="388"/>
      <c r="T144" s="468">
        <f t="shared" si="52"/>
        <v>14.544</v>
      </c>
      <c r="U144" s="468">
        <f t="shared" si="53"/>
        <v>14.544</v>
      </c>
    </row>
    <row r="145" spans="1:21" ht="22.5">
      <c r="A145" s="300"/>
      <c r="B145" s="689">
        <v>7</v>
      </c>
      <c r="C145" s="431" t="s">
        <v>750</v>
      </c>
      <c r="D145" s="689" t="s">
        <v>320</v>
      </c>
      <c r="E145" s="575"/>
      <c r="F145" s="575"/>
      <c r="G145" s="575"/>
      <c r="H145" s="791"/>
      <c r="I145" s="575"/>
      <c r="J145" s="567">
        <f t="shared" si="54"/>
        <v>52.146000000000001</v>
      </c>
      <c r="K145" s="567">
        <f>'附件4-8甲供材料清单'!K91</f>
        <v>45</v>
      </c>
      <c r="L145" s="567">
        <v>1</v>
      </c>
      <c r="M145" s="567">
        <v>6.6959999999999997</v>
      </c>
      <c r="N145" s="403">
        <f t="shared" si="48"/>
        <v>0</v>
      </c>
      <c r="O145" s="403">
        <f t="shared" si="49"/>
        <v>0</v>
      </c>
      <c r="P145" s="407" t="s">
        <v>244</v>
      </c>
      <c r="Q145" s="585">
        <f t="shared" si="50"/>
        <v>0</v>
      </c>
      <c r="R145" s="468">
        <f t="shared" si="51"/>
        <v>0</v>
      </c>
      <c r="S145" s="388"/>
      <c r="T145" s="468">
        <f t="shared" si="52"/>
        <v>0</v>
      </c>
      <c r="U145" s="468">
        <f t="shared" si="53"/>
        <v>0</v>
      </c>
    </row>
    <row r="146" spans="1:21" ht="22.5">
      <c r="A146" s="300"/>
      <c r="B146" s="689">
        <v>8</v>
      </c>
      <c r="C146" s="590" t="s">
        <v>752</v>
      </c>
      <c r="D146" s="478" t="s">
        <v>320</v>
      </c>
      <c r="E146" s="575"/>
      <c r="F146" s="575"/>
      <c r="G146" s="575"/>
      <c r="H146" s="791"/>
      <c r="I146" s="575"/>
      <c r="J146" s="567">
        <f t="shared" si="54"/>
        <v>97.600000000000009</v>
      </c>
      <c r="K146" s="567">
        <f>'附件4-8甲供材料清单'!K92</f>
        <v>90</v>
      </c>
      <c r="L146" s="567">
        <v>1</v>
      </c>
      <c r="M146" s="567">
        <v>6.7</v>
      </c>
      <c r="N146" s="403">
        <f t="shared" si="48"/>
        <v>0</v>
      </c>
      <c r="O146" s="403">
        <f t="shared" si="49"/>
        <v>0</v>
      </c>
      <c r="P146" s="407" t="s">
        <v>244</v>
      </c>
      <c r="Q146" s="585">
        <f t="shared" si="50"/>
        <v>0</v>
      </c>
      <c r="R146" s="468">
        <f t="shared" si="51"/>
        <v>0</v>
      </c>
      <c r="S146" s="388"/>
      <c r="T146" s="468">
        <f t="shared" si="52"/>
        <v>0</v>
      </c>
      <c r="U146" s="468">
        <f t="shared" si="53"/>
        <v>0</v>
      </c>
    </row>
    <row r="147" spans="1:21" ht="22.5">
      <c r="A147" s="300"/>
      <c r="B147" s="689">
        <v>9</v>
      </c>
      <c r="C147" s="590" t="s">
        <v>754</v>
      </c>
      <c r="D147" s="478" t="s">
        <v>320</v>
      </c>
      <c r="E147" s="575"/>
      <c r="F147" s="575"/>
      <c r="G147" s="575"/>
      <c r="H147" s="791"/>
      <c r="I147" s="575"/>
      <c r="J147" s="567">
        <f t="shared" si="54"/>
        <v>18.82</v>
      </c>
      <c r="K147" s="567">
        <f>'附件4-8甲供材料清单'!K108</f>
        <v>12</v>
      </c>
      <c r="L147" s="567">
        <v>1</v>
      </c>
      <c r="M147" s="567">
        <v>6.7</v>
      </c>
      <c r="N147" s="403">
        <f t="shared" si="48"/>
        <v>0</v>
      </c>
      <c r="O147" s="403">
        <f t="shared" si="49"/>
        <v>0</v>
      </c>
      <c r="P147" s="407" t="s">
        <v>244</v>
      </c>
      <c r="Q147" s="585">
        <f t="shared" si="50"/>
        <v>0</v>
      </c>
      <c r="R147" s="468">
        <f t="shared" si="51"/>
        <v>0</v>
      </c>
      <c r="S147" s="388"/>
      <c r="T147" s="468">
        <f t="shared" si="52"/>
        <v>0</v>
      </c>
      <c r="U147" s="468">
        <f t="shared" si="53"/>
        <v>0</v>
      </c>
    </row>
    <row r="148" spans="1:21" ht="30" customHeight="1">
      <c r="A148" s="300"/>
      <c r="B148" s="689">
        <v>10</v>
      </c>
      <c r="C148" s="431" t="s">
        <v>755</v>
      </c>
      <c r="D148" s="689" t="s">
        <v>482</v>
      </c>
      <c r="E148" s="575">
        <v>1</v>
      </c>
      <c r="F148" s="575"/>
      <c r="G148" s="575">
        <v>2</v>
      </c>
      <c r="H148" s="791">
        <v>1</v>
      </c>
      <c r="I148" s="575" t="e">
        <f>CCC</f>
        <v>#NAME?</v>
      </c>
      <c r="J148" s="567">
        <f t="shared" si="54"/>
        <v>2387.09</v>
      </c>
      <c r="K148" s="567">
        <f>'附件4-8甲供材料清单'!K201</f>
        <v>2233</v>
      </c>
      <c r="L148" s="567">
        <v>1</v>
      </c>
      <c r="M148" s="567">
        <v>131.76</v>
      </c>
      <c r="N148" s="403">
        <f t="shared" si="48"/>
        <v>2387.09</v>
      </c>
      <c r="O148" s="403">
        <f t="shared" si="49"/>
        <v>4774.18</v>
      </c>
      <c r="P148" s="407" t="s">
        <v>244</v>
      </c>
      <c r="Q148" s="585">
        <f t="shared" si="50"/>
        <v>2387.09</v>
      </c>
      <c r="R148" s="468">
        <f t="shared" si="51"/>
        <v>4774.18</v>
      </c>
      <c r="S148" s="388"/>
      <c r="T148" s="468">
        <f t="shared" si="52"/>
        <v>2255.33</v>
      </c>
      <c r="U148" s="468">
        <f t="shared" si="53"/>
        <v>4510.66</v>
      </c>
    </row>
    <row r="149" spans="1:21" ht="22.5">
      <c r="A149" s="300"/>
      <c r="B149" s="689" t="s">
        <v>233</v>
      </c>
      <c r="C149" s="431" t="s">
        <v>757</v>
      </c>
      <c r="D149" s="689" t="s">
        <v>482</v>
      </c>
      <c r="E149" s="718"/>
      <c r="F149" s="718"/>
      <c r="G149" s="718"/>
      <c r="H149" s="793"/>
      <c r="I149" s="718"/>
      <c r="J149" s="567">
        <f t="shared" si="54"/>
        <v>2823.41</v>
      </c>
      <c r="K149" s="567">
        <f>'附件4-8甲供材料清单'!K202</f>
        <v>2665</v>
      </c>
      <c r="L149" s="567">
        <v>1</v>
      </c>
      <c r="M149" s="567">
        <v>131.76</v>
      </c>
      <c r="N149" s="403">
        <f t="shared" si="48"/>
        <v>0</v>
      </c>
      <c r="O149" s="403">
        <f t="shared" si="49"/>
        <v>0</v>
      </c>
      <c r="P149" s="407" t="s">
        <v>244</v>
      </c>
      <c r="Q149" s="585">
        <f t="shared" si="50"/>
        <v>0</v>
      </c>
      <c r="R149" s="468">
        <f t="shared" si="51"/>
        <v>0</v>
      </c>
      <c r="S149" s="388"/>
      <c r="T149" s="468">
        <f t="shared" si="52"/>
        <v>0</v>
      </c>
      <c r="U149" s="468">
        <f t="shared" si="53"/>
        <v>0</v>
      </c>
    </row>
    <row r="150" spans="1:21" ht="22.5">
      <c r="A150" s="300"/>
      <c r="B150" s="689" t="s">
        <v>233</v>
      </c>
      <c r="C150" s="431" t="s">
        <v>759</v>
      </c>
      <c r="D150" s="689" t="s">
        <v>482</v>
      </c>
      <c r="E150" s="718"/>
      <c r="F150" s="718"/>
      <c r="G150" s="718"/>
      <c r="H150" s="793"/>
      <c r="I150" s="718"/>
      <c r="J150" s="567">
        <f t="shared" si="54"/>
        <v>3854.62</v>
      </c>
      <c r="K150" s="567">
        <f>'附件4-8甲供材料清单'!K203</f>
        <v>3686</v>
      </c>
      <c r="L150" s="567">
        <v>1</v>
      </c>
      <c r="M150" s="567">
        <v>131.76</v>
      </c>
      <c r="N150" s="403">
        <f t="shared" si="48"/>
        <v>0</v>
      </c>
      <c r="O150" s="403">
        <f t="shared" si="49"/>
        <v>0</v>
      </c>
      <c r="P150" s="407" t="s">
        <v>244</v>
      </c>
      <c r="Q150" s="585">
        <f t="shared" si="50"/>
        <v>0</v>
      </c>
      <c r="R150" s="468">
        <f t="shared" si="51"/>
        <v>0</v>
      </c>
      <c r="S150" s="388"/>
      <c r="T150" s="468">
        <f t="shared" si="52"/>
        <v>0</v>
      </c>
      <c r="U150" s="468">
        <f t="shared" si="53"/>
        <v>0</v>
      </c>
    </row>
    <row r="151" spans="1:21" ht="33.75">
      <c r="A151" s="300"/>
      <c r="B151" s="689">
        <v>11</v>
      </c>
      <c r="C151" s="431" t="s">
        <v>761</v>
      </c>
      <c r="D151" s="689" t="s">
        <v>482</v>
      </c>
      <c r="E151" s="718"/>
      <c r="F151" s="718"/>
      <c r="G151" s="718"/>
      <c r="H151" s="793"/>
      <c r="I151" s="718"/>
      <c r="J151" s="567">
        <f t="shared" si="54"/>
        <v>856.93999999999994</v>
      </c>
      <c r="K151" s="567">
        <f>'附件4-8甲供材料清单'!K204</f>
        <v>718</v>
      </c>
      <c r="L151" s="567">
        <v>1</v>
      </c>
      <c r="M151" s="567">
        <v>131.76</v>
      </c>
      <c r="N151" s="403">
        <f t="shared" si="48"/>
        <v>0</v>
      </c>
      <c r="O151" s="403">
        <f t="shared" si="49"/>
        <v>0</v>
      </c>
      <c r="P151" s="407" t="s">
        <v>244</v>
      </c>
      <c r="Q151" s="585">
        <f t="shared" si="50"/>
        <v>0</v>
      </c>
      <c r="R151" s="468">
        <f t="shared" si="51"/>
        <v>0</v>
      </c>
      <c r="S151" s="388"/>
      <c r="T151" s="468">
        <f t="shared" si="52"/>
        <v>0</v>
      </c>
      <c r="U151" s="468">
        <f t="shared" si="53"/>
        <v>0</v>
      </c>
    </row>
    <row r="152" spans="1:21" ht="33.75">
      <c r="A152" s="300"/>
      <c r="B152" s="689" t="s">
        <v>233</v>
      </c>
      <c r="C152" s="431" t="s">
        <v>763</v>
      </c>
      <c r="D152" s="689" t="s">
        <v>482</v>
      </c>
      <c r="E152" s="718"/>
      <c r="F152" s="718"/>
      <c r="G152" s="718"/>
      <c r="H152" s="793"/>
      <c r="I152" s="718"/>
      <c r="J152" s="567">
        <f t="shared" si="54"/>
        <v>1014.5</v>
      </c>
      <c r="K152" s="567">
        <f>'附件4-8甲供材料清单'!K205</f>
        <v>874</v>
      </c>
      <c r="L152" s="567">
        <v>1</v>
      </c>
      <c r="M152" s="567">
        <v>131.76</v>
      </c>
      <c r="N152" s="403">
        <f t="shared" si="48"/>
        <v>0</v>
      </c>
      <c r="O152" s="403">
        <f t="shared" si="49"/>
        <v>0</v>
      </c>
      <c r="P152" s="407" t="s">
        <v>244</v>
      </c>
      <c r="Q152" s="585">
        <f t="shared" si="50"/>
        <v>0</v>
      </c>
      <c r="R152" s="468">
        <f t="shared" si="51"/>
        <v>0</v>
      </c>
      <c r="S152" s="388"/>
      <c r="T152" s="468">
        <f t="shared" si="52"/>
        <v>0</v>
      </c>
      <c r="U152" s="468">
        <f t="shared" si="53"/>
        <v>0</v>
      </c>
    </row>
    <row r="153" spans="1:21" ht="30" customHeight="1">
      <c r="A153" s="300"/>
      <c r="B153" s="689">
        <v>12</v>
      </c>
      <c r="C153" s="431" t="s">
        <v>765</v>
      </c>
      <c r="D153" s="689" t="s">
        <v>482</v>
      </c>
      <c r="E153" s="575">
        <v>3</v>
      </c>
      <c r="F153" s="575"/>
      <c r="G153" s="575">
        <v>14</v>
      </c>
      <c r="H153" s="791" t="s">
        <v>1918</v>
      </c>
      <c r="I153" s="575" t="e">
        <f>CCC</f>
        <v>#NAME?</v>
      </c>
      <c r="J153" s="567">
        <f t="shared" si="54"/>
        <v>30.130000000000003</v>
      </c>
      <c r="K153" s="567">
        <f>'附件4-8甲供材料清单'!K206</f>
        <v>17</v>
      </c>
      <c r="L153" s="567">
        <v>1</v>
      </c>
      <c r="M153" s="567">
        <v>12.96</v>
      </c>
      <c r="N153" s="403">
        <f t="shared" si="48"/>
        <v>90.390000000000015</v>
      </c>
      <c r="O153" s="403">
        <f t="shared" si="49"/>
        <v>421.82000000000005</v>
      </c>
      <c r="P153" s="407" t="s">
        <v>244</v>
      </c>
      <c r="Q153" s="585">
        <f t="shared" si="50"/>
        <v>90.390000000000015</v>
      </c>
      <c r="R153" s="468">
        <f t="shared" si="51"/>
        <v>421.82000000000005</v>
      </c>
      <c r="S153" s="388"/>
      <c r="T153" s="468">
        <f t="shared" si="52"/>
        <v>51.51</v>
      </c>
      <c r="U153" s="468">
        <f t="shared" si="53"/>
        <v>240.38</v>
      </c>
    </row>
    <row r="154" spans="1:21" ht="70.150000000000006" customHeight="1">
      <c r="A154" s="300"/>
      <c r="B154" s="689">
        <v>13</v>
      </c>
      <c r="C154" s="431" t="s">
        <v>766</v>
      </c>
      <c r="D154" s="689" t="s">
        <v>235</v>
      </c>
      <c r="E154" s="575">
        <v>14.32</v>
      </c>
      <c r="F154" s="575"/>
      <c r="G154" s="575">
        <v>0</v>
      </c>
      <c r="H154" s="791" t="s">
        <v>1919</v>
      </c>
      <c r="I154" s="575" t="e">
        <f>CCC</f>
        <v>#NAME?</v>
      </c>
      <c r="J154" s="567">
        <f t="shared" si="54"/>
        <v>48.31</v>
      </c>
      <c r="K154" s="567">
        <v>35</v>
      </c>
      <c r="L154" s="567">
        <v>1</v>
      </c>
      <c r="M154" s="567">
        <v>12.96</v>
      </c>
      <c r="N154" s="403">
        <f t="shared" si="48"/>
        <v>691.79920000000004</v>
      </c>
      <c r="O154" s="403">
        <f t="shared" si="49"/>
        <v>0</v>
      </c>
      <c r="P154" s="407"/>
      <c r="Q154" s="585"/>
      <c r="R154" s="468"/>
      <c r="S154" s="388"/>
      <c r="T154" s="468"/>
      <c r="U154" s="468"/>
    </row>
    <row r="155" spans="1:21" ht="70.150000000000006" customHeight="1">
      <c r="A155" s="300"/>
      <c r="B155" s="689">
        <v>14</v>
      </c>
      <c r="C155" s="431" t="s">
        <v>767</v>
      </c>
      <c r="D155" s="689" t="s">
        <v>235</v>
      </c>
      <c r="E155" s="575">
        <v>99.36</v>
      </c>
      <c r="F155" s="575"/>
      <c r="G155" s="575">
        <v>216.02</v>
      </c>
      <c r="H155" s="791" t="s">
        <v>1920</v>
      </c>
      <c r="I155" s="575"/>
      <c r="J155" s="567">
        <f t="shared" si="54"/>
        <v>2.5367999999999999</v>
      </c>
      <c r="K155" s="567">
        <f>'附件4-8甲供材料清单'!K110</f>
        <v>1.47</v>
      </c>
      <c r="L155" s="567">
        <v>16</v>
      </c>
      <c r="M155" s="567">
        <v>0.83160000000000001</v>
      </c>
      <c r="N155" s="403">
        <f t="shared" si="48"/>
        <v>252.05644799999999</v>
      </c>
      <c r="O155" s="403">
        <f t="shared" si="49"/>
        <v>547.99953600000003</v>
      </c>
      <c r="P155" s="407" t="s">
        <v>244</v>
      </c>
      <c r="Q155" s="585">
        <f>N155</f>
        <v>252.05644799999999</v>
      </c>
      <c r="R155" s="468">
        <f>O155</f>
        <v>547.99953600000003</v>
      </c>
      <c r="S155" s="388"/>
      <c r="T155" s="468">
        <f>E155*$K155*(1+$L155%)</f>
        <v>169.42867200000001</v>
      </c>
      <c r="U155" s="468">
        <f>G155*$K155*(1+$L155%)</f>
        <v>368.35730399999994</v>
      </c>
    </row>
    <row r="156" spans="1:21" ht="22.5">
      <c r="A156" s="300"/>
      <c r="B156" s="689">
        <v>15</v>
      </c>
      <c r="C156" s="431" t="s">
        <v>768</v>
      </c>
      <c r="D156" s="689" t="s">
        <v>235</v>
      </c>
      <c r="E156" s="575"/>
      <c r="F156" s="575"/>
      <c r="G156" s="575"/>
      <c r="H156" s="791"/>
      <c r="I156" s="575"/>
      <c r="J156" s="567">
        <f t="shared" si="54"/>
        <v>3.4909999999999997</v>
      </c>
      <c r="K156" s="567">
        <f>'附件4-8甲供材料清单'!K114</f>
        <v>2.31</v>
      </c>
      <c r="L156" s="567">
        <v>10</v>
      </c>
      <c r="M156" s="567">
        <v>0.95</v>
      </c>
      <c r="N156" s="403">
        <f t="shared" si="48"/>
        <v>0</v>
      </c>
      <c r="O156" s="403">
        <f t="shared" si="49"/>
        <v>0</v>
      </c>
      <c r="P156" s="407" t="s">
        <v>244</v>
      </c>
      <c r="Q156" s="585">
        <f>N156</f>
        <v>0</v>
      </c>
      <c r="R156" s="468">
        <f>O156</f>
        <v>0</v>
      </c>
      <c r="S156" s="388"/>
      <c r="T156" s="468">
        <f>E156*$K156*(1+$L156%)</f>
        <v>0</v>
      </c>
      <c r="U156" s="468">
        <f>G156*$K156*(1+$L156%)</f>
        <v>0</v>
      </c>
    </row>
    <row r="157" spans="1:21" ht="30" customHeight="1">
      <c r="A157" s="300"/>
      <c r="B157" s="689">
        <v>16</v>
      </c>
      <c r="C157" s="431" t="s">
        <v>769</v>
      </c>
      <c r="D157" s="689" t="s">
        <v>235</v>
      </c>
      <c r="E157" s="575">
        <v>2</v>
      </c>
      <c r="F157" s="575"/>
      <c r="G157" s="575">
        <v>2</v>
      </c>
      <c r="H157" s="791"/>
      <c r="I157" s="575"/>
      <c r="J157" s="567">
        <f t="shared" si="54"/>
        <v>7.5</v>
      </c>
      <c r="K157" s="567">
        <v>2</v>
      </c>
      <c r="L157" s="567">
        <v>5</v>
      </c>
      <c r="M157" s="567">
        <v>5.4</v>
      </c>
      <c r="N157" s="403">
        <f t="shared" si="48"/>
        <v>15</v>
      </c>
      <c r="O157" s="403">
        <f t="shared" si="49"/>
        <v>15</v>
      </c>
      <c r="P157" s="407"/>
      <c r="Q157" s="585"/>
      <c r="R157" s="468"/>
      <c r="S157" s="388"/>
      <c r="T157" s="468"/>
      <c r="U157" s="468"/>
    </row>
    <row r="158" spans="1:21" ht="25.5" customHeight="1">
      <c r="A158" s="300"/>
      <c r="B158" s="689">
        <v>17</v>
      </c>
      <c r="C158" s="431" t="s">
        <v>770</v>
      </c>
      <c r="D158" s="689" t="s">
        <v>235</v>
      </c>
      <c r="E158" s="718"/>
      <c r="F158" s="718"/>
      <c r="G158" s="718"/>
      <c r="H158" s="793"/>
      <c r="I158" s="718"/>
      <c r="J158" s="567">
        <f t="shared" si="54"/>
        <v>3.0100000000000002</v>
      </c>
      <c r="K158" s="567">
        <v>2</v>
      </c>
      <c r="L158" s="567">
        <v>10</v>
      </c>
      <c r="M158" s="567">
        <v>0.81</v>
      </c>
      <c r="N158" s="403">
        <f t="shared" si="48"/>
        <v>0</v>
      </c>
      <c r="O158" s="403">
        <f t="shared" si="49"/>
        <v>0</v>
      </c>
      <c r="P158" s="407"/>
      <c r="Q158" s="585"/>
      <c r="R158" s="468"/>
      <c r="S158" s="388"/>
      <c r="T158" s="468"/>
      <c r="U158" s="468"/>
    </row>
    <row r="159" spans="1:21" ht="67.5">
      <c r="A159" s="300"/>
      <c r="B159" s="689">
        <v>18</v>
      </c>
      <c r="C159" s="431" t="s">
        <v>771</v>
      </c>
      <c r="D159" s="689" t="s">
        <v>235</v>
      </c>
      <c r="E159" s="718"/>
      <c r="F159" s="718"/>
      <c r="G159" s="718"/>
      <c r="H159" s="793"/>
      <c r="I159" s="718"/>
      <c r="J159" s="567">
        <f t="shared" si="54"/>
        <v>7.0274999999999999</v>
      </c>
      <c r="K159" s="567">
        <f>'附件4-8甲供材料清单'!K116</f>
        <v>1.19</v>
      </c>
      <c r="L159" s="567">
        <v>5</v>
      </c>
      <c r="M159" s="567">
        <v>5.7779999999999996</v>
      </c>
      <c r="N159" s="403">
        <f t="shared" si="48"/>
        <v>0</v>
      </c>
      <c r="O159" s="403">
        <f t="shared" si="49"/>
        <v>0</v>
      </c>
      <c r="P159" s="481" t="s">
        <v>772</v>
      </c>
      <c r="Q159" s="585">
        <f t="shared" ref="Q159:R161" si="55">N159</f>
        <v>0</v>
      </c>
      <c r="R159" s="468">
        <f t="shared" si="55"/>
        <v>0</v>
      </c>
      <c r="S159" s="388"/>
      <c r="T159" s="468">
        <f>E159*$K159*(1+$L159%)</f>
        <v>0</v>
      </c>
      <c r="U159" s="468">
        <f>G159*$K159*(1+$L159%)</f>
        <v>0</v>
      </c>
    </row>
    <row r="160" spans="1:21" ht="67.5">
      <c r="A160" s="300"/>
      <c r="B160" s="689">
        <v>19</v>
      </c>
      <c r="C160" s="431" t="s">
        <v>773</v>
      </c>
      <c r="D160" s="689" t="s">
        <v>235</v>
      </c>
      <c r="E160" s="718"/>
      <c r="F160" s="718"/>
      <c r="G160" s="718"/>
      <c r="H160" s="793"/>
      <c r="I160" s="718"/>
      <c r="J160" s="567">
        <f t="shared" si="54"/>
        <v>7.6890000000000001</v>
      </c>
      <c r="K160" s="567">
        <f>'附件4-8甲供材料清单'!K117</f>
        <v>1.82</v>
      </c>
      <c r="L160" s="567">
        <v>5</v>
      </c>
      <c r="M160" s="567">
        <v>5.7779999999999996</v>
      </c>
      <c r="N160" s="403">
        <f t="shared" si="48"/>
        <v>0</v>
      </c>
      <c r="O160" s="403">
        <f t="shared" si="49"/>
        <v>0</v>
      </c>
      <c r="P160" s="481" t="s">
        <v>772</v>
      </c>
      <c r="Q160" s="585">
        <f t="shared" si="55"/>
        <v>0</v>
      </c>
      <c r="R160" s="468">
        <f t="shared" si="55"/>
        <v>0</v>
      </c>
      <c r="S160" s="388"/>
      <c r="T160" s="468">
        <f>E160*$K160*(1+$L160%)</f>
        <v>0</v>
      </c>
      <c r="U160" s="468">
        <f>G160*$K160*(1+$L160%)</f>
        <v>0</v>
      </c>
    </row>
    <row r="161" spans="1:21" ht="67.5">
      <c r="A161" s="300"/>
      <c r="B161" s="689">
        <v>20</v>
      </c>
      <c r="C161" s="431" t="s">
        <v>774</v>
      </c>
      <c r="D161" s="689" t="s">
        <v>235</v>
      </c>
      <c r="E161" s="718"/>
      <c r="F161" s="718"/>
      <c r="G161" s="718"/>
      <c r="H161" s="793"/>
      <c r="I161" s="718"/>
      <c r="J161" s="567">
        <f t="shared" si="54"/>
        <v>9.2219999999999995</v>
      </c>
      <c r="K161" s="567">
        <f>'附件4-8甲供材料清单'!K118</f>
        <v>3.28</v>
      </c>
      <c r="L161" s="567">
        <v>5</v>
      </c>
      <c r="M161" s="567">
        <v>5.7779999999999996</v>
      </c>
      <c r="N161" s="403">
        <f t="shared" si="48"/>
        <v>0</v>
      </c>
      <c r="O161" s="403">
        <f t="shared" si="49"/>
        <v>0</v>
      </c>
      <c r="P161" s="481" t="s">
        <v>772</v>
      </c>
      <c r="Q161" s="585">
        <f t="shared" si="55"/>
        <v>0</v>
      </c>
      <c r="R161" s="468">
        <f t="shared" si="55"/>
        <v>0</v>
      </c>
      <c r="S161" s="388"/>
      <c r="T161" s="468">
        <f>E161*$K161*(1+$L161%)</f>
        <v>0</v>
      </c>
      <c r="U161" s="468">
        <f>G161*$K161*(1+$L161%)</f>
        <v>0</v>
      </c>
    </row>
    <row r="162" spans="1:21" ht="33.75">
      <c r="A162" s="300"/>
      <c r="B162" s="689">
        <v>21</v>
      </c>
      <c r="C162" s="431" t="s">
        <v>775</v>
      </c>
      <c r="D162" s="689" t="s">
        <v>235</v>
      </c>
      <c r="E162" s="718"/>
      <c r="F162" s="718"/>
      <c r="G162" s="718"/>
      <c r="H162" s="793"/>
      <c r="I162" s="718"/>
      <c r="J162" s="567">
        <f t="shared" si="54"/>
        <v>12.515000000000001</v>
      </c>
      <c r="K162" s="567">
        <v>4.3</v>
      </c>
      <c r="L162" s="567">
        <v>5</v>
      </c>
      <c r="M162" s="567">
        <v>8</v>
      </c>
      <c r="N162" s="403">
        <f t="shared" si="48"/>
        <v>0</v>
      </c>
      <c r="O162" s="403">
        <f t="shared" si="49"/>
        <v>0</v>
      </c>
      <c r="P162" s="481" t="s">
        <v>776</v>
      </c>
      <c r="Q162" s="585"/>
      <c r="R162" s="468"/>
      <c r="S162" s="388"/>
      <c r="T162" s="468"/>
      <c r="U162" s="468"/>
    </row>
    <row r="163" spans="1:21" s="451" customFormat="1" ht="25.5" customHeight="1">
      <c r="A163" s="438"/>
      <c r="B163" s="635"/>
      <c r="C163" s="644" t="s">
        <v>523</v>
      </c>
      <c r="D163" s="635"/>
      <c r="E163" s="636" t="s">
        <v>1859</v>
      </c>
      <c r="F163" s="636"/>
      <c r="G163" s="636"/>
      <c r="H163" s="635"/>
      <c r="I163" s="636"/>
      <c r="J163" s="636"/>
      <c r="K163" s="636"/>
      <c r="L163" s="636"/>
      <c r="M163" s="636"/>
      <c r="N163" s="643"/>
      <c r="O163" s="643"/>
      <c r="P163" s="636" t="s">
        <v>1859</v>
      </c>
      <c r="Q163" s="584"/>
      <c r="R163" s="467"/>
      <c r="S163" s="461"/>
      <c r="T163" s="467"/>
      <c r="U163" s="467"/>
    </row>
    <row r="164" spans="1:21" ht="33.75">
      <c r="A164" s="300"/>
      <c r="B164" s="689">
        <v>1</v>
      </c>
      <c r="C164" s="482" t="s">
        <v>777</v>
      </c>
      <c r="D164" s="483" t="s">
        <v>231</v>
      </c>
      <c r="E164" s="575">
        <v>0</v>
      </c>
      <c r="F164" s="575"/>
      <c r="G164" s="575">
        <f>21.04-5.04</f>
        <v>16</v>
      </c>
      <c r="H164" s="791" t="s">
        <v>1921</v>
      </c>
      <c r="I164" s="575" t="e">
        <f>CCC</f>
        <v>#NAME?</v>
      </c>
      <c r="J164" s="572">
        <f t="shared" ref="J164" si="56">K164+K164*L164%+M164</f>
        <v>132.33799999999999</v>
      </c>
      <c r="K164" s="721">
        <v>66.5</v>
      </c>
      <c r="L164" s="567">
        <v>2</v>
      </c>
      <c r="M164" s="567">
        <v>64.507999999999996</v>
      </c>
      <c r="N164" s="403">
        <f>E164*$J164</f>
        <v>0</v>
      </c>
      <c r="O164" s="403">
        <f>G164*$J164</f>
        <v>2117.4079999999999</v>
      </c>
      <c r="P164" s="594"/>
      <c r="Q164" s="585"/>
      <c r="R164" s="468"/>
      <c r="S164" s="388"/>
      <c r="T164" s="468"/>
      <c r="U164" s="468"/>
    </row>
    <row r="165" spans="1:21" ht="30" customHeight="1">
      <c r="A165" s="300"/>
      <c r="B165" s="689">
        <v>2</v>
      </c>
      <c r="C165" s="482" t="s">
        <v>778</v>
      </c>
      <c r="D165" s="483" t="s">
        <v>231</v>
      </c>
      <c r="E165" s="575">
        <v>0</v>
      </c>
      <c r="F165" s="575"/>
      <c r="G165" s="575">
        <v>3.84</v>
      </c>
      <c r="H165" s="791" t="s">
        <v>1922</v>
      </c>
      <c r="I165" s="575" t="e">
        <f>CCC</f>
        <v>#NAME?</v>
      </c>
      <c r="J165" s="572">
        <f t="shared" ref="J165:J189" si="57">K165+K165*L165%+M165</f>
        <v>156.30799999999999</v>
      </c>
      <c r="K165" s="721">
        <v>90</v>
      </c>
      <c r="L165" s="567">
        <v>2</v>
      </c>
      <c r="M165" s="567">
        <v>64.507999999999996</v>
      </c>
      <c r="N165" s="403">
        <f>E165*$J165</f>
        <v>0</v>
      </c>
      <c r="O165" s="403">
        <f>G165*$J165</f>
        <v>600.22271999999998</v>
      </c>
      <c r="P165" s="594"/>
      <c r="Q165" s="585"/>
      <c r="R165" s="468"/>
      <c r="S165" s="388"/>
      <c r="T165" s="468"/>
      <c r="U165" s="468"/>
    </row>
    <row r="166" spans="1:21" ht="40.15" customHeight="1">
      <c r="A166" s="300"/>
      <c r="B166" s="689">
        <v>3</v>
      </c>
      <c r="C166" s="482" t="s">
        <v>779</v>
      </c>
      <c r="D166" s="689" t="s">
        <v>231</v>
      </c>
      <c r="E166" s="575">
        <f>18.26-12.68+10.37-7.53</f>
        <v>8.4200000000000017</v>
      </c>
      <c r="F166" s="575"/>
      <c r="G166" s="575">
        <f>10.18-5.04+12.32-7.53</f>
        <v>9.93</v>
      </c>
      <c r="H166" s="791" t="s">
        <v>1923</v>
      </c>
      <c r="I166" s="575" t="e">
        <f>CCC</f>
        <v>#NAME?</v>
      </c>
      <c r="J166" s="572">
        <f t="shared" si="57"/>
        <v>137.26249999999999</v>
      </c>
      <c r="K166" s="721">
        <f>'附件4-8甲供材料清单'!M235</f>
        <v>78.124999999999986</v>
      </c>
      <c r="L166" s="567">
        <v>14</v>
      </c>
      <c r="M166" s="567">
        <v>48.2</v>
      </c>
      <c r="N166" s="403">
        <f>E166*$J166</f>
        <v>1155.7502500000001</v>
      </c>
      <c r="O166" s="403">
        <f>G166*$J166</f>
        <v>1363.0166249999997</v>
      </c>
      <c r="P166" s="407" t="s">
        <v>244</v>
      </c>
      <c r="Q166" s="585">
        <f t="shared" ref="Q166:R168" si="58">N166</f>
        <v>1155.7502500000001</v>
      </c>
      <c r="R166" s="468">
        <f t="shared" si="58"/>
        <v>1363.0166249999997</v>
      </c>
      <c r="S166" s="388"/>
      <c r="T166" s="468">
        <f>E166*$K166*(1+$L166%)</f>
        <v>749.90625000000011</v>
      </c>
      <c r="U166" s="468">
        <f>G166*$K166*(1+$L166%)</f>
        <v>884.390625</v>
      </c>
    </row>
    <row r="167" spans="1:21" ht="40.15" customHeight="1">
      <c r="A167" s="300"/>
      <c r="B167" s="689">
        <v>4</v>
      </c>
      <c r="C167" s="482" t="s">
        <v>780</v>
      </c>
      <c r="D167" s="689" t="s">
        <v>231</v>
      </c>
      <c r="E167" s="575">
        <v>9.9</v>
      </c>
      <c r="F167" s="575"/>
      <c r="G167" s="575">
        <v>3.84</v>
      </c>
      <c r="H167" s="791" t="s">
        <v>1924</v>
      </c>
      <c r="I167" s="575" t="e">
        <f>CCC</f>
        <v>#NAME?</v>
      </c>
      <c r="J167" s="572">
        <f t="shared" si="57"/>
        <v>137.26249999999999</v>
      </c>
      <c r="K167" s="721">
        <f>'附件4-8甲供材料清单'!M236</f>
        <v>78.124999999999986</v>
      </c>
      <c r="L167" s="567">
        <v>14</v>
      </c>
      <c r="M167" s="567">
        <v>48.2</v>
      </c>
      <c r="N167" s="403">
        <f>E167*$J167</f>
        <v>1358.8987499999998</v>
      </c>
      <c r="O167" s="403">
        <f>G167*$J167</f>
        <v>527.08799999999997</v>
      </c>
      <c r="P167" s="407" t="s">
        <v>244</v>
      </c>
      <c r="Q167" s="585">
        <f t="shared" si="58"/>
        <v>1358.8987499999998</v>
      </c>
      <c r="R167" s="468">
        <f t="shared" si="58"/>
        <v>527.08799999999997</v>
      </c>
      <c r="S167" s="388"/>
      <c r="T167" s="468">
        <f>E167*$K167*(1+$L167%)</f>
        <v>881.71875</v>
      </c>
      <c r="U167" s="468">
        <f>G167*$K167*(1+$L167%)</f>
        <v>342</v>
      </c>
    </row>
    <row r="168" spans="1:21" ht="40.15" customHeight="1">
      <c r="A168" s="300"/>
      <c r="B168" s="689">
        <v>5</v>
      </c>
      <c r="C168" s="482" t="s">
        <v>781</v>
      </c>
      <c r="D168" s="483" t="s">
        <v>231</v>
      </c>
      <c r="E168" s="575">
        <v>5.6</v>
      </c>
      <c r="F168" s="575"/>
      <c r="G168" s="575">
        <v>5.6</v>
      </c>
      <c r="H168" s="791"/>
      <c r="I168" s="575"/>
      <c r="J168" s="572">
        <f t="shared" si="57"/>
        <v>137.26249999999999</v>
      </c>
      <c r="K168" s="721">
        <f>'附件4-8甲供材料清单'!M237</f>
        <v>78.124999999999986</v>
      </c>
      <c r="L168" s="567">
        <v>14</v>
      </c>
      <c r="M168" s="567">
        <v>48.2</v>
      </c>
      <c r="N168" s="403">
        <f t="shared" ref="N168:N190" si="59">E168*$J168</f>
        <v>768.66999999999985</v>
      </c>
      <c r="O168" s="403">
        <f t="shared" ref="O168:O190" si="60">G168*$J168</f>
        <v>768.66999999999985</v>
      </c>
      <c r="P168" s="407" t="s">
        <v>244</v>
      </c>
      <c r="Q168" s="585">
        <f t="shared" si="58"/>
        <v>768.66999999999985</v>
      </c>
      <c r="R168" s="468">
        <f t="shared" si="58"/>
        <v>768.66999999999985</v>
      </c>
      <c r="S168" s="388"/>
      <c r="T168" s="468">
        <f>E168*$K168*(1+$L168%)</f>
        <v>498.74999999999994</v>
      </c>
      <c r="U168" s="468">
        <f>G168*$K168*(1+$L168%)</f>
        <v>498.74999999999994</v>
      </c>
    </row>
    <row r="169" spans="1:21" ht="30" customHeight="1">
      <c r="A169" s="300"/>
      <c r="B169" s="689">
        <v>6</v>
      </c>
      <c r="C169" s="482" t="s">
        <v>782</v>
      </c>
      <c r="D169" s="483" t="s">
        <v>235</v>
      </c>
      <c r="E169" s="575">
        <v>0</v>
      </c>
      <c r="F169" s="575"/>
      <c r="G169" s="575">
        <v>9.1199999999999992</v>
      </c>
      <c r="H169" s="791" t="s">
        <v>1925</v>
      </c>
      <c r="I169" s="575" t="e">
        <f>CCC</f>
        <v>#NAME?</v>
      </c>
      <c r="J169" s="572">
        <f t="shared" si="57"/>
        <v>11.41</v>
      </c>
      <c r="K169" s="721">
        <v>7</v>
      </c>
      <c r="L169" s="572">
        <v>3</v>
      </c>
      <c r="M169" s="721">
        <f>105*0.04</f>
        <v>4.2</v>
      </c>
      <c r="N169" s="403">
        <f t="shared" si="59"/>
        <v>0</v>
      </c>
      <c r="O169" s="403">
        <f t="shared" si="60"/>
        <v>104.05919999999999</v>
      </c>
      <c r="P169" s="407"/>
      <c r="Q169" s="585"/>
      <c r="R169" s="468"/>
      <c r="S169" s="388"/>
      <c r="T169" s="468"/>
      <c r="U169" s="468"/>
    </row>
    <row r="170" spans="1:21" ht="30" customHeight="1">
      <c r="A170" s="300" t="s">
        <v>783</v>
      </c>
      <c r="B170" s="689">
        <v>7</v>
      </c>
      <c r="C170" s="482" t="s">
        <v>784</v>
      </c>
      <c r="D170" s="483" t="s">
        <v>235</v>
      </c>
      <c r="E170" s="575">
        <v>0</v>
      </c>
      <c r="F170" s="575"/>
      <c r="G170" s="575">
        <v>8.8000000000000007</v>
      </c>
      <c r="H170" s="797" t="s">
        <v>1928</v>
      </c>
      <c r="I170" s="575" t="e">
        <f>CCC</f>
        <v>#NAME?</v>
      </c>
      <c r="J170" s="572">
        <f t="shared" si="57"/>
        <v>41.4</v>
      </c>
      <c r="K170" s="721">
        <f>300*0.1</f>
        <v>30</v>
      </c>
      <c r="L170" s="572">
        <v>3</v>
      </c>
      <c r="M170" s="721">
        <f>105*0.1</f>
        <v>10.5</v>
      </c>
      <c r="N170" s="403">
        <f t="shared" si="59"/>
        <v>0</v>
      </c>
      <c r="O170" s="403">
        <f t="shared" si="60"/>
        <v>364.32</v>
      </c>
      <c r="P170" s="407"/>
      <c r="Q170" s="585"/>
      <c r="R170" s="468"/>
      <c r="S170" s="388"/>
      <c r="T170" s="468"/>
      <c r="U170" s="468"/>
    </row>
    <row r="171" spans="1:21" ht="70.150000000000006" customHeight="1">
      <c r="A171" s="300"/>
      <c r="B171" s="689">
        <v>8</v>
      </c>
      <c r="C171" s="482" t="s">
        <v>785</v>
      </c>
      <c r="D171" s="483" t="s">
        <v>235</v>
      </c>
      <c r="E171" s="575">
        <f>13.52+14.72</f>
        <v>28.240000000000002</v>
      </c>
      <c r="F171" s="575"/>
      <c r="G171" s="575">
        <f>13.52+9.12</f>
        <v>22.64</v>
      </c>
      <c r="H171" s="791"/>
      <c r="I171" s="575"/>
      <c r="J171" s="572">
        <f t="shared" si="57"/>
        <v>12.074999999999999</v>
      </c>
      <c r="K171" s="721">
        <f>'附件4-8甲供材料清单'!K239</f>
        <v>7.5</v>
      </c>
      <c r="L171" s="572">
        <v>5</v>
      </c>
      <c r="M171" s="721">
        <f>105*0.04</f>
        <v>4.2</v>
      </c>
      <c r="N171" s="403">
        <f t="shared" si="59"/>
        <v>340.99799999999999</v>
      </c>
      <c r="O171" s="403">
        <f t="shared" si="60"/>
        <v>273.37799999999999</v>
      </c>
      <c r="P171" s="407" t="s">
        <v>244</v>
      </c>
      <c r="Q171" s="585">
        <f t="shared" ref="Q171:R173" si="61">N171</f>
        <v>340.99799999999999</v>
      </c>
      <c r="R171" s="468">
        <f t="shared" si="61"/>
        <v>273.37799999999999</v>
      </c>
      <c r="S171" s="388"/>
      <c r="T171" s="468">
        <f>E171*$K171*(1+$L171%)</f>
        <v>222.39000000000001</v>
      </c>
      <c r="U171" s="468">
        <f>G171*$K171*(1+$L171%)</f>
        <v>178.29000000000002</v>
      </c>
    </row>
    <row r="172" spans="1:21" ht="70.150000000000006" customHeight="1">
      <c r="A172" s="300"/>
      <c r="B172" s="689">
        <v>9</v>
      </c>
      <c r="C172" s="407" t="s">
        <v>786</v>
      </c>
      <c r="D172" s="689" t="s">
        <v>235</v>
      </c>
      <c r="E172" s="575">
        <f>14.4+14.32</f>
        <v>28.72</v>
      </c>
      <c r="F172" s="575"/>
      <c r="G172" s="575">
        <f>8.8+14.32</f>
        <v>23.12</v>
      </c>
      <c r="H172" s="791" t="s">
        <v>1927</v>
      </c>
      <c r="I172" s="575" t="e">
        <f t="shared" ref="I172:I179" si="62">CCC</f>
        <v>#NAME?</v>
      </c>
      <c r="J172" s="572">
        <f t="shared" si="57"/>
        <v>19.774999999999999</v>
      </c>
      <c r="K172" s="721">
        <f>'附件4-8甲供材料清单'!M238</f>
        <v>12.1</v>
      </c>
      <c r="L172" s="567">
        <v>5</v>
      </c>
      <c r="M172" s="567">
        <v>7.07</v>
      </c>
      <c r="N172" s="403">
        <f t="shared" si="59"/>
        <v>567.93799999999999</v>
      </c>
      <c r="O172" s="403">
        <f t="shared" si="60"/>
        <v>457.19799999999998</v>
      </c>
      <c r="P172" s="407" t="s">
        <v>244</v>
      </c>
      <c r="Q172" s="585">
        <f t="shared" si="61"/>
        <v>567.93799999999999</v>
      </c>
      <c r="R172" s="468">
        <f t="shared" si="61"/>
        <v>457.19799999999998</v>
      </c>
      <c r="S172" s="388"/>
      <c r="T172" s="468">
        <f>E172*$K172*(1+$L172%)</f>
        <v>364.88760000000002</v>
      </c>
      <c r="U172" s="468">
        <f>G172*$K172*(1+$L172%)</f>
        <v>293.7396</v>
      </c>
    </row>
    <row r="173" spans="1:21" ht="30" customHeight="1">
      <c r="A173" s="300"/>
      <c r="B173" s="689">
        <v>10</v>
      </c>
      <c r="C173" s="407" t="s">
        <v>787</v>
      </c>
      <c r="D173" s="483" t="s">
        <v>235</v>
      </c>
      <c r="E173" s="575">
        <v>13.6</v>
      </c>
      <c r="F173" s="575"/>
      <c r="G173" s="575">
        <v>0</v>
      </c>
      <c r="H173" s="797" t="s">
        <v>1926</v>
      </c>
      <c r="I173" s="575" t="e">
        <f t="shared" si="62"/>
        <v>#NAME?</v>
      </c>
      <c r="J173" s="572">
        <f t="shared" si="57"/>
        <v>16.945</v>
      </c>
      <c r="K173" s="721">
        <f>'附件4-8甲供材料清单'!M238</f>
        <v>12.1</v>
      </c>
      <c r="L173" s="572">
        <v>5</v>
      </c>
      <c r="M173" s="567">
        <v>4.24</v>
      </c>
      <c r="N173" s="403">
        <f t="shared" si="59"/>
        <v>230.452</v>
      </c>
      <c r="O173" s="403">
        <f t="shared" si="60"/>
        <v>0</v>
      </c>
      <c r="P173" s="407" t="s">
        <v>244</v>
      </c>
      <c r="Q173" s="585">
        <f t="shared" si="61"/>
        <v>230.452</v>
      </c>
      <c r="R173" s="468">
        <f t="shared" si="61"/>
        <v>0</v>
      </c>
      <c r="S173" s="388"/>
      <c r="T173" s="468">
        <f>E173*$K173*(1+$L173%)</f>
        <v>172.78800000000001</v>
      </c>
      <c r="U173" s="468">
        <f>G173*$K173*(1+$L173%)</f>
        <v>0</v>
      </c>
    </row>
    <row r="174" spans="1:21" ht="30" customHeight="1">
      <c r="A174" s="300"/>
      <c r="B174" s="689">
        <v>11</v>
      </c>
      <c r="C174" s="407" t="s">
        <v>788</v>
      </c>
      <c r="D174" s="689" t="s">
        <v>231</v>
      </c>
      <c r="E174" s="575">
        <f>3.46*0.25+2.32*0.48</f>
        <v>1.9785999999999999</v>
      </c>
      <c r="F174" s="575"/>
      <c r="G174" s="575">
        <f>1.3*0.3</f>
        <v>0.39</v>
      </c>
      <c r="H174" s="791" t="s">
        <v>1929</v>
      </c>
      <c r="I174" s="575" t="e">
        <f t="shared" si="62"/>
        <v>#NAME?</v>
      </c>
      <c r="J174" s="572">
        <f t="shared" si="57"/>
        <v>448.67999999999995</v>
      </c>
      <c r="K174" s="573">
        <v>336</v>
      </c>
      <c r="L174" s="572">
        <v>3</v>
      </c>
      <c r="M174" s="572">
        <v>102.6</v>
      </c>
      <c r="N174" s="403">
        <f t="shared" si="59"/>
        <v>887.75824799999987</v>
      </c>
      <c r="O174" s="403">
        <f t="shared" si="60"/>
        <v>174.98519999999999</v>
      </c>
      <c r="P174" s="407"/>
      <c r="Q174" s="585"/>
      <c r="R174" s="468"/>
      <c r="S174" s="388"/>
      <c r="T174" s="468"/>
      <c r="U174" s="468"/>
    </row>
    <row r="175" spans="1:21" ht="30" customHeight="1">
      <c r="A175" s="300"/>
      <c r="B175" s="689">
        <v>12</v>
      </c>
      <c r="C175" s="407" t="s">
        <v>789</v>
      </c>
      <c r="D175" s="689" t="s">
        <v>231</v>
      </c>
      <c r="E175" s="575">
        <f>0.9*0.22*2</f>
        <v>0.39600000000000002</v>
      </c>
      <c r="F175" s="575"/>
      <c r="G175" s="575">
        <f>0.9*0.22+1.3*0.2+1.2*0.2</f>
        <v>0.69799999999999995</v>
      </c>
      <c r="H175" s="791" t="s">
        <v>1930</v>
      </c>
      <c r="I175" s="575" t="e">
        <f t="shared" si="62"/>
        <v>#NAME?</v>
      </c>
      <c r="J175" s="572">
        <f t="shared" si="57"/>
        <v>551.28</v>
      </c>
      <c r="K175" s="573">
        <v>336</v>
      </c>
      <c r="L175" s="572">
        <v>3</v>
      </c>
      <c r="M175" s="572">
        <v>205.2</v>
      </c>
      <c r="N175" s="403">
        <f t="shared" si="59"/>
        <v>218.30688000000001</v>
      </c>
      <c r="O175" s="403">
        <f t="shared" si="60"/>
        <v>384.79343999999998</v>
      </c>
      <c r="P175" s="407"/>
      <c r="Q175" s="585"/>
      <c r="R175" s="468"/>
      <c r="S175" s="388"/>
      <c r="T175" s="468"/>
      <c r="U175" s="468"/>
    </row>
    <row r="176" spans="1:21" ht="70.150000000000006" customHeight="1">
      <c r="A176" s="300"/>
      <c r="B176" s="689">
        <v>13</v>
      </c>
      <c r="C176" s="482" t="s">
        <v>790</v>
      </c>
      <c r="D176" s="689" t="s">
        <v>231</v>
      </c>
      <c r="E176" s="575">
        <f>1.09+1.25+13.75+8.26+2.52+0.93</f>
        <v>27.8</v>
      </c>
      <c r="F176" s="575"/>
      <c r="G176" s="575">
        <f>12.94*2-3.37*3+10.33*2-5.03</f>
        <v>31.4</v>
      </c>
      <c r="H176" s="791" t="s">
        <v>1931</v>
      </c>
      <c r="I176" s="575" t="e">
        <f t="shared" si="62"/>
        <v>#NAME?</v>
      </c>
      <c r="J176" s="572">
        <f t="shared" si="57"/>
        <v>534.36</v>
      </c>
      <c r="K176" s="572">
        <v>252</v>
      </c>
      <c r="L176" s="572">
        <v>2</v>
      </c>
      <c r="M176" s="572">
        <v>277.32</v>
      </c>
      <c r="N176" s="403">
        <f t="shared" si="59"/>
        <v>14855.208000000001</v>
      </c>
      <c r="O176" s="403">
        <f t="shared" si="60"/>
        <v>16778.903999999999</v>
      </c>
      <c r="P176" s="407"/>
      <c r="Q176" s="585"/>
      <c r="R176" s="468"/>
      <c r="S176" s="388"/>
      <c r="T176" s="468"/>
      <c r="U176" s="468"/>
    </row>
    <row r="177" spans="1:21" ht="30" customHeight="1">
      <c r="A177" s="300"/>
      <c r="B177" s="689">
        <v>14</v>
      </c>
      <c r="C177" s="407" t="s">
        <v>791</v>
      </c>
      <c r="D177" s="689" t="s">
        <v>231</v>
      </c>
      <c r="E177" s="575">
        <f>0.188*2.1*2*2</f>
        <v>1.5792000000000002</v>
      </c>
      <c r="F177" s="575"/>
      <c r="G177" s="575">
        <f>0.188*2.1*2</f>
        <v>0.78960000000000008</v>
      </c>
      <c r="H177" s="791" t="s">
        <v>1932</v>
      </c>
      <c r="I177" s="575" t="e">
        <f t="shared" si="62"/>
        <v>#NAME?</v>
      </c>
      <c r="J177" s="572">
        <f t="shared" si="57"/>
        <v>534.36</v>
      </c>
      <c r="K177" s="572">
        <v>252</v>
      </c>
      <c r="L177" s="572">
        <v>2</v>
      </c>
      <c r="M177" s="572">
        <v>277.32</v>
      </c>
      <c r="N177" s="403">
        <f t="shared" si="59"/>
        <v>843.86131200000011</v>
      </c>
      <c r="O177" s="403">
        <f t="shared" si="60"/>
        <v>421.93065600000006</v>
      </c>
      <c r="P177" s="407" t="s">
        <v>792</v>
      </c>
      <c r="Q177" s="585"/>
      <c r="R177" s="468"/>
      <c r="S177" s="388"/>
      <c r="T177" s="468"/>
      <c r="U177" s="468"/>
    </row>
    <row r="178" spans="1:21" ht="30" customHeight="1">
      <c r="A178" s="300"/>
      <c r="B178" s="689">
        <v>15</v>
      </c>
      <c r="C178" s="490" t="s">
        <v>793</v>
      </c>
      <c r="D178" s="595" t="s">
        <v>231</v>
      </c>
      <c r="E178" s="719">
        <f>0.43*2</f>
        <v>0.86</v>
      </c>
      <c r="F178" s="719"/>
      <c r="G178" s="719">
        <v>0.43</v>
      </c>
      <c r="H178" s="794" t="s">
        <v>1933</v>
      </c>
      <c r="I178" s="575" t="e">
        <f t="shared" si="62"/>
        <v>#NAME?</v>
      </c>
      <c r="J178" s="572">
        <f t="shared" si="57"/>
        <v>198.05</v>
      </c>
      <c r="K178" s="573">
        <v>105</v>
      </c>
      <c r="L178" s="572">
        <v>2</v>
      </c>
      <c r="M178" s="573">
        <v>90.95</v>
      </c>
      <c r="N178" s="403">
        <f t="shared" si="59"/>
        <v>170.32300000000001</v>
      </c>
      <c r="O178" s="403">
        <f t="shared" si="60"/>
        <v>85.161500000000004</v>
      </c>
      <c r="P178" s="407"/>
      <c r="Q178" s="585"/>
      <c r="R178" s="468"/>
      <c r="S178" s="388"/>
      <c r="T178" s="468"/>
      <c r="U178" s="468"/>
    </row>
    <row r="179" spans="1:21" ht="70.150000000000006" customHeight="1">
      <c r="A179" s="300"/>
      <c r="B179" s="689">
        <v>16</v>
      </c>
      <c r="C179" s="490" t="s">
        <v>794</v>
      </c>
      <c r="D179" s="491" t="s">
        <v>235</v>
      </c>
      <c r="E179" s="719">
        <f>3.5*4+1.4*2</f>
        <v>16.8</v>
      </c>
      <c r="F179" s="719"/>
      <c r="G179" s="719">
        <f>3.5*4+1.4</f>
        <v>15.4</v>
      </c>
      <c r="H179" s="794" t="s">
        <v>1934</v>
      </c>
      <c r="I179" s="575" t="e">
        <f t="shared" si="62"/>
        <v>#NAME?</v>
      </c>
      <c r="J179" s="572">
        <f t="shared" si="57"/>
        <v>171.7201</v>
      </c>
      <c r="K179" s="573">
        <v>98.86</v>
      </c>
      <c r="L179" s="572">
        <v>3.5</v>
      </c>
      <c r="M179" s="572">
        <v>69.400000000000006</v>
      </c>
      <c r="N179" s="403">
        <f t="shared" si="59"/>
        <v>2884.89768</v>
      </c>
      <c r="O179" s="403">
        <f t="shared" si="60"/>
        <v>2644.48954</v>
      </c>
      <c r="P179" s="490" t="s">
        <v>795</v>
      </c>
      <c r="Q179" s="585"/>
      <c r="R179" s="468"/>
      <c r="S179" s="388"/>
      <c r="T179" s="468"/>
      <c r="U179" s="468"/>
    </row>
    <row r="180" spans="1:21" ht="70.150000000000006" customHeight="1">
      <c r="B180" s="457">
        <v>17</v>
      </c>
      <c r="C180" s="487" t="s">
        <v>796</v>
      </c>
      <c r="D180" s="489" t="s">
        <v>235</v>
      </c>
      <c r="E180" s="719">
        <f>3.5*4</f>
        <v>14</v>
      </c>
      <c r="F180" s="719"/>
      <c r="G180" s="719">
        <f>3.5*2</f>
        <v>7</v>
      </c>
      <c r="H180" s="794"/>
      <c r="I180" s="719"/>
      <c r="J180" s="575">
        <f t="shared" si="57"/>
        <v>91.325700000000012</v>
      </c>
      <c r="K180" s="719">
        <v>64.260000000000005</v>
      </c>
      <c r="L180" s="719">
        <v>2</v>
      </c>
      <c r="M180" s="575">
        <v>25.7805</v>
      </c>
      <c r="N180" s="485">
        <f t="shared" si="59"/>
        <v>1278.5598000000002</v>
      </c>
      <c r="O180" s="485">
        <f t="shared" si="60"/>
        <v>639.27990000000011</v>
      </c>
      <c r="P180" s="484"/>
      <c r="Q180" s="588"/>
      <c r="R180" s="471"/>
      <c r="S180" s="354"/>
      <c r="T180" s="471"/>
      <c r="U180" s="471"/>
    </row>
    <row r="181" spans="1:21" ht="33.75">
      <c r="B181" s="457">
        <v>18</v>
      </c>
      <c r="C181" s="487" t="s">
        <v>797</v>
      </c>
      <c r="D181" s="488" t="s">
        <v>231</v>
      </c>
      <c r="E181" s="719">
        <f>3.57-2.42</f>
        <v>1.1499999999999999</v>
      </c>
      <c r="F181" s="719"/>
      <c r="G181" s="719">
        <v>0</v>
      </c>
      <c r="H181" s="794" t="s">
        <v>1935</v>
      </c>
      <c r="I181" s="719"/>
      <c r="J181" s="575">
        <f t="shared" si="57"/>
        <v>445.47</v>
      </c>
      <c r="K181" s="722">
        <v>336</v>
      </c>
      <c r="L181" s="575">
        <v>2</v>
      </c>
      <c r="M181" s="722">
        <v>102.75</v>
      </c>
      <c r="N181" s="485">
        <f t="shared" si="59"/>
        <v>512.29049999999995</v>
      </c>
      <c r="O181" s="485">
        <f t="shared" si="60"/>
        <v>0</v>
      </c>
      <c r="P181" s="484"/>
      <c r="Q181" s="588"/>
      <c r="R181" s="471"/>
      <c r="S181" s="354"/>
      <c r="T181" s="471"/>
      <c r="U181" s="471"/>
    </row>
    <row r="182" spans="1:21" ht="70.150000000000006" customHeight="1">
      <c r="A182" s="263" t="s">
        <v>798</v>
      </c>
      <c r="B182" s="457">
        <v>19</v>
      </c>
      <c r="C182" s="487" t="s">
        <v>799</v>
      </c>
      <c r="D182" s="489" t="s">
        <v>235</v>
      </c>
      <c r="E182" s="719">
        <f>15.28+12.48</f>
        <v>27.759999999999998</v>
      </c>
      <c r="F182" s="719"/>
      <c r="G182" s="719">
        <f>7.71+11.41+9.35</f>
        <v>28.47</v>
      </c>
      <c r="H182" s="794" t="s">
        <v>1935</v>
      </c>
      <c r="I182" s="719"/>
      <c r="J182" s="575">
        <f t="shared" si="57"/>
        <v>26.736499999999999</v>
      </c>
      <c r="K182" s="722">
        <v>18.13</v>
      </c>
      <c r="L182" s="575">
        <v>5</v>
      </c>
      <c r="M182" s="722">
        <v>7.7</v>
      </c>
      <c r="N182" s="485">
        <f t="shared" si="59"/>
        <v>742.20523999999989</v>
      </c>
      <c r="O182" s="485">
        <f t="shared" si="60"/>
        <v>761.18815499999994</v>
      </c>
      <c r="P182" s="484"/>
      <c r="Q182" s="588"/>
      <c r="R182" s="471"/>
      <c r="S182" s="354"/>
      <c r="T182" s="471"/>
      <c r="U182" s="471"/>
    </row>
    <row r="183" spans="1:21" ht="33.75">
      <c r="B183" s="457">
        <v>20</v>
      </c>
      <c r="C183" s="596" t="s">
        <v>800</v>
      </c>
      <c r="D183" s="457" t="s">
        <v>231</v>
      </c>
      <c r="E183" s="719">
        <f>3.5*0.22*2+3.47*0.22</f>
        <v>2.3033999999999999</v>
      </c>
      <c r="F183" s="719"/>
      <c r="G183" s="719">
        <v>0</v>
      </c>
      <c r="H183" s="794"/>
      <c r="I183" s="719"/>
      <c r="J183" s="575">
        <f t="shared" si="57"/>
        <v>350.68</v>
      </c>
      <c r="K183" s="719">
        <v>252</v>
      </c>
      <c r="L183" s="719">
        <v>2</v>
      </c>
      <c r="M183" s="575">
        <v>93.64</v>
      </c>
      <c r="N183" s="485">
        <f t="shared" si="59"/>
        <v>807.75631199999998</v>
      </c>
      <c r="O183" s="485">
        <f t="shared" si="60"/>
        <v>0</v>
      </c>
      <c r="P183" s="484"/>
      <c r="Q183" s="588"/>
      <c r="R183" s="471"/>
      <c r="S183" s="354"/>
      <c r="T183" s="471"/>
      <c r="U183" s="471"/>
    </row>
    <row r="184" spans="1:21" ht="70.150000000000006" customHeight="1">
      <c r="B184" s="457">
        <v>21</v>
      </c>
      <c r="C184" s="596" t="s">
        <v>801</v>
      </c>
      <c r="D184" s="457" t="s">
        <v>235</v>
      </c>
      <c r="E184" s="719">
        <f>3.5*4+3.47</f>
        <v>17.47</v>
      </c>
      <c r="F184" s="719"/>
      <c r="G184" s="719">
        <v>0</v>
      </c>
      <c r="H184" s="794" t="s">
        <v>1936</v>
      </c>
      <c r="I184" s="575" t="e">
        <f t="shared" ref="I184:I190" si="63">CCC</f>
        <v>#NAME?</v>
      </c>
      <c r="J184" s="575">
        <f t="shared" si="57"/>
        <v>145.81950000000001</v>
      </c>
      <c r="K184" s="719">
        <v>116.59</v>
      </c>
      <c r="L184" s="575">
        <v>5</v>
      </c>
      <c r="M184" s="575">
        <v>23.4</v>
      </c>
      <c r="N184" s="485">
        <f t="shared" si="59"/>
        <v>2547.4666649999999</v>
      </c>
      <c r="O184" s="485">
        <f t="shared" si="60"/>
        <v>0</v>
      </c>
      <c r="P184" s="484"/>
      <c r="Q184" s="588"/>
      <c r="R184" s="471"/>
      <c r="S184" s="354"/>
      <c r="T184" s="471"/>
      <c r="U184" s="471"/>
    </row>
    <row r="185" spans="1:21" ht="70.150000000000006" customHeight="1">
      <c r="B185" s="457">
        <v>22</v>
      </c>
      <c r="C185" s="472" t="s">
        <v>802</v>
      </c>
      <c r="D185" s="597" t="s">
        <v>231</v>
      </c>
      <c r="E185" s="719">
        <f>6.66+4.31+25.04-0.78+6.11</f>
        <v>41.339999999999996</v>
      </c>
      <c r="F185" s="719"/>
      <c r="G185" s="719">
        <f>23.19*2-3.35+6.11</f>
        <v>49.14</v>
      </c>
      <c r="H185" s="794" t="s">
        <v>1937</v>
      </c>
      <c r="I185" s="575" t="e">
        <f t="shared" si="63"/>
        <v>#NAME?</v>
      </c>
      <c r="J185" s="575">
        <f t="shared" si="57"/>
        <v>148.13612499999999</v>
      </c>
      <c r="K185" s="722">
        <f>'附件4-8甲供材料清单'!M237</f>
        <v>78.124999999999986</v>
      </c>
      <c r="L185" s="723">
        <v>10.5</v>
      </c>
      <c r="M185" s="723">
        <v>61.808</v>
      </c>
      <c r="N185" s="485">
        <f t="shared" si="59"/>
        <v>6123.9474074999989</v>
      </c>
      <c r="O185" s="485">
        <f t="shared" si="60"/>
        <v>7279.4091824999996</v>
      </c>
      <c r="P185" s="484" t="s">
        <v>244</v>
      </c>
      <c r="Q185" s="588">
        <f>N185</f>
        <v>6123.9474074999989</v>
      </c>
      <c r="R185" s="471">
        <f>O185</f>
        <v>7279.4091824999996</v>
      </c>
      <c r="S185" s="354"/>
      <c r="T185" s="471">
        <f>E185*$K185*(1+$L185%)</f>
        <v>3568.8046874999991</v>
      </c>
      <c r="U185" s="471">
        <f>G185*$K185*(1+$L185%)</f>
        <v>4242.1640624999991</v>
      </c>
    </row>
    <row r="186" spans="1:21" ht="123.75">
      <c r="A186" s="263" t="s">
        <v>803</v>
      </c>
      <c r="B186" s="457">
        <v>23</v>
      </c>
      <c r="C186" s="472" t="s">
        <v>1866</v>
      </c>
      <c r="D186" s="457" t="s">
        <v>231</v>
      </c>
      <c r="E186" s="719">
        <v>1.19</v>
      </c>
      <c r="F186" s="719"/>
      <c r="G186" s="719">
        <v>0</v>
      </c>
      <c r="H186" s="794" t="s">
        <v>1938</v>
      </c>
      <c r="I186" s="575" t="e">
        <f t="shared" si="63"/>
        <v>#NAME?</v>
      </c>
      <c r="J186" s="575">
        <f t="shared" si="57"/>
        <v>504</v>
      </c>
      <c r="K186" s="575">
        <v>420</v>
      </c>
      <c r="L186" s="575">
        <v>5</v>
      </c>
      <c r="M186" s="575">
        <v>63</v>
      </c>
      <c r="N186" s="485">
        <f t="shared" si="59"/>
        <v>599.76</v>
      </c>
      <c r="O186" s="485">
        <f t="shared" si="60"/>
        <v>0</v>
      </c>
      <c r="P186" s="484" t="s">
        <v>1867</v>
      </c>
      <c r="Q186" s="589"/>
      <c r="R186" s="471"/>
      <c r="S186" s="354"/>
      <c r="T186" s="471"/>
      <c r="U186" s="471"/>
    </row>
    <row r="187" spans="1:21" ht="70.150000000000006" customHeight="1">
      <c r="B187" s="457">
        <v>24</v>
      </c>
      <c r="C187" s="472" t="s">
        <v>804</v>
      </c>
      <c r="D187" s="457" t="s">
        <v>231</v>
      </c>
      <c r="E187" s="719">
        <f>(60+40+60+240+135+40+140)/1000*2.9*2+(60+40+60+240+135+40)*2/1000*3.6*2+0.3*3.6*2</f>
        <v>14.587</v>
      </c>
      <c r="F187" s="719"/>
      <c r="G187" s="719">
        <v>0</v>
      </c>
      <c r="H187" s="794" t="s">
        <v>1939</v>
      </c>
      <c r="I187" s="575" t="e">
        <f t="shared" si="63"/>
        <v>#NAME?</v>
      </c>
      <c r="J187" s="575">
        <f t="shared" si="57"/>
        <v>534.36</v>
      </c>
      <c r="K187" s="719">
        <v>252</v>
      </c>
      <c r="L187" s="575">
        <v>2</v>
      </c>
      <c r="M187" s="575">
        <v>277.32</v>
      </c>
      <c r="N187" s="485">
        <f t="shared" si="59"/>
        <v>7794.7093199999999</v>
      </c>
      <c r="O187" s="485">
        <f t="shared" si="60"/>
        <v>0</v>
      </c>
      <c r="P187" s="484"/>
      <c r="Q187" s="588"/>
      <c r="R187" s="471"/>
      <c r="S187" s="354"/>
      <c r="T187" s="471"/>
      <c r="U187" s="471"/>
    </row>
    <row r="188" spans="1:21" ht="45.75" customHeight="1">
      <c r="B188" s="457">
        <v>25</v>
      </c>
      <c r="C188" s="472" t="s">
        <v>805</v>
      </c>
      <c r="D188" s="457" t="s">
        <v>235</v>
      </c>
      <c r="E188" s="719">
        <v>2</v>
      </c>
      <c r="F188" s="719"/>
      <c r="G188" s="719">
        <v>0</v>
      </c>
      <c r="H188" s="794">
        <v>2</v>
      </c>
      <c r="I188" s="575" t="e">
        <f t="shared" si="63"/>
        <v>#NAME?</v>
      </c>
      <c r="J188" s="575">
        <f t="shared" si="57"/>
        <v>314.11800000000005</v>
      </c>
      <c r="K188" s="719">
        <v>128.52000000000001</v>
      </c>
      <c r="L188" s="723">
        <v>2</v>
      </c>
      <c r="M188" s="723">
        <v>183.02760000000001</v>
      </c>
      <c r="N188" s="485">
        <f t="shared" si="59"/>
        <v>628.2360000000001</v>
      </c>
      <c r="O188" s="485">
        <f t="shared" si="60"/>
        <v>0</v>
      </c>
      <c r="P188" s="484"/>
      <c r="Q188" s="588"/>
      <c r="R188" s="471"/>
      <c r="S188" s="354"/>
      <c r="T188" s="471"/>
      <c r="U188" s="471"/>
    </row>
    <row r="189" spans="1:21" ht="40.5" customHeight="1">
      <c r="B189" s="457">
        <v>26</v>
      </c>
      <c r="C189" s="472" t="s">
        <v>806</v>
      </c>
      <c r="D189" s="457" t="s">
        <v>231</v>
      </c>
      <c r="E189" s="719">
        <v>0</v>
      </c>
      <c r="F189" s="719"/>
      <c r="G189" s="719">
        <f>(0.06+0.109+0.035+0.39+0.04+0.295+0.415)*5.28</f>
        <v>7.0963200000000004</v>
      </c>
      <c r="H189" s="794" t="s">
        <v>1941</v>
      </c>
      <c r="I189" s="575" t="e">
        <f t="shared" si="63"/>
        <v>#NAME?</v>
      </c>
      <c r="J189" s="575">
        <f t="shared" si="57"/>
        <v>562.92000000000007</v>
      </c>
      <c r="K189" s="723">
        <v>280</v>
      </c>
      <c r="L189" s="575">
        <v>2</v>
      </c>
      <c r="M189" s="575">
        <v>277.32</v>
      </c>
      <c r="N189" s="485">
        <f t="shared" si="59"/>
        <v>0</v>
      </c>
      <c r="O189" s="485">
        <f t="shared" si="60"/>
        <v>3994.6604544000006</v>
      </c>
      <c r="P189" s="484"/>
      <c r="Q189" s="588"/>
      <c r="R189" s="471"/>
      <c r="S189" s="354"/>
      <c r="T189" s="471"/>
      <c r="U189" s="471"/>
    </row>
    <row r="190" spans="1:21" ht="56.25">
      <c r="A190" s="300"/>
      <c r="B190" s="689" t="s">
        <v>1847</v>
      </c>
      <c r="C190" s="482" t="s">
        <v>1848</v>
      </c>
      <c r="D190" s="457" t="s">
        <v>231</v>
      </c>
      <c r="E190" s="573">
        <f>2.4*2</f>
        <v>4.8</v>
      </c>
      <c r="F190" s="573"/>
      <c r="G190" s="573">
        <v>0</v>
      </c>
      <c r="H190" s="795" t="s">
        <v>1940</v>
      </c>
      <c r="I190" s="575" t="e">
        <f t="shared" si="63"/>
        <v>#NAME?</v>
      </c>
      <c r="J190" s="575">
        <f t="shared" ref="J190" si="64">K190+K190*L190%+M190</f>
        <v>950</v>
      </c>
      <c r="K190" s="723">
        <v>950</v>
      </c>
      <c r="L190" s="575">
        <v>0</v>
      </c>
      <c r="M190" s="575">
        <v>0</v>
      </c>
      <c r="N190" s="485">
        <f t="shared" si="59"/>
        <v>4560</v>
      </c>
      <c r="O190" s="485">
        <f t="shared" si="60"/>
        <v>0</v>
      </c>
      <c r="P190" s="407"/>
      <c r="Q190" s="588"/>
      <c r="R190" s="471"/>
      <c r="S190" s="354"/>
      <c r="T190" s="471"/>
      <c r="U190" s="471"/>
    </row>
    <row r="191" spans="1:21" s="451" customFormat="1">
      <c r="A191" s="438"/>
      <c r="B191" s="685"/>
      <c r="C191" s="441" t="s">
        <v>547</v>
      </c>
      <c r="D191" s="685"/>
      <c r="E191" s="720"/>
      <c r="F191" s="720"/>
      <c r="G191" s="720"/>
      <c r="H191" s="447"/>
      <c r="I191" s="720"/>
      <c r="J191" s="704"/>
      <c r="K191" s="704"/>
      <c r="L191" s="704"/>
      <c r="M191" s="704"/>
      <c r="N191" s="684">
        <f t="shared" ref="N191" si="65">SUM(N8:N190)</f>
        <v>61127.804636223998</v>
      </c>
      <c r="O191" s="684">
        <f>SUM(O8:O190)</f>
        <v>54785.436509610008</v>
      </c>
      <c r="P191" s="413"/>
      <c r="Q191" s="784">
        <f t="shared" ref="Q191" si="66">SUM(Q8:Q190)</f>
        <v>14414.640239223998</v>
      </c>
      <c r="R191" s="785">
        <f t="shared" ref="R191" si="67">SUM(R8:R190)</f>
        <v>18157.484384210002</v>
      </c>
      <c r="S191" s="464"/>
      <c r="T191" s="785">
        <f>SUM(T8:T190)</f>
        <v>9310.7896376239987</v>
      </c>
      <c r="U191" s="785">
        <f t="shared" ref="U191" si="68">SUM(U8:U190)</f>
        <v>11798.552448209999</v>
      </c>
    </row>
    <row r="192" spans="1:21" s="451" customFormat="1">
      <c r="A192" s="438"/>
      <c r="B192" s="635"/>
      <c r="C192" s="644" t="s">
        <v>548</v>
      </c>
      <c r="D192" s="635"/>
      <c r="E192" s="728"/>
      <c r="F192" s="728"/>
      <c r="G192" s="728"/>
      <c r="H192" s="796"/>
      <c r="I192" s="728"/>
      <c r="J192" s="730"/>
      <c r="K192" s="648"/>
      <c r="L192" s="648"/>
      <c r="M192" s="648"/>
      <c r="N192" s="643"/>
      <c r="O192" s="643"/>
      <c r="P192" s="636"/>
      <c r="Q192" s="464"/>
      <c r="R192" s="464"/>
      <c r="S192" s="464"/>
      <c r="T192" s="464"/>
      <c r="U192" s="464"/>
    </row>
    <row r="193" spans="1:21" s="451" customFormat="1" ht="33.75">
      <c r="A193" s="438"/>
      <c r="B193" s="635" t="s">
        <v>133</v>
      </c>
      <c r="C193" s="644" t="s">
        <v>549</v>
      </c>
      <c r="D193" s="635"/>
      <c r="E193" s="728"/>
      <c r="F193" s="728"/>
      <c r="G193" s="728"/>
      <c r="H193" s="796"/>
      <c r="I193" s="728"/>
      <c r="J193" s="730"/>
      <c r="K193" s="648"/>
      <c r="L193" s="648"/>
      <c r="M193" s="648"/>
      <c r="N193" s="643"/>
      <c r="O193" s="643"/>
      <c r="P193" s="636"/>
      <c r="Q193" s="464"/>
      <c r="R193" s="464"/>
      <c r="S193" s="464"/>
      <c r="T193" s="464"/>
      <c r="U193" s="464"/>
    </row>
    <row r="194" spans="1:21" ht="21.75" customHeight="1">
      <c r="A194" s="300"/>
      <c r="B194" s="689" t="s">
        <v>140</v>
      </c>
      <c r="C194" s="431" t="s">
        <v>551</v>
      </c>
      <c r="D194" s="689"/>
      <c r="E194" s="572"/>
      <c r="F194" s="572"/>
      <c r="G194" s="572"/>
      <c r="H194" s="426"/>
      <c r="I194" s="572"/>
      <c r="J194" s="725"/>
      <c r="K194" s="567"/>
      <c r="L194" s="567"/>
      <c r="M194" s="567"/>
      <c r="N194" s="403">
        <f>N191-N201</f>
        <v>46713.164397</v>
      </c>
      <c r="O194" s="403">
        <f>O191-O201</f>
        <v>36627.952125400006</v>
      </c>
      <c r="P194" s="413"/>
      <c r="Q194" s="354"/>
      <c r="R194" s="354"/>
      <c r="S194" s="354"/>
      <c r="T194" s="354"/>
      <c r="U194" s="354"/>
    </row>
    <row r="195" spans="1:21" ht="21.75" customHeight="1">
      <c r="A195" s="300"/>
      <c r="B195" s="689" t="s">
        <v>552</v>
      </c>
      <c r="C195" s="431" t="s">
        <v>553</v>
      </c>
      <c r="D195" s="689"/>
      <c r="E195" s="572"/>
      <c r="F195" s="572"/>
      <c r="G195" s="572"/>
      <c r="H195" s="426"/>
      <c r="I195" s="572"/>
      <c r="J195" s="712">
        <f>'附件4-1套内1'!M317</f>
        <v>6.5000000000000002E-2</v>
      </c>
      <c r="K195" s="567"/>
      <c r="L195" s="567"/>
      <c r="M195" s="567"/>
      <c r="N195" s="403">
        <f>N194*$J195</f>
        <v>3036.3556858050001</v>
      </c>
      <c r="O195" s="403">
        <f t="shared" ref="O195" si="69">O194*$J195</f>
        <v>2380.8168881510005</v>
      </c>
      <c r="P195" s="407"/>
      <c r="Q195" s="354"/>
      <c r="R195" s="354"/>
      <c r="S195" s="354"/>
      <c r="T195" s="354"/>
      <c r="U195" s="354"/>
    </row>
    <row r="196" spans="1:21" ht="21.75" customHeight="1">
      <c r="A196" s="300"/>
      <c r="B196" s="689" t="s">
        <v>554</v>
      </c>
      <c r="C196" s="431" t="s">
        <v>555</v>
      </c>
      <c r="D196" s="689"/>
      <c r="E196" s="572"/>
      <c r="F196" s="572"/>
      <c r="G196" s="572"/>
      <c r="H196" s="426"/>
      <c r="I196" s="572"/>
      <c r="J196" s="712">
        <f>'附件4-1套内1'!M318</f>
        <v>0.1</v>
      </c>
      <c r="K196" s="567"/>
      <c r="L196" s="567"/>
      <c r="M196" s="567"/>
      <c r="N196" s="403">
        <f>N194*$J196</f>
        <v>4671.3164397</v>
      </c>
      <c r="O196" s="403">
        <f t="shared" ref="O196" si="70">O194*$J196</f>
        <v>3662.7952125400006</v>
      </c>
      <c r="P196" s="407"/>
      <c r="Q196" s="354"/>
      <c r="R196" s="354"/>
      <c r="S196" s="354"/>
      <c r="T196" s="354"/>
      <c r="U196" s="354"/>
    </row>
    <row r="197" spans="1:21" ht="21.75" customHeight="1">
      <c r="A197" s="300"/>
      <c r="B197" s="689" t="s">
        <v>556</v>
      </c>
      <c r="C197" s="431" t="s">
        <v>1854</v>
      </c>
      <c r="D197" s="689"/>
      <c r="E197" s="572"/>
      <c r="F197" s="572"/>
      <c r="G197" s="572"/>
      <c r="H197" s="426"/>
      <c r="I197" s="572"/>
      <c r="J197" s="432">
        <f>'附件4-1套内1'!M319</f>
        <v>0</v>
      </c>
      <c r="K197" s="567"/>
      <c r="L197" s="567"/>
      <c r="M197" s="567"/>
      <c r="N197" s="403">
        <f>N194*$J197</f>
        <v>0</v>
      </c>
      <c r="O197" s="403">
        <f t="shared" ref="O197" si="71">O194*$J197</f>
        <v>0</v>
      </c>
      <c r="P197" s="407"/>
      <c r="Q197" s="354"/>
      <c r="R197" s="354"/>
      <c r="S197" s="354"/>
      <c r="T197" s="354"/>
      <c r="U197" s="354"/>
    </row>
    <row r="198" spans="1:21" ht="21.75" customHeight="1">
      <c r="A198" s="300"/>
      <c r="B198" s="689" t="s">
        <v>558</v>
      </c>
      <c r="C198" s="431" t="s">
        <v>559</v>
      </c>
      <c r="D198" s="689"/>
      <c r="E198" s="572"/>
      <c r="F198" s="572"/>
      <c r="G198" s="572"/>
      <c r="H198" s="426"/>
      <c r="I198" s="572"/>
      <c r="J198" s="726">
        <f>'附件4-1套内1'!M320</f>
        <v>3.4770000000000002E-2</v>
      </c>
      <c r="K198" s="567"/>
      <c r="L198" s="567"/>
      <c r="M198" s="567"/>
      <c r="N198" s="403">
        <f>SUM(N194:N197)*$J198</f>
        <v>1892.212485887499</v>
      </c>
      <c r="O198" s="403">
        <f t="shared" ref="O198" si="72">SUM(O194:O197)*$J198</f>
        <v>1483.6902881411845</v>
      </c>
      <c r="P198" s="407"/>
      <c r="Q198" s="354"/>
      <c r="R198" s="354"/>
      <c r="S198" s="354"/>
      <c r="T198" s="354"/>
      <c r="U198" s="354"/>
    </row>
    <row r="199" spans="1:21" ht="21.75" customHeight="1">
      <c r="A199" s="300"/>
      <c r="B199" s="689" t="s">
        <v>560</v>
      </c>
      <c r="C199" s="431" t="s">
        <v>561</v>
      </c>
      <c r="D199" s="689"/>
      <c r="E199" s="572"/>
      <c r="F199" s="572"/>
      <c r="G199" s="572"/>
      <c r="H199" s="426"/>
      <c r="I199" s="572"/>
      <c r="J199" s="712"/>
      <c r="K199" s="567"/>
      <c r="L199" s="567"/>
      <c r="M199" s="567"/>
      <c r="N199" s="403">
        <f>SUM(N194:N198)</f>
        <v>56313.049008392496</v>
      </c>
      <c r="O199" s="403">
        <f t="shared" ref="O199" si="73">SUM(O194:O198)</f>
        <v>44155.254514232198</v>
      </c>
      <c r="P199" s="407"/>
      <c r="Q199" s="354"/>
      <c r="R199" s="354"/>
      <c r="S199" s="354"/>
      <c r="T199" s="354"/>
      <c r="U199" s="354"/>
    </row>
    <row r="200" spans="1:21" s="451" customFormat="1" ht="33.75">
      <c r="A200" s="438"/>
      <c r="B200" s="635" t="s">
        <v>246</v>
      </c>
      <c r="C200" s="644" t="s">
        <v>562</v>
      </c>
      <c r="D200" s="635"/>
      <c r="E200" s="728"/>
      <c r="F200" s="728"/>
      <c r="G200" s="728"/>
      <c r="H200" s="796"/>
      <c r="I200" s="728"/>
      <c r="J200" s="729"/>
      <c r="K200" s="648"/>
      <c r="L200" s="648"/>
      <c r="M200" s="648"/>
      <c r="N200" s="643"/>
      <c r="O200" s="643"/>
      <c r="P200" s="636"/>
      <c r="Q200" s="464"/>
      <c r="R200" s="464"/>
      <c r="S200" s="464"/>
      <c r="T200" s="464"/>
      <c r="U200" s="464"/>
    </row>
    <row r="201" spans="1:21" ht="21" customHeight="1">
      <c r="A201" s="300"/>
      <c r="B201" s="689" t="s">
        <v>563</v>
      </c>
      <c r="C201" s="431" t="s">
        <v>551</v>
      </c>
      <c r="D201" s="689"/>
      <c r="E201" s="572"/>
      <c r="F201" s="572"/>
      <c r="G201" s="572"/>
      <c r="H201" s="426"/>
      <c r="I201" s="572"/>
      <c r="J201" s="712"/>
      <c r="K201" s="567"/>
      <c r="L201" s="567"/>
      <c r="M201" s="567"/>
      <c r="N201" s="403">
        <f>Q191</f>
        <v>14414.640239223998</v>
      </c>
      <c r="O201" s="403">
        <f>R191</f>
        <v>18157.484384210002</v>
      </c>
      <c r="P201" s="407"/>
      <c r="Q201" s="354"/>
      <c r="R201" s="354"/>
      <c r="S201" s="354"/>
      <c r="T201" s="354"/>
      <c r="U201" s="354"/>
    </row>
    <row r="202" spans="1:21" ht="21" customHeight="1">
      <c r="A202" s="300"/>
      <c r="B202" s="689" t="s">
        <v>210</v>
      </c>
      <c r="C202" s="431" t="s">
        <v>565</v>
      </c>
      <c r="D202" s="689"/>
      <c r="E202" s="572"/>
      <c r="F202" s="572"/>
      <c r="G202" s="572"/>
      <c r="H202" s="426"/>
      <c r="I202" s="572"/>
      <c r="J202" s="712"/>
      <c r="K202" s="567"/>
      <c r="L202" s="567"/>
      <c r="M202" s="567"/>
      <c r="N202" s="403">
        <f>T191</f>
        <v>9310.7896376239987</v>
      </c>
      <c r="O202" s="403">
        <f>U191</f>
        <v>11798.552448209999</v>
      </c>
      <c r="P202" s="407"/>
      <c r="Q202" s="354"/>
      <c r="R202" s="354"/>
      <c r="S202" s="354"/>
      <c r="T202" s="354"/>
      <c r="U202" s="354"/>
    </row>
    <row r="203" spans="1:21" ht="21" customHeight="1">
      <c r="A203" s="300"/>
      <c r="B203" s="689" t="s">
        <v>566</v>
      </c>
      <c r="C203" s="431" t="s">
        <v>567</v>
      </c>
      <c r="D203" s="689"/>
      <c r="E203" s="572"/>
      <c r="F203" s="572"/>
      <c r="G203" s="572"/>
      <c r="H203" s="426"/>
      <c r="I203" s="572"/>
      <c r="J203" s="712">
        <f>'附件4-1套内1'!M325</f>
        <v>0.1</v>
      </c>
      <c r="K203" s="567"/>
      <c r="L203" s="567"/>
      <c r="M203" s="567"/>
      <c r="N203" s="403">
        <f>(N201-N202)*$J203</f>
        <v>510.38506015999997</v>
      </c>
      <c r="O203" s="403">
        <f t="shared" ref="O203" si="74">(O201-O202)*$J203</f>
        <v>635.89319360000036</v>
      </c>
      <c r="P203" s="407"/>
      <c r="Q203" s="354"/>
      <c r="R203" s="354"/>
      <c r="S203" s="354"/>
      <c r="T203" s="354"/>
      <c r="U203" s="354"/>
    </row>
    <row r="204" spans="1:21" ht="21" customHeight="1">
      <c r="A204" s="300"/>
      <c r="B204" s="689" t="s">
        <v>568</v>
      </c>
      <c r="C204" s="431" t="s">
        <v>569</v>
      </c>
      <c r="D204" s="689"/>
      <c r="E204" s="572"/>
      <c r="F204" s="572"/>
      <c r="G204" s="572"/>
      <c r="H204" s="426"/>
      <c r="I204" s="572"/>
      <c r="J204" s="712">
        <f>'附件4-1套内1'!M326</f>
        <v>0.1</v>
      </c>
      <c r="K204" s="567"/>
      <c r="L204" s="567"/>
      <c r="M204" s="567"/>
      <c r="N204" s="403">
        <f>N202*$J204</f>
        <v>931.07896376239989</v>
      </c>
      <c r="O204" s="403">
        <f t="shared" ref="O204" si="75">O202*$J204</f>
        <v>1179.855244821</v>
      </c>
      <c r="P204" s="407"/>
      <c r="Q204" s="354"/>
      <c r="R204" s="354"/>
      <c r="S204" s="354"/>
      <c r="T204" s="354"/>
      <c r="U204" s="354"/>
    </row>
    <row r="205" spans="1:21" ht="21" customHeight="1">
      <c r="A205" s="300"/>
      <c r="B205" s="689" t="s">
        <v>570</v>
      </c>
      <c r="C205" s="431" t="s">
        <v>571</v>
      </c>
      <c r="D205" s="689"/>
      <c r="E205" s="572"/>
      <c r="F205" s="572"/>
      <c r="G205" s="572"/>
      <c r="H205" s="426"/>
      <c r="I205" s="572"/>
      <c r="J205" s="712">
        <f>'附件4-1套内1'!M327</f>
        <v>0.1</v>
      </c>
      <c r="K205" s="567"/>
      <c r="L205" s="567"/>
      <c r="M205" s="567"/>
      <c r="N205" s="403">
        <f>(N201-N202)*$J205</f>
        <v>510.38506015999997</v>
      </c>
      <c r="O205" s="403">
        <f t="shared" ref="O205" si="76">(O201-O202)*$J205</f>
        <v>635.89319360000036</v>
      </c>
      <c r="P205" s="407"/>
      <c r="Q205" s="354"/>
      <c r="R205" s="354"/>
      <c r="S205" s="354"/>
      <c r="T205" s="354"/>
      <c r="U205" s="354"/>
    </row>
    <row r="206" spans="1:21" ht="21" customHeight="1">
      <c r="A206" s="300"/>
      <c r="B206" s="689" t="s">
        <v>573</v>
      </c>
      <c r="C206" s="431" t="s">
        <v>1855</v>
      </c>
      <c r="D206" s="689"/>
      <c r="E206" s="572"/>
      <c r="F206" s="572"/>
      <c r="G206" s="572"/>
      <c r="H206" s="426"/>
      <c r="I206" s="572"/>
      <c r="J206" s="712">
        <f>J197</f>
        <v>0</v>
      </c>
      <c r="K206" s="567"/>
      <c r="L206" s="567"/>
      <c r="M206" s="567"/>
      <c r="N206" s="403">
        <f>N201*$J206</f>
        <v>0</v>
      </c>
      <c r="O206" s="403">
        <f t="shared" ref="O206" si="77">O201*$J206</f>
        <v>0</v>
      </c>
      <c r="P206" s="407"/>
      <c r="Q206" s="354"/>
      <c r="R206" s="354"/>
      <c r="S206" s="354"/>
      <c r="T206" s="354"/>
      <c r="U206" s="354"/>
    </row>
    <row r="207" spans="1:21" ht="21" customHeight="1">
      <c r="A207" s="300"/>
      <c r="B207" s="689" t="s">
        <v>575</v>
      </c>
      <c r="C207" s="431" t="s">
        <v>576</v>
      </c>
      <c r="D207" s="689"/>
      <c r="E207" s="572"/>
      <c r="F207" s="572"/>
      <c r="G207" s="572"/>
      <c r="H207" s="426"/>
      <c r="I207" s="572"/>
      <c r="J207" s="434">
        <f>J198</f>
        <v>3.4770000000000002E-2</v>
      </c>
      <c r="K207" s="567"/>
      <c r="L207" s="567"/>
      <c r="M207" s="567"/>
      <c r="N207" s="403">
        <f>(SUM(N201:N206)-N202)*$J207</f>
        <v>569.06283377136344</v>
      </c>
      <c r="O207" s="403">
        <f t="shared" ref="O207" si="78">(SUM(O201:O206)-O202)*$J207</f>
        <v>716.57931158435213</v>
      </c>
      <c r="P207" s="407"/>
      <c r="Q207" s="354"/>
      <c r="R207" s="354"/>
      <c r="S207" s="354"/>
      <c r="T207" s="354"/>
      <c r="U207" s="354"/>
    </row>
    <row r="208" spans="1:21" ht="21" customHeight="1">
      <c r="A208" s="300"/>
      <c r="B208" s="689" t="s">
        <v>577</v>
      </c>
      <c r="C208" s="431" t="s">
        <v>578</v>
      </c>
      <c r="D208" s="689"/>
      <c r="E208" s="572"/>
      <c r="F208" s="572"/>
      <c r="G208" s="572"/>
      <c r="H208" s="426"/>
      <c r="I208" s="572"/>
      <c r="J208" s="712"/>
      <c r="K208" s="567"/>
      <c r="L208" s="567"/>
      <c r="M208" s="567"/>
      <c r="N208" s="403">
        <f>SUM(N201:N207)-N202</f>
        <v>16935.55215707776</v>
      </c>
      <c r="O208" s="403">
        <f t="shared" ref="O208" si="79">SUM(O201:O207)-O202</f>
        <v>21325.705327815354</v>
      </c>
      <c r="P208" s="407"/>
      <c r="Q208" s="354"/>
      <c r="R208" s="354"/>
      <c r="S208" s="354"/>
      <c r="T208" s="354"/>
      <c r="U208" s="354"/>
    </row>
    <row r="209" spans="1:21" s="451" customFormat="1" ht="21" customHeight="1">
      <c r="A209" s="438"/>
      <c r="B209" s="685" t="s">
        <v>136</v>
      </c>
      <c r="C209" s="441" t="s">
        <v>807</v>
      </c>
      <c r="D209" s="685"/>
      <c r="E209" s="720"/>
      <c r="F209" s="720"/>
      <c r="G209" s="720"/>
      <c r="H209" s="447"/>
      <c r="I209" s="720"/>
      <c r="J209" s="727"/>
      <c r="K209" s="704"/>
      <c r="L209" s="704"/>
      <c r="M209" s="704"/>
      <c r="N209" s="684">
        <f>N199+N208</f>
        <v>73248.60116547026</v>
      </c>
      <c r="O209" s="684">
        <f t="shared" ref="O209" si="80">O199+O208</f>
        <v>65480.959842047552</v>
      </c>
      <c r="P209" s="413"/>
      <c r="Q209" s="464"/>
      <c r="R209" s="464"/>
      <c r="S209" s="464"/>
      <c r="T209" s="464"/>
      <c r="U209" s="464"/>
    </row>
  </sheetData>
  <sheetProtection formatCells="0" formatColumns="0" formatRows="0" insertRows="0" autoFilter="0"/>
  <protectedRanges>
    <protectedRange sqref="A168:XFD168 Q163:XFD163 A163:D163 N163:O163 A164:H167 J164:XFD167 A169:H179 J169:XFD179 A180:XFD183 A184:H190 J184:XFD190" name="区域4" securityDescriptor=""/>
    <protectedRange sqref="E3:I5 E25:I41 E44:I49 E76:I82 E84:I99 E101:I103 E105:I113 E115:I131 E133:I137 E139:I162 E164:I191 E8:I23 E51:I74" name="区域3" securityDescriptor=""/>
    <protectedRange sqref="B2" name="区域2" securityDescriptor=""/>
    <protectedRange sqref="B1" name="区域1" securityDescriptor=""/>
    <protectedRange sqref="E6:I6 Q4:U4 Q6:U6" name="区域1_1" securityDescriptor=""/>
  </protectedRanges>
  <autoFilter ref="A6:U209"/>
  <mergeCells count="24">
    <mergeCell ref="P37:P38"/>
    <mergeCell ref="P39:P40"/>
    <mergeCell ref="P44:P47"/>
    <mergeCell ref="Q3:R3"/>
    <mergeCell ref="F4:F6"/>
    <mergeCell ref="H4:H6"/>
    <mergeCell ref="E3:I3"/>
    <mergeCell ref="I4:I6"/>
    <mergeCell ref="T3:U3"/>
    <mergeCell ref="Q5:R5"/>
    <mergeCell ref="T5:U5"/>
    <mergeCell ref="B1:C1"/>
    <mergeCell ref="L4:L5"/>
    <mergeCell ref="M4:M5"/>
    <mergeCell ref="P3:P6"/>
    <mergeCell ref="B2:P2"/>
    <mergeCell ref="K3:M3"/>
    <mergeCell ref="N3:O3"/>
    <mergeCell ref="B3:B6"/>
    <mergeCell ref="C3:C6"/>
    <mergeCell ref="D3:D6"/>
    <mergeCell ref="J3:J5"/>
    <mergeCell ref="K4:K5"/>
    <mergeCell ref="O1:P1"/>
  </mergeCells>
  <phoneticPr fontId="7" type="noConversion"/>
  <conditionalFormatting sqref="K172">
    <cfRule type="cellIs" dxfId="31" priority="1" stopIfTrue="1" operator="equal">
      <formula>0</formula>
    </cfRule>
  </conditionalFormatting>
  <conditionalFormatting sqref="K176:K177">
    <cfRule type="cellIs" dxfId="30" priority="2" stopIfTrue="1" operator="equal">
      <formula>0</formula>
    </cfRule>
  </conditionalFormatting>
  <printOptions horizontalCentered="1"/>
  <pageMargins left="0.39370078740157483" right="0.19685039370078741" top="0.39370078740157483" bottom="0.39370078740157483" header="0.19685039370078741" footer="0.19685039370078741"/>
  <pageSetup paperSize="9" scale="58" fitToHeight="0" orientation="portrait" blackAndWhite="1" r:id="rId1"/>
  <headerFooter alignWithMargins="0">
    <oddFooter>&amp;C第 &amp;P 页，共 &amp;N 页</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indexed="13"/>
  </sheetPr>
  <dimension ref="A1:IU209"/>
  <sheetViews>
    <sheetView view="pageBreakPreview" zoomScaleSheetLayoutView="100" workbookViewId="0">
      <pane xSplit="4" ySplit="6" topLeftCell="E7" activePane="bottomRight" state="frozen"/>
      <selection pane="topRight"/>
      <selection pane="bottomLeft"/>
      <selection pane="bottomRight" activeCell="I11" sqref="I11"/>
    </sheetView>
  </sheetViews>
  <sheetFormatPr defaultColWidth="9.125" defaultRowHeight="14.25" outlineLevelCol="1"/>
  <cols>
    <col min="1" max="1" width="6.75" customWidth="1" outlineLevel="1"/>
    <col min="2" max="2" width="5.25" customWidth="1"/>
    <col min="3" max="3" width="45" customWidth="1"/>
    <col min="4" max="4" width="8.25" customWidth="1"/>
    <col min="5" max="12" width="8.25" customWidth="1" outlineLevel="1"/>
    <col min="13" max="13" width="10.125" customWidth="1"/>
    <col min="14" max="14" width="9.625" customWidth="1"/>
    <col min="15" max="16" width="9" customWidth="1"/>
    <col min="17" max="24" width="15.25" customWidth="1" outlineLevel="1"/>
    <col min="25" max="25" width="20.75" customWidth="1"/>
    <col min="26" max="33" width="7.75" customWidth="1" outlineLevel="1" collapsed="1"/>
    <col min="34" max="42" width="7.75" customWidth="1" outlineLevel="1"/>
    <col min="43" max="43" width="11.25" customWidth="1" outlineLevel="1"/>
    <col min="44" max="44" width="9" customWidth="1"/>
    <col min="45" max="45" width="9.125" customWidth="1"/>
    <col min="46" max="46" width="22.75" customWidth="1"/>
    <col min="47" max="47" width="9" customWidth="1"/>
    <col min="48" max="49" width="11.25" customWidth="1"/>
    <col min="50" max="52" width="9.125" customWidth="1"/>
    <col min="53" max="255" width="9" customWidth="1"/>
  </cols>
  <sheetData>
    <row r="1" spans="1:255" ht="18" customHeight="1">
      <c r="C1" s="198" t="s">
        <v>808</v>
      </c>
      <c r="T1" s="874" t="s">
        <v>196</v>
      </c>
      <c r="U1" s="874"/>
      <c r="V1" s="874"/>
      <c r="W1" s="874"/>
      <c r="X1" s="874"/>
      <c r="Y1" s="875"/>
      <c r="AQ1" s="296"/>
      <c r="AR1" s="296"/>
      <c r="AS1" s="296"/>
      <c r="AT1" s="296"/>
      <c r="AU1" s="296"/>
      <c r="AV1" s="296"/>
      <c r="AW1" s="296"/>
      <c r="AX1" s="296"/>
      <c r="AY1" s="342"/>
      <c r="AZ1" s="296"/>
      <c r="BA1" s="296"/>
      <c r="BB1" s="296"/>
      <c r="BC1" s="296"/>
      <c r="BD1" s="296"/>
      <c r="BE1" s="296"/>
      <c r="BF1" s="296"/>
      <c r="BG1" s="296"/>
      <c r="BH1" s="296"/>
      <c r="BI1" s="296"/>
      <c r="BJ1" s="296"/>
      <c r="BK1" s="296"/>
      <c r="BL1" s="296"/>
      <c r="BM1" s="296"/>
      <c r="BN1" s="296"/>
      <c r="BO1" s="296"/>
      <c r="BP1" s="296"/>
      <c r="BQ1" s="296"/>
      <c r="BR1" s="296"/>
      <c r="BS1" s="296"/>
      <c r="BT1" s="296"/>
      <c r="BU1" s="296"/>
      <c r="BV1" s="296"/>
      <c r="BW1" s="296"/>
      <c r="BX1" s="296"/>
      <c r="BY1" s="296"/>
      <c r="BZ1" s="296"/>
      <c r="CA1" s="296"/>
      <c r="CB1" s="296"/>
      <c r="CC1" s="296"/>
      <c r="CD1" s="296"/>
      <c r="CE1" s="296"/>
      <c r="CF1" s="296"/>
      <c r="CG1" s="296"/>
      <c r="CH1" s="296"/>
      <c r="CI1" s="296"/>
      <c r="CJ1" s="296"/>
      <c r="CK1" s="296"/>
      <c r="CL1" s="296"/>
      <c r="CM1" s="296"/>
      <c r="CN1" s="296"/>
      <c r="CO1" s="296"/>
      <c r="CP1" s="296"/>
      <c r="CQ1" s="296"/>
      <c r="CR1" s="296"/>
      <c r="CS1" s="296"/>
      <c r="CT1" s="296"/>
      <c r="CU1" s="296"/>
      <c r="CV1" s="296"/>
      <c r="CW1" s="296"/>
      <c r="CX1" s="296"/>
      <c r="CY1" s="296"/>
      <c r="CZ1" s="296"/>
      <c r="DA1" s="296"/>
      <c r="DB1" s="296"/>
      <c r="DC1" s="296"/>
      <c r="DD1" s="296"/>
      <c r="DE1" s="296"/>
      <c r="DF1" s="296"/>
      <c r="DG1" s="296"/>
      <c r="DH1" s="296"/>
      <c r="DI1" s="296"/>
      <c r="DJ1" s="296"/>
      <c r="DK1" s="296"/>
      <c r="DL1" s="296"/>
      <c r="DM1" s="296"/>
      <c r="DN1" s="296"/>
      <c r="DO1" s="296"/>
      <c r="DP1" s="296"/>
      <c r="DQ1" s="296"/>
      <c r="DR1" s="296"/>
      <c r="DS1" s="296"/>
      <c r="DT1" s="296"/>
      <c r="DU1" s="296"/>
      <c r="DV1" s="296"/>
      <c r="DW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296"/>
      <c r="EY1" s="296"/>
      <c r="EZ1" s="296"/>
      <c r="FA1" s="296"/>
      <c r="FB1" s="296"/>
      <c r="FC1" s="296"/>
      <c r="FD1" s="296"/>
      <c r="FE1" s="296"/>
      <c r="FF1" s="296"/>
      <c r="FG1" s="296"/>
      <c r="FH1" s="296"/>
      <c r="FI1" s="296"/>
      <c r="FJ1" s="296"/>
      <c r="FK1" s="296"/>
      <c r="FL1" s="296"/>
      <c r="FM1" s="296"/>
      <c r="FN1" s="296"/>
      <c r="FO1" s="296"/>
      <c r="FP1" s="296"/>
      <c r="FQ1" s="296"/>
      <c r="FR1" s="296"/>
      <c r="FS1" s="296"/>
      <c r="FT1" s="296"/>
      <c r="FU1" s="296"/>
      <c r="FV1" s="296"/>
      <c r="FW1" s="296"/>
      <c r="FX1" s="296"/>
      <c r="FY1" s="296"/>
      <c r="FZ1" s="296"/>
      <c r="GA1" s="296"/>
      <c r="GB1" s="296"/>
      <c r="GC1" s="296"/>
      <c r="GD1" s="296"/>
      <c r="GE1" s="296"/>
      <c r="GF1" s="296"/>
      <c r="GG1" s="296"/>
      <c r="GH1" s="296"/>
      <c r="GI1" s="296"/>
      <c r="GJ1" s="296"/>
      <c r="GK1" s="296"/>
      <c r="GL1" s="296"/>
      <c r="GM1" s="296"/>
      <c r="GN1" s="296"/>
      <c r="GO1" s="296"/>
      <c r="GP1" s="296"/>
      <c r="GQ1" s="296"/>
      <c r="GR1" s="296"/>
      <c r="GS1" s="296"/>
      <c r="GT1" s="296"/>
      <c r="GU1" s="296"/>
      <c r="GV1" s="296"/>
      <c r="GW1" s="296"/>
      <c r="GX1" s="296"/>
      <c r="GY1" s="296"/>
      <c r="GZ1" s="296"/>
      <c r="HA1" s="296"/>
      <c r="HB1" s="296"/>
      <c r="HC1" s="296"/>
      <c r="HD1" s="296"/>
      <c r="HE1" s="296"/>
      <c r="HF1" s="296"/>
      <c r="HG1" s="296"/>
      <c r="HH1" s="296"/>
      <c r="HI1" s="296"/>
      <c r="HJ1" s="296"/>
      <c r="HK1" s="296"/>
      <c r="HL1" s="296"/>
      <c r="HM1" s="296"/>
      <c r="HN1" s="296"/>
      <c r="HO1" s="296"/>
      <c r="HP1" s="296"/>
      <c r="HQ1" s="296"/>
      <c r="HR1" s="296"/>
      <c r="HS1" s="296"/>
      <c r="HT1" s="296"/>
      <c r="HU1" s="296"/>
      <c r="HV1" s="296"/>
      <c r="HW1" s="296"/>
      <c r="HX1" s="296"/>
      <c r="HY1" s="296"/>
      <c r="HZ1" s="296"/>
      <c r="IA1" s="296"/>
      <c r="IB1" s="296"/>
      <c r="IC1" s="296"/>
      <c r="ID1" s="296"/>
      <c r="IE1" s="296"/>
      <c r="IF1" s="296"/>
      <c r="IG1" s="296"/>
      <c r="IH1" s="296"/>
      <c r="II1" s="296"/>
      <c r="IJ1" s="296"/>
      <c r="IK1" s="296"/>
      <c r="IL1" s="296"/>
      <c r="IM1" s="296"/>
      <c r="IN1" s="296"/>
      <c r="IO1" s="296"/>
      <c r="IP1" s="296"/>
      <c r="IQ1" s="296"/>
      <c r="IR1" s="296"/>
      <c r="IS1" s="296"/>
      <c r="IT1" s="296"/>
      <c r="IU1" s="296"/>
    </row>
    <row r="2" spans="1:255" ht="30.75" customHeight="1">
      <c r="B2" s="852" t="s">
        <v>809</v>
      </c>
      <c r="C2" s="852"/>
      <c r="D2" s="852"/>
      <c r="E2" s="852"/>
      <c r="F2" s="852"/>
      <c r="G2" s="852"/>
      <c r="H2" s="852"/>
      <c r="I2" s="852"/>
      <c r="J2" s="852"/>
      <c r="K2" s="852"/>
      <c r="L2" s="852"/>
      <c r="M2" s="852"/>
      <c r="N2" s="852"/>
      <c r="O2" s="852"/>
      <c r="P2" s="852"/>
      <c r="Q2" s="852"/>
      <c r="R2" s="852"/>
      <c r="S2" s="852"/>
      <c r="T2" s="852"/>
      <c r="U2" s="852"/>
      <c r="V2" s="852"/>
      <c r="W2" s="852"/>
      <c r="X2" s="852"/>
      <c r="Y2" s="852"/>
      <c r="Z2" s="336"/>
      <c r="AA2" s="336"/>
      <c r="AB2" s="336"/>
      <c r="AC2" s="336"/>
      <c r="AD2" s="336"/>
      <c r="AE2" s="336"/>
      <c r="AF2" s="336"/>
      <c r="AG2" s="336"/>
      <c r="AH2" s="336"/>
      <c r="AI2" s="336"/>
      <c r="AJ2" s="336"/>
      <c r="AK2" s="336"/>
      <c r="AL2" s="336"/>
      <c r="AM2" s="336"/>
      <c r="AN2" s="336"/>
      <c r="AO2" s="336"/>
      <c r="AP2" s="336"/>
      <c r="AQ2" s="296"/>
      <c r="AR2" s="296"/>
      <c r="AS2" s="296"/>
      <c r="AT2" s="296"/>
      <c r="AU2" s="296"/>
      <c r="AV2" s="296"/>
      <c r="AW2" s="296"/>
      <c r="AX2" s="296"/>
      <c r="AY2" s="342"/>
      <c r="AZ2" s="296"/>
      <c r="BA2" s="296"/>
      <c r="BB2" s="296"/>
      <c r="BC2" s="296"/>
      <c r="BD2" s="296"/>
      <c r="BE2" s="296"/>
      <c r="BF2" s="296"/>
      <c r="BG2" s="296"/>
      <c r="BH2" s="296"/>
      <c r="BI2" s="296"/>
      <c r="BJ2" s="296"/>
      <c r="BK2" s="296"/>
      <c r="BL2" s="296"/>
      <c r="BM2" s="296"/>
      <c r="BN2" s="296"/>
      <c r="BO2" s="296"/>
      <c r="BP2" s="296"/>
      <c r="BQ2" s="296"/>
      <c r="BR2" s="296"/>
      <c r="BS2" s="296"/>
      <c r="BT2" s="296"/>
      <c r="BU2" s="296"/>
      <c r="BV2" s="296"/>
      <c r="BW2" s="296"/>
      <c r="BX2" s="296"/>
      <c r="BY2" s="296"/>
      <c r="BZ2" s="296"/>
      <c r="CA2" s="296"/>
      <c r="CB2" s="296"/>
      <c r="CC2" s="296"/>
      <c r="CD2" s="296"/>
      <c r="CE2" s="296"/>
      <c r="CF2" s="296"/>
      <c r="CG2" s="296"/>
      <c r="CH2" s="296"/>
      <c r="CI2" s="296"/>
      <c r="CJ2" s="296"/>
      <c r="CK2" s="296"/>
      <c r="CL2" s="296"/>
      <c r="CM2" s="296"/>
      <c r="CN2" s="296"/>
      <c r="CO2" s="296"/>
      <c r="CP2" s="296"/>
      <c r="CQ2" s="296"/>
      <c r="CR2" s="296"/>
      <c r="CS2" s="296"/>
      <c r="CT2" s="296"/>
      <c r="CU2" s="296"/>
      <c r="CV2" s="296"/>
      <c r="CW2" s="296"/>
      <c r="CX2" s="296"/>
      <c r="CY2" s="296"/>
      <c r="CZ2" s="296"/>
      <c r="DA2" s="296"/>
      <c r="DB2" s="296"/>
      <c r="DC2" s="296"/>
      <c r="DD2" s="296"/>
      <c r="DE2" s="296"/>
      <c r="DF2" s="296"/>
      <c r="DG2" s="296"/>
      <c r="DH2" s="296"/>
      <c r="DI2" s="296"/>
      <c r="DJ2" s="296"/>
      <c r="DK2" s="296"/>
      <c r="DL2" s="296"/>
      <c r="DM2" s="296"/>
      <c r="DN2" s="296"/>
      <c r="DO2" s="296"/>
      <c r="DP2" s="296"/>
      <c r="DQ2" s="296"/>
      <c r="DR2" s="296"/>
      <c r="DS2" s="296"/>
      <c r="DT2" s="296"/>
      <c r="DU2" s="296"/>
      <c r="DV2" s="296"/>
      <c r="DW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296"/>
      <c r="EY2" s="296"/>
      <c r="EZ2" s="296"/>
      <c r="FA2" s="296"/>
      <c r="FB2" s="296"/>
      <c r="FC2" s="296"/>
      <c r="FD2" s="296"/>
      <c r="FE2" s="296"/>
      <c r="FF2" s="296"/>
      <c r="FG2" s="296"/>
      <c r="FH2" s="296"/>
      <c r="FI2" s="296"/>
      <c r="FJ2" s="296"/>
      <c r="FK2" s="296"/>
      <c r="FL2" s="296"/>
      <c r="FM2" s="296"/>
      <c r="FN2" s="296"/>
      <c r="FO2" s="296"/>
      <c r="FP2" s="296"/>
      <c r="FQ2" s="296"/>
      <c r="FR2" s="296"/>
      <c r="FS2" s="296"/>
      <c r="FT2" s="296"/>
      <c r="FU2" s="296"/>
      <c r="FV2" s="296"/>
      <c r="FW2" s="296"/>
      <c r="FX2" s="296"/>
      <c r="FY2" s="296"/>
      <c r="FZ2" s="296"/>
      <c r="GA2" s="296"/>
      <c r="GB2" s="296"/>
      <c r="GC2" s="296"/>
      <c r="GD2" s="296"/>
      <c r="GE2" s="296"/>
      <c r="GF2" s="296"/>
      <c r="GG2" s="296"/>
      <c r="GH2" s="296"/>
      <c r="GI2" s="296"/>
      <c r="GJ2" s="296"/>
      <c r="GK2" s="296"/>
      <c r="GL2" s="296"/>
      <c r="GM2" s="296"/>
      <c r="GN2" s="296"/>
      <c r="GO2" s="296"/>
      <c r="GP2" s="296"/>
      <c r="GQ2" s="296"/>
      <c r="GR2" s="296"/>
      <c r="GS2" s="296"/>
      <c r="GT2" s="296"/>
      <c r="GU2" s="296"/>
      <c r="GV2" s="296"/>
      <c r="GW2" s="296"/>
      <c r="GX2" s="296"/>
      <c r="GY2" s="296"/>
      <c r="GZ2" s="296"/>
      <c r="HA2" s="296"/>
      <c r="HB2" s="296"/>
      <c r="HC2" s="296"/>
      <c r="HD2" s="296"/>
      <c r="HE2" s="296"/>
      <c r="HF2" s="296"/>
      <c r="HG2" s="296"/>
      <c r="HH2" s="296"/>
      <c r="HI2" s="296"/>
      <c r="HJ2" s="296"/>
      <c r="HK2" s="296"/>
      <c r="HL2" s="296"/>
      <c r="HM2" s="296"/>
      <c r="HN2" s="296"/>
      <c r="HO2" s="296"/>
      <c r="HP2" s="296"/>
      <c r="HQ2" s="296"/>
      <c r="HR2" s="296"/>
      <c r="HS2" s="296"/>
      <c r="HT2" s="296"/>
      <c r="HU2" s="296"/>
      <c r="HV2" s="296"/>
      <c r="HW2" s="296"/>
      <c r="HX2" s="296"/>
      <c r="HY2" s="296"/>
      <c r="HZ2" s="296"/>
      <c r="IA2" s="296"/>
      <c r="IB2" s="296"/>
      <c r="IC2" s="296"/>
      <c r="ID2" s="296"/>
      <c r="IE2" s="296"/>
      <c r="IF2" s="296"/>
      <c r="IG2" s="296"/>
      <c r="IH2" s="296"/>
      <c r="II2" s="296"/>
      <c r="IJ2" s="296"/>
      <c r="IK2" s="296"/>
      <c r="IL2" s="296"/>
      <c r="IM2" s="296"/>
      <c r="IN2" s="296"/>
      <c r="IO2" s="296"/>
      <c r="IP2" s="296"/>
      <c r="IQ2" s="296"/>
      <c r="IR2" s="296"/>
      <c r="IS2" s="296"/>
      <c r="IT2" s="296"/>
      <c r="IU2" s="296"/>
    </row>
    <row r="3" spans="1:255" ht="27" customHeight="1">
      <c r="A3" s="299"/>
      <c r="B3" s="883" t="s">
        <v>54</v>
      </c>
      <c r="C3" s="883" t="s">
        <v>591</v>
      </c>
      <c r="D3" s="883" t="s">
        <v>198</v>
      </c>
      <c r="E3" s="876" t="s">
        <v>199</v>
      </c>
      <c r="F3" s="877"/>
      <c r="G3" s="877"/>
      <c r="H3" s="877"/>
      <c r="I3" s="877"/>
      <c r="J3" s="877"/>
      <c r="K3" s="877"/>
      <c r="L3" s="878"/>
      <c r="M3" s="879" t="s">
        <v>200</v>
      </c>
      <c r="N3" s="879" t="s">
        <v>592</v>
      </c>
      <c r="O3" s="879"/>
      <c r="P3" s="879"/>
      <c r="Q3" s="880" t="s">
        <v>202</v>
      </c>
      <c r="R3" s="881"/>
      <c r="S3" s="881"/>
      <c r="T3" s="881"/>
      <c r="U3" s="881"/>
      <c r="V3" s="881"/>
      <c r="W3" s="881"/>
      <c r="X3" s="882"/>
      <c r="Y3" s="883" t="s">
        <v>57</v>
      </c>
      <c r="Z3" s="337"/>
      <c r="AA3" s="337"/>
      <c r="AB3" s="337"/>
      <c r="AC3" s="337"/>
      <c r="AD3" s="337"/>
      <c r="AE3" s="337"/>
      <c r="AF3" s="337"/>
      <c r="AG3" s="337"/>
      <c r="AH3" s="337"/>
      <c r="AI3" s="337"/>
      <c r="AJ3" s="337"/>
      <c r="AK3" s="337"/>
      <c r="AL3" s="337"/>
      <c r="AM3" s="337"/>
      <c r="AN3" s="337"/>
      <c r="AO3" s="337"/>
      <c r="AP3" s="337"/>
      <c r="AQ3" s="296"/>
      <c r="AR3" s="296"/>
      <c r="AS3" s="297" t="s">
        <v>54</v>
      </c>
      <c r="AT3" s="297" t="s">
        <v>591</v>
      </c>
      <c r="AU3" s="297" t="s">
        <v>198</v>
      </c>
      <c r="AV3" s="297" t="s">
        <v>200</v>
      </c>
      <c r="AW3" s="297" t="s">
        <v>592</v>
      </c>
      <c r="AX3" s="297"/>
      <c r="AY3" s="343"/>
      <c r="AZ3" s="297"/>
      <c r="BA3" s="296"/>
      <c r="BB3" s="296"/>
      <c r="BC3" s="296"/>
      <c r="BD3" s="296"/>
      <c r="BE3" s="296"/>
      <c r="BF3" s="296"/>
      <c r="BG3" s="296"/>
      <c r="BH3" s="296"/>
      <c r="BI3" s="296"/>
      <c r="BJ3" s="296"/>
      <c r="BK3" s="296"/>
      <c r="BL3" s="296"/>
      <c r="BM3" s="296"/>
      <c r="BN3" s="296"/>
      <c r="BO3" s="296"/>
      <c r="BP3" s="296"/>
      <c r="BQ3" s="296"/>
      <c r="BR3" s="296"/>
      <c r="BS3" s="296"/>
      <c r="BT3" s="296"/>
      <c r="BU3" s="296"/>
      <c r="BV3" s="296"/>
      <c r="BW3" s="296"/>
      <c r="BX3" s="296"/>
      <c r="BY3" s="296"/>
      <c r="BZ3" s="296"/>
      <c r="CA3" s="296"/>
      <c r="CB3" s="296"/>
      <c r="CC3" s="296"/>
      <c r="CD3" s="296"/>
      <c r="CE3" s="296"/>
      <c r="CF3" s="296"/>
      <c r="CG3" s="296"/>
      <c r="CH3" s="296"/>
      <c r="CI3" s="296"/>
      <c r="CJ3" s="296"/>
      <c r="CK3" s="296"/>
      <c r="CL3" s="296"/>
      <c r="CM3" s="296"/>
      <c r="CN3" s="296"/>
      <c r="CO3" s="296"/>
      <c r="CP3" s="296"/>
      <c r="CQ3" s="296"/>
      <c r="CR3" s="296"/>
      <c r="CS3" s="296"/>
      <c r="CT3" s="296"/>
      <c r="CU3" s="296"/>
      <c r="CV3" s="296"/>
      <c r="CW3" s="296"/>
      <c r="CX3" s="296"/>
      <c r="CY3" s="296"/>
      <c r="CZ3" s="296"/>
      <c r="DA3" s="296"/>
      <c r="DB3" s="296"/>
      <c r="DC3" s="296"/>
      <c r="DD3" s="296"/>
      <c r="DE3" s="296"/>
      <c r="DF3" s="296"/>
      <c r="DG3" s="296"/>
      <c r="DH3" s="296"/>
      <c r="DI3" s="296"/>
      <c r="DJ3" s="296"/>
      <c r="DK3" s="296"/>
      <c r="DL3" s="296"/>
      <c r="DM3" s="296"/>
      <c r="DN3" s="296"/>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296"/>
      <c r="EY3" s="296"/>
      <c r="EZ3" s="296"/>
      <c r="FA3" s="296"/>
      <c r="FB3" s="296"/>
      <c r="FC3" s="296"/>
      <c r="FD3" s="296"/>
      <c r="FE3" s="296"/>
      <c r="FF3" s="296"/>
      <c r="FG3" s="296"/>
      <c r="FH3" s="296"/>
      <c r="FI3" s="296"/>
      <c r="FJ3" s="296"/>
      <c r="FK3" s="296"/>
      <c r="FL3" s="296"/>
      <c r="FM3" s="296"/>
      <c r="FN3" s="296"/>
      <c r="FO3" s="296"/>
      <c r="FP3" s="296"/>
      <c r="FQ3" s="296"/>
      <c r="FR3" s="296"/>
      <c r="FS3" s="296"/>
      <c r="FT3" s="296"/>
      <c r="FU3" s="296"/>
      <c r="FV3" s="296"/>
      <c r="FW3" s="296"/>
      <c r="FX3" s="296"/>
      <c r="FY3" s="296"/>
      <c r="FZ3" s="296"/>
      <c r="GA3" s="296"/>
      <c r="GB3" s="296"/>
      <c r="GC3" s="296"/>
      <c r="GD3" s="296"/>
      <c r="GE3" s="296"/>
      <c r="GF3" s="296"/>
      <c r="GG3" s="296"/>
      <c r="GH3" s="296"/>
      <c r="GI3" s="296"/>
      <c r="GJ3" s="296"/>
      <c r="GK3" s="296"/>
      <c r="GL3" s="296"/>
      <c r="GM3" s="296"/>
      <c r="GN3" s="296"/>
      <c r="GO3" s="296"/>
      <c r="GP3" s="296"/>
      <c r="GQ3" s="296"/>
      <c r="GR3" s="296"/>
      <c r="GS3" s="296"/>
      <c r="GT3" s="296"/>
      <c r="GU3" s="296"/>
      <c r="GV3" s="296"/>
      <c r="GW3" s="296"/>
      <c r="GX3" s="296"/>
      <c r="GY3" s="296"/>
      <c r="GZ3" s="296"/>
      <c r="HA3" s="296"/>
      <c r="HB3" s="296"/>
      <c r="HC3" s="296"/>
      <c r="HD3" s="296"/>
      <c r="HE3" s="296"/>
      <c r="HF3" s="296"/>
      <c r="HG3" s="296"/>
      <c r="HH3" s="296"/>
      <c r="HI3" s="296"/>
      <c r="HJ3" s="296"/>
      <c r="HK3" s="296"/>
      <c r="HL3" s="296"/>
      <c r="HM3" s="296"/>
      <c r="HN3" s="296"/>
      <c r="HO3" s="296"/>
      <c r="HP3" s="296"/>
      <c r="HQ3" s="296"/>
      <c r="HR3" s="296"/>
      <c r="HS3" s="296"/>
      <c r="HT3" s="296"/>
      <c r="HU3" s="296"/>
      <c r="HV3" s="296"/>
      <c r="HW3" s="296"/>
      <c r="HX3" s="296"/>
      <c r="HY3" s="296"/>
      <c r="HZ3" s="296"/>
      <c r="IA3" s="296"/>
      <c r="IB3" s="296"/>
      <c r="IC3" s="296"/>
      <c r="ID3" s="296"/>
      <c r="IE3" s="296"/>
      <c r="IF3" s="296"/>
      <c r="IG3" s="296"/>
      <c r="IH3" s="296"/>
      <c r="II3" s="296"/>
      <c r="IJ3" s="296"/>
      <c r="IK3" s="296"/>
      <c r="IL3" s="296"/>
      <c r="IM3" s="296"/>
      <c r="IN3" s="296"/>
      <c r="IO3" s="296"/>
      <c r="IP3" s="296"/>
      <c r="IQ3" s="296"/>
      <c r="IR3" s="296"/>
      <c r="IS3" s="296"/>
      <c r="IT3" s="296"/>
      <c r="IU3" s="296"/>
    </row>
    <row r="4" spans="1:255" ht="22.5">
      <c r="A4" s="300"/>
      <c r="B4" s="884"/>
      <c r="C4" s="884"/>
      <c r="D4" s="884"/>
      <c r="E4" s="330"/>
      <c r="F4" s="330"/>
      <c r="G4" s="330"/>
      <c r="H4" s="330"/>
      <c r="I4" s="330"/>
      <c r="J4" s="330"/>
      <c r="K4" s="330"/>
      <c r="L4" s="330"/>
      <c r="M4" s="879"/>
      <c r="N4" s="890" t="s">
        <v>203</v>
      </c>
      <c r="O4" s="890" t="s">
        <v>204</v>
      </c>
      <c r="P4" s="890" t="s">
        <v>205</v>
      </c>
      <c r="Q4" s="205">
        <f>+E4</f>
        <v>0</v>
      </c>
      <c r="R4" s="205">
        <f t="shared" ref="R4" si="0">+F4</f>
        <v>0</v>
      </c>
      <c r="S4" s="205">
        <f t="shared" ref="S4:X5" si="1">+G4</f>
        <v>0</v>
      </c>
      <c r="T4" s="205">
        <f t="shared" si="1"/>
        <v>0</v>
      </c>
      <c r="U4" s="205">
        <f t="shared" si="1"/>
        <v>0</v>
      </c>
      <c r="V4" s="205">
        <f t="shared" si="1"/>
        <v>0</v>
      </c>
      <c r="W4" s="205">
        <f t="shared" si="1"/>
        <v>0</v>
      </c>
      <c r="X4" s="205">
        <f t="shared" si="1"/>
        <v>0</v>
      </c>
      <c r="Y4" s="884"/>
      <c r="Z4" s="886" t="s">
        <v>593</v>
      </c>
      <c r="AA4" s="887"/>
      <c r="AB4" s="887"/>
      <c r="AC4" s="887"/>
      <c r="AD4" s="887"/>
      <c r="AE4" s="887"/>
      <c r="AF4" s="887"/>
      <c r="AG4" s="887"/>
      <c r="AH4" s="214"/>
      <c r="AI4" s="888" t="s">
        <v>208</v>
      </c>
      <c r="AJ4" s="888"/>
      <c r="AK4" s="888"/>
      <c r="AL4" s="888"/>
      <c r="AM4" s="888"/>
      <c r="AN4" s="888"/>
      <c r="AO4" s="888"/>
      <c r="AP4" s="888"/>
      <c r="AS4" s="165"/>
      <c r="AT4" s="165"/>
      <c r="AU4" s="165"/>
      <c r="AV4" s="165"/>
      <c r="AW4" s="165" t="s">
        <v>203</v>
      </c>
      <c r="AX4" s="165" t="s">
        <v>204</v>
      </c>
      <c r="AY4" s="328" t="s">
        <v>205</v>
      </c>
      <c r="AZ4" s="165"/>
    </row>
    <row r="5" spans="1:255">
      <c r="A5" s="300"/>
      <c r="B5" s="884"/>
      <c r="C5" s="884"/>
      <c r="D5" s="884"/>
      <c r="E5" s="330"/>
      <c r="F5" s="330"/>
      <c r="G5" s="330"/>
      <c r="H5" s="330"/>
      <c r="I5" s="330"/>
      <c r="J5" s="330"/>
      <c r="K5" s="330"/>
      <c r="L5" s="330"/>
      <c r="M5" s="879"/>
      <c r="N5" s="891"/>
      <c r="O5" s="891"/>
      <c r="P5" s="891"/>
      <c r="Q5" s="205">
        <f>+E5</f>
        <v>0</v>
      </c>
      <c r="R5" s="205">
        <f>+F5</f>
        <v>0</v>
      </c>
      <c r="S5" s="205">
        <f t="shared" si="1"/>
        <v>0</v>
      </c>
      <c r="T5" s="205">
        <f t="shared" si="1"/>
        <v>0</v>
      </c>
      <c r="U5" s="205">
        <f t="shared" si="1"/>
        <v>0</v>
      </c>
      <c r="V5" s="205">
        <f t="shared" si="1"/>
        <v>0</v>
      </c>
      <c r="W5" s="205">
        <f t="shared" si="1"/>
        <v>0</v>
      </c>
      <c r="X5" s="205">
        <f t="shared" si="1"/>
        <v>0</v>
      </c>
      <c r="Y5" s="884"/>
      <c r="Z5" s="208"/>
      <c r="AA5" s="208"/>
      <c r="AB5" s="208"/>
      <c r="AC5" s="208"/>
      <c r="AD5" s="208"/>
      <c r="AE5" s="208"/>
      <c r="AF5" s="208"/>
      <c r="AG5" s="208"/>
      <c r="AH5" s="215"/>
      <c r="AI5" s="208"/>
      <c r="AJ5" s="208"/>
      <c r="AK5" s="208"/>
      <c r="AL5" s="208"/>
      <c r="AM5" s="208"/>
      <c r="AN5" s="208"/>
      <c r="AO5" s="208"/>
      <c r="AP5" s="208"/>
      <c r="AS5" s="165"/>
      <c r="AT5" s="165"/>
      <c r="AU5" s="165"/>
      <c r="AV5" s="165"/>
      <c r="AW5" s="165"/>
      <c r="AX5" s="165"/>
      <c r="AY5" s="328"/>
      <c r="AZ5" s="165"/>
    </row>
    <row r="6" spans="1:255" ht="22.5">
      <c r="A6" s="300"/>
      <c r="B6" s="889"/>
      <c r="C6" s="889"/>
      <c r="D6" s="889"/>
      <c r="E6" s="301" t="s">
        <v>209</v>
      </c>
      <c r="F6" s="301" t="s">
        <v>210</v>
      </c>
      <c r="G6" s="301" t="s">
        <v>211</v>
      </c>
      <c r="H6" s="301" t="s">
        <v>212</v>
      </c>
      <c r="I6" s="301" t="s">
        <v>213</v>
      </c>
      <c r="J6" s="301" t="s">
        <v>214</v>
      </c>
      <c r="K6" s="301" t="s">
        <v>215</v>
      </c>
      <c r="L6" s="301" t="s">
        <v>216</v>
      </c>
      <c r="M6" s="333" t="s">
        <v>206</v>
      </c>
      <c r="N6" s="311" t="s">
        <v>217</v>
      </c>
      <c r="O6" s="311" t="s">
        <v>218</v>
      </c>
      <c r="P6" s="311" t="s">
        <v>219</v>
      </c>
      <c r="Q6" s="201" t="s">
        <v>220</v>
      </c>
      <c r="R6" s="201" t="s">
        <v>221</v>
      </c>
      <c r="S6" s="201" t="s">
        <v>222</v>
      </c>
      <c r="T6" s="201" t="s">
        <v>223</v>
      </c>
      <c r="U6" s="201" t="s">
        <v>224</v>
      </c>
      <c r="V6" s="201" t="s">
        <v>225</v>
      </c>
      <c r="W6" s="201" t="s">
        <v>226</v>
      </c>
      <c r="X6" s="201" t="s">
        <v>227</v>
      </c>
      <c r="Y6" s="889"/>
      <c r="Z6" s="208" t="s">
        <v>209</v>
      </c>
      <c r="AA6" s="208" t="s">
        <v>210</v>
      </c>
      <c r="AB6" s="208" t="s">
        <v>211</v>
      </c>
      <c r="AC6" s="208" t="s">
        <v>212</v>
      </c>
      <c r="AD6" s="208" t="s">
        <v>213</v>
      </c>
      <c r="AE6" s="208" t="s">
        <v>214</v>
      </c>
      <c r="AF6" s="208" t="s">
        <v>215</v>
      </c>
      <c r="AG6" s="208" t="s">
        <v>216</v>
      </c>
      <c r="AH6" s="216"/>
      <c r="AI6" s="208" t="s">
        <v>209</v>
      </c>
      <c r="AJ6" s="208" t="s">
        <v>210</v>
      </c>
      <c r="AK6" s="208" t="s">
        <v>211</v>
      </c>
      <c r="AL6" s="208" t="s">
        <v>212</v>
      </c>
      <c r="AM6" s="208" t="s">
        <v>213</v>
      </c>
      <c r="AN6" s="208" t="s">
        <v>214</v>
      </c>
      <c r="AO6" s="208" t="s">
        <v>215</v>
      </c>
      <c r="AP6" s="208" t="s">
        <v>216</v>
      </c>
      <c r="AS6" s="165"/>
      <c r="AT6" s="165"/>
      <c r="AU6" s="165"/>
      <c r="AV6" s="165" t="s">
        <v>206</v>
      </c>
      <c r="AW6" s="165" t="s">
        <v>217</v>
      </c>
      <c r="AX6" s="165" t="s">
        <v>218</v>
      </c>
      <c r="AY6" s="328" t="s">
        <v>219</v>
      </c>
      <c r="AZ6" s="165"/>
    </row>
    <row r="7" spans="1:255" ht="18.75" customHeight="1">
      <c r="A7" s="300"/>
      <c r="B7" s="129" t="s">
        <v>58</v>
      </c>
      <c r="C7" s="196" t="s">
        <v>229</v>
      </c>
      <c r="D7" s="129"/>
      <c r="E7" s="189"/>
      <c r="F7" s="189"/>
      <c r="G7" s="189"/>
      <c r="H7" s="189"/>
      <c r="I7" s="189"/>
      <c r="J7" s="189"/>
      <c r="K7" s="189"/>
      <c r="L7" s="189"/>
      <c r="M7" s="334"/>
      <c r="N7" s="318"/>
      <c r="O7" s="335"/>
      <c r="P7" s="318"/>
      <c r="Q7" s="201"/>
      <c r="R7" s="201"/>
      <c r="S7" s="201"/>
      <c r="T7" s="201"/>
      <c r="U7" s="201"/>
      <c r="V7" s="201"/>
      <c r="W7" s="201"/>
      <c r="X7" s="201"/>
      <c r="Y7" s="192"/>
      <c r="Z7" s="338"/>
      <c r="AA7" s="338"/>
      <c r="AB7" s="338"/>
      <c r="AC7" s="338"/>
      <c r="AD7" s="338"/>
      <c r="AE7" s="338"/>
      <c r="AF7" s="338"/>
      <c r="AG7" s="338"/>
      <c r="AH7" s="338"/>
      <c r="AI7" s="338"/>
      <c r="AJ7" s="338"/>
      <c r="AK7" s="338"/>
      <c r="AL7" s="338"/>
      <c r="AM7" s="338"/>
      <c r="AN7" s="338"/>
      <c r="AO7" s="338"/>
      <c r="AP7" s="338"/>
      <c r="AS7" s="165" t="s">
        <v>58</v>
      </c>
      <c r="AT7" s="165" t="s">
        <v>229</v>
      </c>
      <c r="AU7" s="165"/>
      <c r="AV7" s="165"/>
      <c r="AW7" s="165"/>
      <c r="AX7" s="165"/>
      <c r="AY7" s="328"/>
      <c r="AZ7" s="165"/>
    </row>
    <row r="8" spans="1:255" ht="30.75" customHeight="1">
      <c r="A8" s="300"/>
      <c r="B8" s="129">
        <v>1</v>
      </c>
      <c r="C8" s="196" t="s">
        <v>597</v>
      </c>
      <c r="D8" s="129" t="s">
        <v>231</v>
      </c>
      <c r="E8" s="189"/>
      <c r="F8" s="189"/>
      <c r="G8" s="189"/>
      <c r="H8" s="189"/>
      <c r="I8" s="189"/>
      <c r="J8" s="189"/>
      <c r="K8" s="189"/>
      <c r="L8" s="189"/>
      <c r="M8" s="311">
        <f t="shared" ref="M8" si="2">N8+N8*O8%+P8</f>
        <v>87.995999999999995</v>
      </c>
      <c r="N8" s="311">
        <v>15</v>
      </c>
      <c r="O8" s="311">
        <v>10</v>
      </c>
      <c r="P8" s="311">
        <v>71.495999999999995</v>
      </c>
      <c r="Q8" s="139">
        <f t="shared" ref="Q8" si="3">E8*$M8</f>
        <v>0</v>
      </c>
      <c r="R8" s="139">
        <f>F8*$M8</f>
        <v>0</v>
      </c>
      <c r="S8" s="139">
        <f>G8*$M8</f>
        <v>0</v>
      </c>
      <c r="T8" s="139">
        <f>H8*$M8</f>
        <v>0</v>
      </c>
      <c r="U8" s="139">
        <f t="shared" ref="U8" si="4">I8*$M8</f>
        <v>0</v>
      </c>
      <c r="V8" s="139">
        <f t="shared" ref="V8:V23" si="5">J8*$M8</f>
        <v>0</v>
      </c>
      <c r="W8" s="139">
        <f t="shared" ref="W8:W23" si="6">K8*$M8</f>
        <v>0</v>
      </c>
      <c r="X8" s="139">
        <f t="shared" ref="X8:X23" si="7">L8*$M8</f>
        <v>0</v>
      </c>
      <c r="Y8" s="192"/>
      <c r="Z8" s="338"/>
      <c r="AA8" s="338"/>
      <c r="AB8" s="338"/>
      <c r="AC8" s="338"/>
      <c r="AD8" s="338"/>
      <c r="AE8" s="338"/>
      <c r="AF8" s="338"/>
      <c r="AG8" s="338"/>
      <c r="AH8" s="338"/>
      <c r="AI8" s="338"/>
      <c r="AJ8" s="338"/>
      <c r="AK8" s="338"/>
      <c r="AL8" s="338"/>
      <c r="AM8" s="338"/>
      <c r="AN8" s="338"/>
      <c r="AO8" s="338"/>
      <c r="AP8" s="338"/>
      <c r="AS8" s="165">
        <v>1</v>
      </c>
      <c r="AT8" s="165" t="s">
        <v>597</v>
      </c>
      <c r="AU8" s="165" t="s">
        <v>231</v>
      </c>
      <c r="AV8" s="165">
        <v>87.995999999999995</v>
      </c>
      <c r="AW8" s="165">
        <v>15</v>
      </c>
      <c r="AX8" s="165">
        <v>10</v>
      </c>
      <c r="AY8" s="328">
        <v>71.495999999999995</v>
      </c>
      <c r="AZ8" s="328">
        <f t="shared" ref="AZ8" si="8">AV8-M8</f>
        <v>0</v>
      </c>
    </row>
    <row r="9" spans="1:255" ht="30.75" customHeight="1">
      <c r="A9" s="300"/>
      <c r="B9" s="129">
        <v>2</v>
      </c>
      <c r="C9" s="196" t="s">
        <v>598</v>
      </c>
      <c r="D9" s="129" t="s">
        <v>231</v>
      </c>
      <c r="E9" s="151"/>
      <c r="F9" s="189"/>
      <c r="G9" s="189"/>
      <c r="H9" s="151"/>
      <c r="I9" s="189"/>
      <c r="J9" s="151"/>
      <c r="K9" s="189"/>
      <c r="L9" s="189"/>
      <c r="M9" s="311">
        <f>N9+N9*O9%+P9</f>
        <v>105.06</v>
      </c>
      <c r="N9" s="311">
        <v>15</v>
      </c>
      <c r="O9" s="311">
        <v>10</v>
      </c>
      <c r="P9" s="311">
        <v>88.56</v>
      </c>
      <c r="Q9" s="139">
        <f t="shared" ref="Q9" si="9">E9*$M9</f>
        <v>0</v>
      </c>
      <c r="R9" s="139">
        <f t="shared" ref="R9" si="10">F9*$M9</f>
        <v>0</v>
      </c>
      <c r="S9" s="139">
        <f t="shared" ref="S9" si="11">G9*$M9</f>
        <v>0</v>
      </c>
      <c r="T9" s="139">
        <f t="shared" ref="T9" si="12">H9*$M9</f>
        <v>0</v>
      </c>
      <c r="U9" s="139">
        <f t="shared" ref="U9:U23" si="13">I9*$M9</f>
        <v>0</v>
      </c>
      <c r="V9" s="139">
        <f t="shared" si="5"/>
        <v>0</v>
      </c>
      <c r="W9" s="139">
        <f t="shared" si="6"/>
        <v>0</v>
      </c>
      <c r="X9" s="139">
        <f t="shared" si="7"/>
        <v>0</v>
      </c>
      <c r="Y9" s="192"/>
      <c r="Z9" s="338"/>
      <c r="AA9" s="338"/>
      <c r="AB9" s="338"/>
      <c r="AC9" s="338"/>
      <c r="AD9" s="338"/>
      <c r="AE9" s="338"/>
      <c r="AF9" s="338"/>
      <c r="AG9" s="338"/>
      <c r="AH9" s="338"/>
      <c r="AI9" s="338"/>
      <c r="AJ9" s="338"/>
      <c r="AK9" s="338"/>
      <c r="AL9" s="338"/>
      <c r="AM9" s="338"/>
      <c r="AN9" s="338"/>
      <c r="AO9" s="338"/>
      <c r="AP9" s="338"/>
      <c r="AS9" s="165">
        <v>2</v>
      </c>
      <c r="AT9" s="165" t="s">
        <v>598</v>
      </c>
      <c r="AU9" s="165" t="s">
        <v>231</v>
      </c>
      <c r="AV9" s="165">
        <v>105.06</v>
      </c>
      <c r="AW9" s="165">
        <v>15</v>
      </c>
      <c r="AX9" s="165">
        <v>10</v>
      </c>
      <c r="AY9" s="328">
        <v>88.56</v>
      </c>
      <c r="AZ9" s="328">
        <f t="shared" ref="AZ9:AZ38" si="14">AV9-M9</f>
        <v>0</v>
      </c>
    </row>
    <row r="10" spans="1:255" ht="42" customHeight="1">
      <c r="A10" s="300"/>
      <c r="B10" s="129">
        <v>3</v>
      </c>
      <c r="C10" s="196" t="s">
        <v>599</v>
      </c>
      <c r="D10" s="129" t="s">
        <v>231</v>
      </c>
      <c r="E10" s="189"/>
      <c r="F10" s="189"/>
      <c r="G10" s="189"/>
      <c r="H10" s="189"/>
      <c r="I10" s="189"/>
      <c r="J10" s="189"/>
      <c r="K10" s="189"/>
      <c r="L10" s="189"/>
      <c r="M10" s="311">
        <f>N10+N10*O10%+P10</f>
        <v>79.14</v>
      </c>
      <c r="N10" s="311">
        <v>15</v>
      </c>
      <c r="O10" s="311">
        <v>10</v>
      </c>
      <c r="P10" s="311">
        <v>62.64</v>
      </c>
      <c r="Q10" s="139">
        <f t="shared" ref="Q10:T11" si="15">E10*$M10</f>
        <v>0</v>
      </c>
      <c r="R10" s="139">
        <f t="shared" si="15"/>
        <v>0</v>
      </c>
      <c r="S10" s="139">
        <f t="shared" si="15"/>
        <v>0</v>
      </c>
      <c r="T10" s="139">
        <f t="shared" si="15"/>
        <v>0</v>
      </c>
      <c r="U10" s="139">
        <f t="shared" si="13"/>
        <v>0</v>
      </c>
      <c r="V10" s="139">
        <f t="shared" si="5"/>
        <v>0</v>
      </c>
      <c r="W10" s="139">
        <f t="shared" si="6"/>
        <v>0</v>
      </c>
      <c r="X10" s="139">
        <f t="shared" si="7"/>
        <v>0</v>
      </c>
      <c r="Y10" s="192"/>
      <c r="Z10" s="338"/>
      <c r="AA10" s="338"/>
      <c r="AB10" s="338"/>
      <c r="AC10" s="338"/>
      <c r="AD10" s="338"/>
      <c r="AE10" s="338"/>
      <c r="AF10" s="338"/>
      <c r="AG10" s="338"/>
      <c r="AH10" s="338"/>
      <c r="AI10" s="338"/>
      <c r="AJ10" s="338"/>
      <c r="AK10" s="338"/>
      <c r="AL10" s="338"/>
      <c r="AM10" s="338"/>
      <c r="AN10" s="338"/>
      <c r="AO10" s="338"/>
      <c r="AP10" s="338"/>
      <c r="AS10" s="165">
        <v>3</v>
      </c>
      <c r="AT10" s="165" t="s">
        <v>599</v>
      </c>
      <c r="AU10" s="165" t="s">
        <v>231</v>
      </c>
      <c r="AV10" s="165">
        <v>79.14</v>
      </c>
      <c r="AW10" s="165">
        <v>15</v>
      </c>
      <c r="AX10" s="165">
        <v>10</v>
      </c>
      <c r="AY10" s="328">
        <v>62.64</v>
      </c>
      <c r="AZ10" s="328">
        <f t="shared" si="14"/>
        <v>0</v>
      </c>
    </row>
    <row r="11" spans="1:255" ht="38.25" customHeight="1">
      <c r="A11" s="300"/>
      <c r="B11" s="129">
        <v>4</v>
      </c>
      <c r="C11" s="196" t="s">
        <v>810</v>
      </c>
      <c r="D11" s="129" t="s">
        <v>231</v>
      </c>
      <c r="E11" s="151"/>
      <c r="F11" s="189"/>
      <c r="G11" s="189"/>
      <c r="H11" s="151"/>
      <c r="I11" s="189"/>
      <c r="J11" s="151"/>
      <c r="K11" s="189"/>
      <c r="L11" s="189"/>
      <c r="M11" s="311">
        <f>N11+N11*O11%+P11</f>
        <v>115.06</v>
      </c>
      <c r="N11" s="311">
        <v>15</v>
      </c>
      <c r="O11" s="311">
        <v>10</v>
      </c>
      <c r="P11" s="311">
        <f>88.56+10</f>
        <v>98.56</v>
      </c>
      <c r="Q11" s="139">
        <f t="shared" si="15"/>
        <v>0</v>
      </c>
      <c r="R11" s="139">
        <f t="shared" si="15"/>
        <v>0</v>
      </c>
      <c r="S11" s="139">
        <f t="shared" si="15"/>
        <v>0</v>
      </c>
      <c r="T11" s="139">
        <f t="shared" si="15"/>
        <v>0</v>
      </c>
      <c r="U11" s="139">
        <f t="shared" si="13"/>
        <v>0</v>
      </c>
      <c r="V11" s="139">
        <f t="shared" si="5"/>
        <v>0</v>
      </c>
      <c r="W11" s="139">
        <f t="shared" si="6"/>
        <v>0</v>
      </c>
      <c r="X11" s="139">
        <f t="shared" si="7"/>
        <v>0</v>
      </c>
      <c r="Y11" s="192"/>
      <c r="Z11" s="338"/>
      <c r="AA11" s="338"/>
      <c r="AB11" s="338"/>
      <c r="AC11" s="338"/>
      <c r="AD11" s="338"/>
      <c r="AE11" s="338"/>
      <c r="AF11" s="338"/>
      <c r="AG11" s="338"/>
      <c r="AH11" s="338"/>
      <c r="AI11" s="338"/>
      <c r="AJ11" s="338"/>
      <c r="AK11" s="338"/>
      <c r="AL11" s="338"/>
      <c r="AM11" s="338"/>
      <c r="AN11" s="338"/>
      <c r="AO11" s="338"/>
      <c r="AP11" s="338"/>
      <c r="AS11" s="165">
        <v>4</v>
      </c>
      <c r="AT11" s="165" t="s">
        <v>810</v>
      </c>
      <c r="AU11" s="165" t="s">
        <v>231</v>
      </c>
      <c r="AV11" s="165">
        <v>115.06</v>
      </c>
      <c r="AW11" s="165">
        <v>15</v>
      </c>
      <c r="AX11" s="165">
        <v>10</v>
      </c>
      <c r="AY11" s="328">
        <v>98.56</v>
      </c>
      <c r="AZ11" s="328">
        <f t="shared" si="14"/>
        <v>0</v>
      </c>
    </row>
    <row r="12" spans="1:255" ht="38.25" customHeight="1">
      <c r="A12" s="300" t="s">
        <v>317</v>
      </c>
      <c r="B12" s="129" t="s">
        <v>278</v>
      </c>
      <c r="C12" s="196" t="s">
        <v>810</v>
      </c>
      <c r="D12" s="129" t="s">
        <v>231</v>
      </c>
      <c r="E12" s="189"/>
      <c r="F12" s="189"/>
      <c r="G12" s="189"/>
      <c r="H12" s="189"/>
      <c r="I12" s="189"/>
      <c r="J12" s="189"/>
      <c r="K12" s="189"/>
      <c r="L12" s="189"/>
      <c r="M12" s="311">
        <f t="shared" ref="M12" si="16">N12+N12*O12%+P12</f>
        <v>98</v>
      </c>
      <c r="N12" s="311">
        <v>15</v>
      </c>
      <c r="O12" s="311">
        <v>10</v>
      </c>
      <c r="P12" s="311">
        <v>81.5</v>
      </c>
      <c r="Q12" s="139">
        <f t="shared" ref="Q12" si="17">E12*$M12</f>
        <v>0</v>
      </c>
      <c r="R12" s="139">
        <f t="shared" ref="R12" si="18">F12*$M12</f>
        <v>0</v>
      </c>
      <c r="S12" s="139">
        <f t="shared" ref="S12" si="19">G12*$M12</f>
        <v>0</v>
      </c>
      <c r="T12" s="139">
        <f t="shared" ref="T12" si="20">H12*$M12</f>
        <v>0</v>
      </c>
      <c r="U12" s="139">
        <f t="shared" si="13"/>
        <v>0</v>
      </c>
      <c r="V12" s="139">
        <f t="shared" si="5"/>
        <v>0</v>
      </c>
      <c r="W12" s="139">
        <f t="shared" si="6"/>
        <v>0</v>
      </c>
      <c r="X12" s="139">
        <f t="shared" si="7"/>
        <v>0</v>
      </c>
      <c r="Y12" s="192"/>
      <c r="Z12" s="338"/>
      <c r="AA12" s="338"/>
      <c r="AB12" s="338"/>
      <c r="AC12" s="338"/>
      <c r="AD12" s="338"/>
      <c r="AE12" s="338"/>
      <c r="AF12" s="338"/>
      <c r="AG12" s="338"/>
      <c r="AH12" s="338"/>
      <c r="AI12" s="338"/>
      <c r="AJ12" s="338"/>
      <c r="AK12" s="338"/>
      <c r="AL12" s="338"/>
      <c r="AM12" s="338"/>
      <c r="AN12" s="338"/>
      <c r="AO12" s="338"/>
      <c r="AP12" s="338"/>
      <c r="AS12" s="165">
        <v>4</v>
      </c>
      <c r="AT12" s="165" t="s">
        <v>810</v>
      </c>
      <c r="AU12" s="165" t="s">
        <v>231</v>
      </c>
      <c r="AV12" s="165">
        <v>115.06</v>
      </c>
      <c r="AW12" s="165">
        <v>15</v>
      </c>
      <c r="AX12" s="165">
        <v>10</v>
      </c>
      <c r="AY12" s="328">
        <v>98.56</v>
      </c>
      <c r="AZ12" s="328">
        <f t="shared" si="14"/>
        <v>17.060000000000002</v>
      </c>
    </row>
    <row r="13" spans="1:255" ht="29.25" customHeight="1">
      <c r="A13" s="300"/>
      <c r="B13" s="129">
        <v>5</v>
      </c>
      <c r="C13" s="196" t="s">
        <v>600</v>
      </c>
      <c r="D13" s="129" t="s">
        <v>231</v>
      </c>
      <c r="E13" s="151"/>
      <c r="F13" s="189"/>
      <c r="G13" s="189"/>
      <c r="H13" s="151"/>
      <c r="I13" s="189"/>
      <c r="J13" s="151"/>
      <c r="K13" s="189"/>
      <c r="L13" s="189"/>
      <c r="M13" s="311">
        <f t="shared" ref="M13:M25" si="21">N13+N13*O13%+P13</f>
        <v>125.896</v>
      </c>
      <c r="N13" s="311">
        <v>20</v>
      </c>
      <c r="O13" s="311">
        <v>10</v>
      </c>
      <c r="P13" s="311">
        <v>103.896</v>
      </c>
      <c r="Q13" s="139">
        <f t="shared" ref="Q13:Q38" si="22">E13*$M13</f>
        <v>0</v>
      </c>
      <c r="R13" s="139">
        <f t="shared" ref="R13:R38" si="23">F13*$M13</f>
        <v>0</v>
      </c>
      <c r="S13" s="139">
        <f t="shared" ref="S13:S38" si="24">G13*$M13</f>
        <v>0</v>
      </c>
      <c r="T13" s="139">
        <f t="shared" ref="T13:T38" si="25">H13*$M13</f>
        <v>0</v>
      </c>
      <c r="U13" s="139">
        <f t="shared" si="13"/>
        <v>0</v>
      </c>
      <c r="V13" s="139">
        <f t="shared" si="5"/>
        <v>0</v>
      </c>
      <c r="W13" s="139">
        <f t="shared" si="6"/>
        <v>0</v>
      </c>
      <c r="X13" s="139">
        <f t="shared" si="7"/>
        <v>0</v>
      </c>
      <c r="Y13" s="192"/>
      <c r="Z13" s="338"/>
      <c r="AA13" s="338"/>
      <c r="AB13" s="338"/>
      <c r="AC13" s="338"/>
      <c r="AD13" s="338"/>
      <c r="AE13" s="338"/>
      <c r="AF13" s="338"/>
      <c r="AG13" s="338"/>
      <c r="AH13" s="338"/>
      <c r="AI13" s="338"/>
      <c r="AJ13" s="338"/>
      <c r="AK13" s="338"/>
      <c r="AL13" s="338"/>
      <c r="AM13" s="338"/>
      <c r="AN13" s="338"/>
      <c r="AO13" s="338"/>
      <c r="AP13" s="338"/>
      <c r="AS13" s="165">
        <v>5</v>
      </c>
      <c r="AT13" s="165" t="s">
        <v>600</v>
      </c>
      <c r="AU13" s="165" t="s">
        <v>231</v>
      </c>
      <c r="AV13" s="165">
        <v>125.896</v>
      </c>
      <c r="AW13" s="165">
        <v>20</v>
      </c>
      <c r="AX13" s="165">
        <v>10</v>
      </c>
      <c r="AY13" s="328">
        <v>103.896</v>
      </c>
      <c r="AZ13" s="328">
        <f t="shared" si="14"/>
        <v>0</v>
      </c>
    </row>
    <row r="14" spans="1:255" ht="38.25" customHeight="1">
      <c r="A14" s="300"/>
      <c r="B14" s="129">
        <v>6</v>
      </c>
      <c r="C14" s="196" t="s">
        <v>601</v>
      </c>
      <c r="D14" s="129" t="s">
        <v>231</v>
      </c>
      <c r="E14" s="189"/>
      <c r="F14" s="189"/>
      <c r="G14" s="189"/>
      <c r="H14" s="189"/>
      <c r="I14" s="189"/>
      <c r="J14" s="189"/>
      <c r="K14" s="189"/>
      <c r="L14" s="189"/>
      <c r="M14" s="311">
        <f t="shared" si="21"/>
        <v>142.95999999999998</v>
      </c>
      <c r="N14" s="311">
        <v>20</v>
      </c>
      <c r="O14" s="311">
        <v>10</v>
      </c>
      <c r="P14" s="311">
        <v>120.96</v>
      </c>
      <c r="Q14" s="139">
        <f t="shared" si="22"/>
        <v>0</v>
      </c>
      <c r="R14" s="139">
        <f t="shared" si="23"/>
        <v>0</v>
      </c>
      <c r="S14" s="139">
        <f t="shared" si="24"/>
        <v>0</v>
      </c>
      <c r="T14" s="139">
        <f t="shared" si="25"/>
        <v>0</v>
      </c>
      <c r="U14" s="139">
        <f t="shared" si="13"/>
        <v>0</v>
      </c>
      <c r="V14" s="139">
        <f t="shared" si="5"/>
        <v>0</v>
      </c>
      <c r="W14" s="139">
        <f t="shared" si="6"/>
        <v>0</v>
      </c>
      <c r="X14" s="139">
        <f t="shared" si="7"/>
        <v>0</v>
      </c>
      <c r="Y14" s="192"/>
      <c r="Z14" s="338"/>
      <c r="AA14" s="338"/>
      <c r="AB14" s="338"/>
      <c r="AC14" s="338"/>
      <c r="AD14" s="338"/>
      <c r="AE14" s="338"/>
      <c r="AF14" s="338"/>
      <c r="AG14" s="338"/>
      <c r="AH14" s="338"/>
      <c r="AI14" s="338"/>
      <c r="AJ14" s="338"/>
      <c r="AK14" s="338"/>
      <c r="AL14" s="338"/>
      <c r="AM14" s="338"/>
      <c r="AN14" s="338"/>
      <c r="AO14" s="338"/>
      <c r="AP14" s="338"/>
      <c r="AS14" s="165">
        <v>6</v>
      </c>
      <c r="AT14" s="165" t="s">
        <v>601</v>
      </c>
      <c r="AU14" s="165" t="s">
        <v>231</v>
      </c>
      <c r="AV14" s="165">
        <v>142.96</v>
      </c>
      <c r="AW14" s="165">
        <v>20</v>
      </c>
      <c r="AX14" s="165">
        <v>10</v>
      </c>
      <c r="AY14" s="328">
        <v>120.96</v>
      </c>
      <c r="AZ14" s="328">
        <f t="shared" si="14"/>
        <v>0</v>
      </c>
    </row>
    <row r="15" spans="1:255" ht="38.25" customHeight="1">
      <c r="A15" s="300"/>
      <c r="B15" s="129">
        <v>7</v>
      </c>
      <c r="C15" s="196" t="s">
        <v>602</v>
      </c>
      <c r="D15" s="129" t="s">
        <v>231</v>
      </c>
      <c r="E15" s="151"/>
      <c r="F15" s="189"/>
      <c r="G15" s="189"/>
      <c r="H15" s="151"/>
      <c r="I15" s="189"/>
      <c r="J15" s="151"/>
      <c r="K15" s="189"/>
      <c r="L15" s="189"/>
      <c r="M15" s="311">
        <f t="shared" si="21"/>
        <v>93.495999999999995</v>
      </c>
      <c r="N15" s="311">
        <v>20</v>
      </c>
      <c r="O15" s="311">
        <v>10</v>
      </c>
      <c r="P15" s="311">
        <v>71.495999999999995</v>
      </c>
      <c r="Q15" s="139">
        <f t="shared" si="22"/>
        <v>0</v>
      </c>
      <c r="R15" s="139">
        <f t="shared" si="23"/>
        <v>0</v>
      </c>
      <c r="S15" s="139">
        <f t="shared" si="24"/>
        <v>0</v>
      </c>
      <c r="T15" s="139">
        <f t="shared" si="25"/>
        <v>0</v>
      </c>
      <c r="U15" s="139">
        <f t="shared" si="13"/>
        <v>0</v>
      </c>
      <c r="V15" s="139">
        <f t="shared" si="5"/>
        <v>0</v>
      </c>
      <c r="W15" s="139">
        <f t="shared" si="6"/>
        <v>0</v>
      </c>
      <c r="X15" s="139">
        <f t="shared" si="7"/>
        <v>0</v>
      </c>
      <c r="Y15" s="192"/>
      <c r="Z15" s="338"/>
      <c r="AA15" s="338"/>
      <c r="AB15" s="338"/>
      <c r="AC15" s="338"/>
      <c r="AD15" s="338"/>
      <c r="AE15" s="338"/>
      <c r="AF15" s="338"/>
      <c r="AG15" s="338"/>
      <c r="AH15" s="338"/>
      <c r="AI15" s="338"/>
      <c r="AJ15" s="338"/>
      <c r="AK15" s="338"/>
      <c r="AL15" s="338"/>
      <c r="AM15" s="338"/>
      <c r="AN15" s="338"/>
      <c r="AO15" s="338"/>
      <c r="AP15" s="338"/>
      <c r="AS15" s="165">
        <v>7</v>
      </c>
      <c r="AT15" s="165" t="s">
        <v>602</v>
      </c>
      <c r="AU15" s="165" t="s">
        <v>231</v>
      </c>
      <c r="AV15" s="165">
        <v>93.495999999999995</v>
      </c>
      <c r="AW15" s="165">
        <v>20</v>
      </c>
      <c r="AX15" s="165">
        <v>10</v>
      </c>
      <c r="AY15" s="328">
        <v>71.495999999999995</v>
      </c>
      <c r="AZ15" s="328">
        <f t="shared" si="14"/>
        <v>0</v>
      </c>
    </row>
    <row r="16" spans="1:255" ht="38.25" customHeight="1">
      <c r="A16" s="300"/>
      <c r="B16" s="129">
        <v>8</v>
      </c>
      <c r="C16" s="196" t="s">
        <v>603</v>
      </c>
      <c r="D16" s="129" t="s">
        <v>231</v>
      </c>
      <c r="E16" s="189"/>
      <c r="F16" s="189"/>
      <c r="G16" s="189"/>
      <c r="H16" s="189"/>
      <c r="I16" s="189"/>
      <c r="J16" s="189"/>
      <c r="K16" s="189"/>
      <c r="L16" s="189"/>
      <c r="M16" s="311">
        <f t="shared" si="21"/>
        <v>84.64</v>
      </c>
      <c r="N16" s="311">
        <v>20</v>
      </c>
      <c r="O16" s="311">
        <v>10</v>
      </c>
      <c r="P16" s="311">
        <v>62.64</v>
      </c>
      <c r="Q16" s="139">
        <f t="shared" si="22"/>
        <v>0</v>
      </c>
      <c r="R16" s="139">
        <f t="shared" si="23"/>
        <v>0</v>
      </c>
      <c r="S16" s="139">
        <f t="shared" si="24"/>
        <v>0</v>
      </c>
      <c r="T16" s="139">
        <f t="shared" si="25"/>
        <v>0</v>
      </c>
      <c r="U16" s="139">
        <f t="shared" si="13"/>
        <v>0</v>
      </c>
      <c r="V16" s="139">
        <f t="shared" si="5"/>
        <v>0</v>
      </c>
      <c r="W16" s="139">
        <f t="shared" si="6"/>
        <v>0</v>
      </c>
      <c r="X16" s="139">
        <f t="shared" si="7"/>
        <v>0</v>
      </c>
      <c r="Y16" s="192"/>
      <c r="Z16" s="338"/>
      <c r="AA16" s="338"/>
      <c r="AB16" s="338"/>
      <c r="AC16" s="338"/>
      <c r="AD16" s="338"/>
      <c r="AE16" s="338"/>
      <c r="AF16" s="338"/>
      <c r="AG16" s="338"/>
      <c r="AH16" s="338"/>
      <c r="AI16" s="338"/>
      <c r="AJ16" s="338"/>
      <c r="AK16" s="338"/>
      <c r="AL16" s="338"/>
      <c r="AM16" s="338"/>
      <c r="AN16" s="338"/>
      <c r="AO16" s="338"/>
      <c r="AP16" s="338"/>
      <c r="AS16" s="165">
        <v>8</v>
      </c>
      <c r="AT16" s="165" t="s">
        <v>603</v>
      </c>
      <c r="AU16" s="165" t="s">
        <v>231</v>
      </c>
      <c r="AV16" s="165">
        <v>84.64</v>
      </c>
      <c r="AW16" s="165">
        <v>20</v>
      </c>
      <c r="AX16" s="165">
        <v>10</v>
      </c>
      <c r="AY16" s="328">
        <v>62.64</v>
      </c>
      <c r="AZ16" s="328">
        <f t="shared" si="14"/>
        <v>0</v>
      </c>
    </row>
    <row r="17" spans="1:52" ht="38.25" customHeight="1">
      <c r="A17" s="300"/>
      <c r="B17" s="129">
        <v>9</v>
      </c>
      <c r="C17" s="196" t="s">
        <v>243</v>
      </c>
      <c r="D17" s="129" t="s">
        <v>231</v>
      </c>
      <c r="E17" s="151"/>
      <c r="F17" s="189"/>
      <c r="G17" s="189"/>
      <c r="H17" s="151"/>
      <c r="I17" s="189"/>
      <c r="J17" s="151"/>
      <c r="K17" s="189"/>
      <c r="L17" s="189"/>
      <c r="M17" s="311">
        <f t="shared" si="21"/>
        <v>21.43271</v>
      </c>
      <c r="N17" s="311">
        <f>'附件4-8甲供材料清单'!N220</f>
        <v>2.2087100000000004</v>
      </c>
      <c r="O17" s="311">
        <v>0</v>
      </c>
      <c r="P17" s="311">
        <v>19.224</v>
      </c>
      <c r="Q17" s="139">
        <f t="shared" si="22"/>
        <v>0</v>
      </c>
      <c r="R17" s="139">
        <f t="shared" si="23"/>
        <v>0</v>
      </c>
      <c r="S17" s="139">
        <f t="shared" si="24"/>
        <v>0</v>
      </c>
      <c r="T17" s="139">
        <f t="shared" si="25"/>
        <v>0</v>
      </c>
      <c r="U17" s="139">
        <f t="shared" si="13"/>
        <v>0</v>
      </c>
      <c r="V17" s="139">
        <f t="shared" si="5"/>
        <v>0</v>
      </c>
      <c r="W17" s="139">
        <f t="shared" si="6"/>
        <v>0</v>
      </c>
      <c r="X17" s="139">
        <f t="shared" si="7"/>
        <v>0</v>
      </c>
      <c r="Y17" s="192" t="s">
        <v>244</v>
      </c>
      <c r="Z17" s="338">
        <f>Q17</f>
        <v>0</v>
      </c>
      <c r="AA17" s="338">
        <f t="shared" ref="AA17" si="26">R17</f>
        <v>0</v>
      </c>
      <c r="AB17" s="338">
        <f t="shared" ref="AB17:AG18" si="27">S17</f>
        <v>0</v>
      </c>
      <c r="AC17" s="338">
        <f t="shared" si="27"/>
        <v>0</v>
      </c>
      <c r="AD17" s="338">
        <f t="shared" si="27"/>
        <v>0</v>
      </c>
      <c r="AE17" s="338">
        <f t="shared" si="27"/>
        <v>0</v>
      </c>
      <c r="AF17" s="338">
        <f t="shared" si="27"/>
        <v>0</v>
      </c>
      <c r="AG17" s="338">
        <f t="shared" si="27"/>
        <v>0</v>
      </c>
      <c r="AH17" s="338"/>
      <c r="AI17" s="338">
        <f>E17*$N17*(1+$O17%)</f>
        <v>0</v>
      </c>
      <c r="AJ17" s="338">
        <f t="shared" ref="AJ17" si="28">F17*$N17*(1+$O17%)</f>
        <v>0</v>
      </c>
      <c r="AK17" s="338">
        <f t="shared" ref="AK17:AP18" si="29">G17*$N17*(1+$O17%)</f>
        <v>0</v>
      </c>
      <c r="AL17" s="338">
        <f t="shared" si="29"/>
        <v>0</v>
      </c>
      <c r="AM17" s="338">
        <f t="shared" si="29"/>
        <v>0</v>
      </c>
      <c r="AN17" s="338">
        <f t="shared" si="29"/>
        <v>0</v>
      </c>
      <c r="AO17" s="338">
        <f t="shared" si="29"/>
        <v>0</v>
      </c>
      <c r="AP17" s="338">
        <f t="shared" si="29"/>
        <v>0</v>
      </c>
      <c r="AS17" s="165">
        <v>9</v>
      </c>
      <c r="AT17" s="165" t="s">
        <v>243</v>
      </c>
      <c r="AU17" s="165" t="s">
        <v>231</v>
      </c>
      <c r="AV17" s="165">
        <v>21.859439999999999</v>
      </c>
      <c r="AW17" s="165">
        <v>2.63544</v>
      </c>
      <c r="AX17" s="165">
        <v>0</v>
      </c>
      <c r="AY17" s="328">
        <v>19.224</v>
      </c>
      <c r="AZ17" s="328">
        <f t="shared" si="14"/>
        <v>0.42672999999999917</v>
      </c>
    </row>
    <row r="18" spans="1:52" ht="38.25" customHeight="1">
      <c r="A18" s="300"/>
      <c r="B18" s="129">
        <v>10</v>
      </c>
      <c r="C18" s="196" t="s">
        <v>604</v>
      </c>
      <c r="D18" s="129" t="s">
        <v>231</v>
      </c>
      <c r="E18" s="189"/>
      <c r="F18" s="189"/>
      <c r="G18" s="189"/>
      <c r="H18" s="189"/>
      <c r="I18" s="189"/>
      <c r="J18" s="189"/>
      <c r="K18" s="189"/>
      <c r="L18" s="189"/>
      <c r="M18" s="311">
        <f t="shared" si="21"/>
        <v>22.01651</v>
      </c>
      <c r="N18" s="311">
        <f>'附件4-8甲供材料清单'!N222</f>
        <v>2.79251</v>
      </c>
      <c r="O18" s="311">
        <v>0</v>
      </c>
      <c r="P18" s="311">
        <v>19.224</v>
      </c>
      <c r="Q18" s="139">
        <f t="shared" si="22"/>
        <v>0</v>
      </c>
      <c r="R18" s="139">
        <f t="shared" si="23"/>
        <v>0</v>
      </c>
      <c r="S18" s="139">
        <f t="shared" si="24"/>
        <v>0</v>
      </c>
      <c r="T18" s="139">
        <f t="shared" si="25"/>
        <v>0</v>
      </c>
      <c r="U18" s="139">
        <f t="shared" si="13"/>
        <v>0</v>
      </c>
      <c r="V18" s="139">
        <f t="shared" si="5"/>
        <v>0</v>
      </c>
      <c r="W18" s="139">
        <f t="shared" si="6"/>
        <v>0</v>
      </c>
      <c r="X18" s="139">
        <f t="shared" si="7"/>
        <v>0</v>
      </c>
      <c r="Y18" s="192" t="s">
        <v>244</v>
      </c>
      <c r="Z18" s="338">
        <f>Q18</f>
        <v>0</v>
      </c>
      <c r="AA18" s="338">
        <f>R18</f>
        <v>0</v>
      </c>
      <c r="AB18" s="338">
        <f t="shared" si="27"/>
        <v>0</v>
      </c>
      <c r="AC18" s="338">
        <f t="shared" si="27"/>
        <v>0</v>
      </c>
      <c r="AD18" s="338">
        <f t="shared" si="27"/>
        <v>0</v>
      </c>
      <c r="AE18" s="338">
        <f t="shared" si="27"/>
        <v>0</v>
      </c>
      <c r="AF18" s="338">
        <f t="shared" si="27"/>
        <v>0</v>
      </c>
      <c r="AG18" s="338">
        <f t="shared" si="27"/>
        <v>0</v>
      </c>
      <c r="AH18" s="338"/>
      <c r="AI18" s="338">
        <f>E18*$N18*(1+$O18%)</f>
        <v>0</v>
      </c>
      <c r="AJ18" s="338">
        <f>F18*$N18*(1+$O18%)</f>
        <v>0</v>
      </c>
      <c r="AK18" s="338">
        <f t="shared" si="29"/>
        <v>0</v>
      </c>
      <c r="AL18" s="338">
        <f t="shared" si="29"/>
        <v>0</v>
      </c>
      <c r="AM18" s="338">
        <f t="shared" si="29"/>
        <v>0</v>
      </c>
      <c r="AN18" s="338">
        <f t="shared" si="29"/>
        <v>0</v>
      </c>
      <c r="AO18" s="338">
        <f t="shared" si="29"/>
        <v>0</v>
      </c>
      <c r="AP18" s="338">
        <f t="shared" si="29"/>
        <v>0</v>
      </c>
      <c r="AS18" s="165">
        <v>10</v>
      </c>
      <c r="AT18" s="165" t="s">
        <v>604</v>
      </c>
      <c r="AU18" s="165" t="s">
        <v>231</v>
      </c>
      <c r="AV18" s="165">
        <v>22.206939999999999</v>
      </c>
      <c r="AW18" s="165">
        <v>2.9829400000000001</v>
      </c>
      <c r="AX18" s="165">
        <v>0</v>
      </c>
      <c r="AY18" s="328">
        <v>19.224</v>
      </c>
      <c r="AZ18" s="328">
        <f t="shared" si="14"/>
        <v>0.19042999999999921</v>
      </c>
    </row>
    <row r="19" spans="1:52" ht="23.25" customHeight="1">
      <c r="A19" s="300"/>
      <c r="B19" s="129">
        <v>11</v>
      </c>
      <c r="C19" s="196" t="s">
        <v>605</v>
      </c>
      <c r="D19" s="129" t="s">
        <v>235</v>
      </c>
      <c r="E19" s="151"/>
      <c r="F19" s="189"/>
      <c r="G19" s="189"/>
      <c r="H19" s="151"/>
      <c r="I19" s="189"/>
      <c r="J19" s="151"/>
      <c r="K19" s="189"/>
      <c r="L19" s="189"/>
      <c r="M19" s="311">
        <f t="shared" si="21"/>
        <v>28.396000000000001</v>
      </c>
      <c r="N19" s="311">
        <v>10</v>
      </c>
      <c r="O19" s="311">
        <v>9</v>
      </c>
      <c r="P19" s="311">
        <v>17.495999999999999</v>
      </c>
      <c r="Q19" s="139">
        <f t="shared" si="22"/>
        <v>0</v>
      </c>
      <c r="R19" s="139">
        <f t="shared" si="23"/>
        <v>0</v>
      </c>
      <c r="S19" s="139">
        <f t="shared" si="24"/>
        <v>0</v>
      </c>
      <c r="T19" s="139">
        <f t="shared" si="25"/>
        <v>0</v>
      </c>
      <c r="U19" s="139">
        <f t="shared" si="13"/>
        <v>0</v>
      </c>
      <c r="V19" s="139">
        <f t="shared" si="5"/>
        <v>0</v>
      </c>
      <c r="W19" s="139">
        <f t="shared" si="6"/>
        <v>0</v>
      </c>
      <c r="X19" s="139">
        <f t="shared" si="7"/>
        <v>0</v>
      </c>
      <c r="Y19" s="192"/>
      <c r="Z19" s="338"/>
      <c r="AA19" s="338"/>
      <c r="AB19" s="338"/>
      <c r="AC19" s="338"/>
      <c r="AD19" s="338"/>
      <c r="AE19" s="338"/>
      <c r="AF19" s="338"/>
      <c r="AG19" s="338"/>
      <c r="AH19" s="338"/>
      <c r="AI19" s="338"/>
      <c r="AJ19" s="338"/>
      <c r="AK19" s="338"/>
      <c r="AL19" s="338"/>
      <c r="AM19" s="338"/>
      <c r="AN19" s="338"/>
      <c r="AO19" s="338"/>
      <c r="AP19" s="338"/>
      <c r="AS19" s="165">
        <v>11</v>
      </c>
      <c r="AT19" s="165" t="s">
        <v>605</v>
      </c>
      <c r="AU19" s="165" t="s">
        <v>235</v>
      </c>
      <c r="AV19" s="165">
        <v>28.396000000000001</v>
      </c>
      <c r="AW19" s="165">
        <v>10</v>
      </c>
      <c r="AX19" s="165">
        <v>9</v>
      </c>
      <c r="AY19" s="328">
        <v>17.495999999999999</v>
      </c>
      <c r="AZ19" s="328">
        <f t="shared" si="14"/>
        <v>0</v>
      </c>
    </row>
    <row r="20" spans="1:52" ht="28.5" customHeight="1">
      <c r="A20" s="300" t="s">
        <v>606</v>
      </c>
      <c r="B20" s="129" t="s">
        <v>278</v>
      </c>
      <c r="C20" s="196" t="s">
        <v>607</v>
      </c>
      <c r="D20" s="129" t="s">
        <v>235</v>
      </c>
      <c r="E20" s="189"/>
      <c r="F20" s="189"/>
      <c r="G20" s="189"/>
      <c r="H20" s="189"/>
      <c r="I20" s="189"/>
      <c r="J20" s="189"/>
      <c r="K20" s="189"/>
      <c r="L20" s="189"/>
      <c r="M20" s="311">
        <f t="shared" si="21"/>
        <v>28.396000000000001</v>
      </c>
      <c r="N20" s="311">
        <v>10</v>
      </c>
      <c r="O20" s="311">
        <v>9</v>
      </c>
      <c r="P20" s="311">
        <v>17.495999999999999</v>
      </c>
      <c r="Q20" s="139">
        <f t="shared" si="22"/>
        <v>0</v>
      </c>
      <c r="R20" s="139">
        <f t="shared" si="23"/>
        <v>0</v>
      </c>
      <c r="S20" s="139">
        <f t="shared" si="24"/>
        <v>0</v>
      </c>
      <c r="T20" s="139">
        <f t="shared" si="25"/>
        <v>0</v>
      </c>
      <c r="U20" s="139">
        <f t="shared" si="13"/>
        <v>0</v>
      </c>
      <c r="V20" s="139">
        <f t="shared" si="5"/>
        <v>0</v>
      </c>
      <c r="W20" s="139">
        <f t="shared" si="6"/>
        <v>0</v>
      </c>
      <c r="X20" s="139">
        <f t="shared" si="7"/>
        <v>0</v>
      </c>
      <c r="Y20" s="192"/>
      <c r="Z20" s="338"/>
      <c r="AA20" s="338"/>
      <c r="AB20" s="338"/>
      <c r="AC20" s="338"/>
      <c r="AD20" s="338"/>
      <c r="AE20" s="338"/>
      <c r="AF20" s="338"/>
      <c r="AG20" s="338"/>
      <c r="AH20" s="338"/>
      <c r="AI20" s="338"/>
      <c r="AJ20" s="338"/>
      <c r="AK20" s="338"/>
      <c r="AL20" s="338"/>
      <c r="AM20" s="338"/>
      <c r="AN20" s="338"/>
      <c r="AO20" s="338"/>
      <c r="AP20" s="338"/>
      <c r="AS20" s="165">
        <v>12</v>
      </c>
      <c r="AT20" s="165" t="s">
        <v>605</v>
      </c>
      <c r="AU20" s="165" t="s">
        <v>235</v>
      </c>
      <c r="AV20" s="165">
        <v>28.396000000000001</v>
      </c>
      <c r="AW20" s="165">
        <v>10</v>
      </c>
      <c r="AX20" s="165">
        <v>9</v>
      </c>
      <c r="AY20" s="165">
        <v>17.495999999999999</v>
      </c>
      <c r="AZ20" s="328">
        <f t="shared" si="14"/>
        <v>0</v>
      </c>
    </row>
    <row r="21" spans="1:52" ht="23.25" customHeight="1">
      <c r="A21" s="300"/>
      <c r="B21" s="129">
        <v>12</v>
      </c>
      <c r="C21" s="196" t="s">
        <v>608</v>
      </c>
      <c r="D21" s="129" t="s">
        <v>235</v>
      </c>
      <c r="E21" s="189"/>
      <c r="F21" s="189"/>
      <c r="G21" s="189"/>
      <c r="H21" s="189"/>
      <c r="I21" s="189"/>
      <c r="J21" s="189"/>
      <c r="K21" s="189"/>
      <c r="L21" s="189"/>
      <c r="M21" s="311">
        <f t="shared" si="21"/>
        <v>15.25</v>
      </c>
      <c r="N21" s="311">
        <v>5</v>
      </c>
      <c r="O21" s="311">
        <v>9</v>
      </c>
      <c r="P21" s="311">
        <v>9.8000000000000007</v>
      </c>
      <c r="Q21" s="139">
        <f t="shared" si="22"/>
        <v>0</v>
      </c>
      <c r="R21" s="139">
        <f t="shared" si="23"/>
        <v>0</v>
      </c>
      <c r="S21" s="139">
        <f t="shared" si="24"/>
        <v>0</v>
      </c>
      <c r="T21" s="139">
        <f t="shared" si="25"/>
        <v>0</v>
      </c>
      <c r="U21" s="139">
        <f t="shared" si="13"/>
        <v>0</v>
      </c>
      <c r="V21" s="139">
        <f t="shared" si="5"/>
        <v>0</v>
      </c>
      <c r="W21" s="139">
        <f t="shared" si="6"/>
        <v>0</v>
      </c>
      <c r="X21" s="139">
        <f t="shared" si="7"/>
        <v>0</v>
      </c>
      <c r="Y21" s="192"/>
      <c r="Z21" s="338"/>
      <c r="AA21" s="338"/>
      <c r="AB21" s="338"/>
      <c r="AC21" s="338"/>
      <c r="AD21" s="338"/>
      <c r="AE21" s="338"/>
      <c r="AF21" s="338"/>
      <c r="AG21" s="338"/>
      <c r="AH21" s="338"/>
      <c r="AI21" s="338"/>
      <c r="AJ21" s="338"/>
      <c r="AK21" s="338"/>
      <c r="AL21" s="338"/>
      <c r="AM21" s="338"/>
      <c r="AN21" s="338"/>
      <c r="AO21" s="338"/>
      <c r="AP21" s="338"/>
      <c r="AS21" s="165">
        <v>12</v>
      </c>
      <c r="AT21" s="165" t="s">
        <v>608</v>
      </c>
      <c r="AU21" s="165" t="s">
        <v>235</v>
      </c>
      <c r="AV21" s="165">
        <v>15.25</v>
      </c>
      <c r="AW21" s="165">
        <v>5</v>
      </c>
      <c r="AX21" s="165">
        <v>9</v>
      </c>
      <c r="AY21" s="328">
        <v>9.8000000000000007</v>
      </c>
      <c r="AZ21" s="328">
        <f t="shared" si="14"/>
        <v>0</v>
      </c>
    </row>
    <row r="22" spans="1:52" ht="23.25" customHeight="1">
      <c r="A22" s="300"/>
      <c r="B22" s="129">
        <v>13</v>
      </c>
      <c r="C22" s="196" t="s">
        <v>811</v>
      </c>
      <c r="D22" s="129" t="s">
        <v>235</v>
      </c>
      <c r="E22" s="151"/>
      <c r="F22" s="189"/>
      <c r="G22" s="189"/>
      <c r="H22" s="151"/>
      <c r="I22" s="189"/>
      <c r="J22" s="151"/>
      <c r="K22" s="189"/>
      <c r="L22" s="189"/>
      <c r="M22" s="311">
        <f t="shared" si="21"/>
        <v>13.108000000000001</v>
      </c>
      <c r="N22" s="311">
        <v>4</v>
      </c>
      <c r="O22" s="311">
        <v>9</v>
      </c>
      <c r="P22" s="311">
        <v>8.7479999999999993</v>
      </c>
      <c r="Q22" s="139">
        <f t="shared" si="22"/>
        <v>0</v>
      </c>
      <c r="R22" s="139">
        <f t="shared" si="23"/>
        <v>0</v>
      </c>
      <c r="S22" s="139">
        <f t="shared" si="24"/>
        <v>0</v>
      </c>
      <c r="T22" s="139">
        <f t="shared" si="25"/>
        <v>0</v>
      </c>
      <c r="U22" s="139">
        <f t="shared" si="13"/>
        <v>0</v>
      </c>
      <c r="V22" s="139">
        <f t="shared" si="5"/>
        <v>0</v>
      </c>
      <c r="W22" s="139">
        <f t="shared" si="6"/>
        <v>0</v>
      </c>
      <c r="X22" s="139">
        <f t="shared" si="7"/>
        <v>0</v>
      </c>
      <c r="Y22" s="192"/>
      <c r="Z22" s="338"/>
      <c r="AA22" s="338"/>
      <c r="AB22" s="338"/>
      <c r="AC22" s="338"/>
      <c r="AD22" s="338"/>
      <c r="AE22" s="338"/>
      <c r="AF22" s="338"/>
      <c r="AG22" s="338"/>
      <c r="AH22" s="338"/>
      <c r="AI22" s="338"/>
      <c r="AJ22" s="338"/>
      <c r="AK22" s="338"/>
      <c r="AL22" s="338"/>
      <c r="AM22" s="338"/>
      <c r="AN22" s="338"/>
      <c r="AO22" s="338"/>
      <c r="AP22" s="338"/>
      <c r="AS22" s="165">
        <v>13</v>
      </c>
      <c r="AT22" s="165" t="s">
        <v>811</v>
      </c>
      <c r="AU22" s="165" t="s">
        <v>235</v>
      </c>
      <c r="AV22" s="165">
        <v>13.108000000000001</v>
      </c>
      <c r="AW22" s="165">
        <v>4</v>
      </c>
      <c r="AX22" s="165">
        <v>9</v>
      </c>
      <c r="AY22" s="328">
        <v>8.7479999999999993</v>
      </c>
      <c r="AZ22" s="328">
        <f t="shared" si="14"/>
        <v>0</v>
      </c>
    </row>
    <row r="23" spans="1:52" ht="23.25" customHeight="1">
      <c r="A23" s="300"/>
      <c r="B23" s="129">
        <v>14</v>
      </c>
      <c r="C23" s="196" t="s">
        <v>610</v>
      </c>
      <c r="D23" s="129" t="s">
        <v>235</v>
      </c>
      <c r="E23" s="189"/>
      <c r="F23" s="189"/>
      <c r="G23" s="189"/>
      <c r="H23" s="189"/>
      <c r="I23" s="189"/>
      <c r="J23" s="189"/>
      <c r="K23" s="189"/>
      <c r="L23" s="189"/>
      <c r="M23" s="311">
        <f t="shared" si="21"/>
        <v>12.023</v>
      </c>
      <c r="N23" s="311">
        <v>3.5</v>
      </c>
      <c r="O23" s="311">
        <v>9</v>
      </c>
      <c r="P23" s="311">
        <v>8.2080000000000002</v>
      </c>
      <c r="Q23" s="139">
        <f t="shared" si="22"/>
        <v>0</v>
      </c>
      <c r="R23" s="139">
        <f t="shared" si="23"/>
        <v>0</v>
      </c>
      <c r="S23" s="139">
        <f t="shared" si="24"/>
        <v>0</v>
      </c>
      <c r="T23" s="139">
        <f t="shared" si="25"/>
        <v>0</v>
      </c>
      <c r="U23" s="139">
        <f t="shared" si="13"/>
        <v>0</v>
      </c>
      <c r="V23" s="139">
        <f t="shared" si="5"/>
        <v>0</v>
      </c>
      <c r="W23" s="139">
        <f t="shared" si="6"/>
        <v>0</v>
      </c>
      <c r="X23" s="139">
        <f t="shared" si="7"/>
        <v>0</v>
      </c>
      <c r="Y23" s="192"/>
      <c r="Z23" s="338"/>
      <c r="AA23" s="338"/>
      <c r="AB23" s="338"/>
      <c r="AC23" s="338"/>
      <c r="AD23" s="338"/>
      <c r="AE23" s="338"/>
      <c r="AF23" s="338"/>
      <c r="AG23" s="338"/>
      <c r="AH23" s="338"/>
      <c r="AI23" s="338"/>
      <c r="AJ23" s="338"/>
      <c r="AK23" s="338"/>
      <c r="AL23" s="338"/>
      <c r="AM23" s="338"/>
      <c r="AN23" s="338"/>
      <c r="AO23" s="338"/>
      <c r="AP23" s="338"/>
      <c r="AS23" s="165">
        <v>14</v>
      </c>
      <c r="AT23" s="165" t="s">
        <v>610</v>
      </c>
      <c r="AU23" s="165" t="s">
        <v>235</v>
      </c>
      <c r="AV23" s="165">
        <v>12.023</v>
      </c>
      <c r="AW23" s="165">
        <v>3.5</v>
      </c>
      <c r="AX23" s="165">
        <v>9</v>
      </c>
      <c r="AY23" s="328">
        <v>8.2080000000000002</v>
      </c>
      <c r="AZ23" s="328">
        <f t="shared" si="14"/>
        <v>0</v>
      </c>
    </row>
    <row r="24" spans="1:52" ht="23.25" customHeight="1">
      <c r="A24" s="300"/>
      <c r="B24" s="129">
        <v>15</v>
      </c>
      <c r="C24" s="196" t="s">
        <v>812</v>
      </c>
      <c r="D24" s="129" t="s">
        <v>235</v>
      </c>
      <c r="E24" s="151"/>
      <c r="F24" s="189"/>
      <c r="G24" s="189"/>
      <c r="H24" s="151"/>
      <c r="I24" s="189"/>
      <c r="J24" s="151"/>
      <c r="K24" s="189"/>
      <c r="L24" s="189"/>
      <c r="M24" s="311">
        <f t="shared" si="21"/>
        <v>13.108000000000001</v>
      </c>
      <c r="N24" s="311">
        <v>4</v>
      </c>
      <c r="O24" s="311">
        <v>9</v>
      </c>
      <c r="P24" s="311">
        <v>8.7479999999999993</v>
      </c>
      <c r="Q24" s="139">
        <f t="shared" si="22"/>
        <v>0</v>
      </c>
      <c r="R24" s="139">
        <f t="shared" si="23"/>
        <v>0</v>
      </c>
      <c r="S24" s="139">
        <f t="shared" si="24"/>
        <v>0</v>
      </c>
      <c r="T24" s="139">
        <f t="shared" si="25"/>
        <v>0</v>
      </c>
      <c r="U24" s="139">
        <f t="shared" ref="U24" si="30">I24*$M24</f>
        <v>0</v>
      </c>
      <c r="V24" s="139">
        <f t="shared" ref="V24" si="31">J24*$M24</f>
        <v>0</v>
      </c>
      <c r="W24" s="139">
        <f t="shared" ref="W24" si="32">K24*$M24</f>
        <v>0</v>
      </c>
      <c r="X24" s="139">
        <f t="shared" ref="X24" si="33">L24*$M24</f>
        <v>0</v>
      </c>
      <c r="Y24" s="192"/>
      <c r="Z24" s="338"/>
      <c r="AA24" s="338"/>
      <c r="AB24" s="338"/>
      <c r="AC24" s="338"/>
      <c r="AD24" s="338"/>
      <c r="AE24" s="338"/>
      <c r="AF24" s="338"/>
      <c r="AG24" s="338"/>
      <c r="AH24" s="338"/>
      <c r="AI24" s="338"/>
      <c r="AJ24" s="338"/>
      <c r="AK24" s="338"/>
      <c r="AL24" s="338"/>
      <c r="AM24" s="338"/>
      <c r="AN24" s="338"/>
      <c r="AO24" s="338"/>
      <c r="AP24" s="338"/>
      <c r="AS24" s="165">
        <v>15</v>
      </c>
      <c r="AT24" s="165" t="s">
        <v>812</v>
      </c>
      <c r="AU24" s="165" t="s">
        <v>235</v>
      </c>
      <c r="AV24" s="165">
        <v>13.108000000000001</v>
      </c>
      <c r="AW24" s="165">
        <v>4</v>
      </c>
      <c r="AX24" s="165">
        <v>9</v>
      </c>
      <c r="AY24" s="328">
        <v>8.7479999999999993</v>
      </c>
      <c r="AZ24" s="328">
        <f t="shared" si="14"/>
        <v>0</v>
      </c>
    </row>
    <row r="25" spans="1:52" ht="23.25" customHeight="1">
      <c r="A25" s="300"/>
      <c r="B25" s="129">
        <v>16</v>
      </c>
      <c r="C25" s="196" t="s">
        <v>813</v>
      </c>
      <c r="D25" s="129" t="s">
        <v>235</v>
      </c>
      <c r="E25" s="189"/>
      <c r="F25" s="189"/>
      <c r="G25" s="189"/>
      <c r="H25" s="189"/>
      <c r="I25" s="189"/>
      <c r="J25" s="189"/>
      <c r="K25" s="189"/>
      <c r="L25" s="189"/>
      <c r="M25" s="311">
        <f t="shared" si="21"/>
        <v>13.108000000000001</v>
      </c>
      <c r="N25" s="311">
        <v>4</v>
      </c>
      <c r="O25" s="311">
        <v>9</v>
      </c>
      <c r="P25" s="311">
        <v>8.7479999999999993</v>
      </c>
      <c r="Q25" s="139">
        <f t="shared" si="22"/>
        <v>0</v>
      </c>
      <c r="R25" s="139">
        <f t="shared" si="23"/>
        <v>0</v>
      </c>
      <c r="S25" s="139">
        <f t="shared" si="24"/>
        <v>0</v>
      </c>
      <c r="T25" s="139">
        <f t="shared" si="25"/>
        <v>0</v>
      </c>
      <c r="U25" s="139">
        <f t="shared" ref="U25:U56" si="34">I25*$M25</f>
        <v>0</v>
      </c>
      <c r="V25" s="139">
        <f t="shared" ref="V25:V56" si="35">J25*$M25</f>
        <v>0</v>
      </c>
      <c r="W25" s="139">
        <f t="shared" ref="W25:W56" si="36">K25*$M25</f>
        <v>0</v>
      </c>
      <c r="X25" s="139">
        <f t="shared" ref="X25:X56" si="37">L25*$M25</f>
        <v>0</v>
      </c>
      <c r="Y25" s="192"/>
      <c r="Z25" s="338"/>
      <c r="AA25" s="338"/>
      <c r="AB25" s="338"/>
      <c r="AC25" s="338"/>
      <c r="AD25" s="338"/>
      <c r="AE25" s="338"/>
      <c r="AF25" s="338"/>
      <c r="AG25" s="338"/>
      <c r="AH25" s="338"/>
      <c r="AI25" s="338"/>
      <c r="AJ25" s="338"/>
      <c r="AK25" s="338"/>
      <c r="AL25" s="338"/>
      <c r="AM25" s="338"/>
      <c r="AN25" s="338"/>
      <c r="AO25" s="338"/>
      <c r="AP25" s="338"/>
      <c r="AS25" s="165">
        <v>16</v>
      </c>
      <c r="AT25" s="165" t="s">
        <v>813</v>
      </c>
      <c r="AU25" s="165" t="s">
        <v>235</v>
      </c>
      <c r="AV25" s="165">
        <v>13.108000000000001</v>
      </c>
      <c r="AW25" s="165">
        <v>4</v>
      </c>
      <c r="AX25" s="165">
        <v>9</v>
      </c>
      <c r="AY25" s="328">
        <v>8.7479999999999993</v>
      </c>
      <c r="AZ25" s="328">
        <f t="shared" si="14"/>
        <v>0</v>
      </c>
    </row>
    <row r="26" spans="1:52" ht="23.25" customHeight="1">
      <c r="A26" s="300" t="s">
        <v>277</v>
      </c>
      <c r="B26" s="129" t="s">
        <v>278</v>
      </c>
      <c r="C26" s="268" t="s">
        <v>814</v>
      </c>
      <c r="D26" s="129" t="s">
        <v>235</v>
      </c>
      <c r="E26" s="151"/>
      <c r="F26" s="189"/>
      <c r="G26" s="189"/>
      <c r="H26" s="151"/>
      <c r="I26" s="189"/>
      <c r="J26" s="151"/>
      <c r="K26" s="189"/>
      <c r="L26" s="189"/>
      <c r="M26" s="311">
        <f t="shared" ref="M26" si="38">N26+N26*O26%+P26</f>
        <v>39.234999999999999</v>
      </c>
      <c r="N26" s="311">
        <v>26.7</v>
      </c>
      <c r="O26" s="311">
        <v>5</v>
      </c>
      <c r="P26" s="311">
        <v>11.2</v>
      </c>
      <c r="Q26" s="139">
        <f t="shared" si="22"/>
        <v>0</v>
      </c>
      <c r="R26" s="139">
        <f t="shared" si="23"/>
        <v>0</v>
      </c>
      <c r="S26" s="139">
        <f t="shared" si="24"/>
        <v>0</v>
      </c>
      <c r="T26" s="139">
        <f t="shared" si="25"/>
        <v>0</v>
      </c>
      <c r="U26" s="139">
        <f t="shared" si="34"/>
        <v>0</v>
      </c>
      <c r="V26" s="139">
        <f t="shared" si="35"/>
        <v>0</v>
      </c>
      <c r="W26" s="139">
        <f t="shared" si="36"/>
        <v>0</v>
      </c>
      <c r="X26" s="139">
        <f t="shared" si="37"/>
        <v>0</v>
      </c>
      <c r="Y26" s="192"/>
      <c r="Z26" s="338"/>
      <c r="AA26" s="338"/>
      <c r="AB26" s="338"/>
      <c r="AC26" s="338"/>
      <c r="AD26" s="338"/>
      <c r="AE26" s="338"/>
      <c r="AF26" s="338"/>
      <c r="AG26" s="338"/>
      <c r="AH26" s="338"/>
      <c r="AI26" s="338"/>
      <c r="AJ26" s="338"/>
      <c r="AK26" s="338"/>
      <c r="AL26" s="338"/>
      <c r="AM26" s="338"/>
      <c r="AN26" s="338"/>
      <c r="AO26" s="338"/>
      <c r="AP26" s="338"/>
      <c r="AY26" s="316"/>
      <c r="AZ26" s="328">
        <f t="shared" si="14"/>
        <v>-39.234999999999999</v>
      </c>
    </row>
    <row r="27" spans="1:52" ht="23.25" customHeight="1">
      <c r="A27" s="300"/>
      <c r="B27" s="129">
        <v>17</v>
      </c>
      <c r="C27" s="196" t="s">
        <v>815</v>
      </c>
      <c r="D27" s="129" t="s">
        <v>235</v>
      </c>
      <c r="E27" s="151"/>
      <c r="F27" s="189"/>
      <c r="G27" s="189"/>
      <c r="H27" s="151"/>
      <c r="I27" s="189"/>
      <c r="J27" s="151"/>
      <c r="K27" s="189"/>
      <c r="L27" s="189"/>
      <c r="M27" s="311">
        <f>N27+N27*O27%+P27</f>
        <v>41.125</v>
      </c>
      <c r="N27" s="311">
        <v>28.5</v>
      </c>
      <c r="O27" s="311">
        <v>5</v>
      </c>
      <c r="P27" s="311">
        <f>11.2</f>
        <v>11.2</v>
      </c>
      <c r="Q27" s="139">
        <f t="shared" si="22"/>
        <v>0</v>
      </c>
      <c r="R27" s="139">
        <f t="shared" si="23"/>
        <v>0</v>
      </c>
      <c r="S27" s="139">
        <f t="shared" si="24"/>
        <v>0</v>
      </c>
      <c r="T27" s="139">
        <f t="shared" si="25"/>
        <v>0</v>
      </c>
      <c r="U27" s="139">
        <f t="shared" si="34"/>
        <v>0</v>
      </c>
      <c r="V27" s="139">
        <f t="shared" si="35"/>
        <v>0</v>
      </c>
      <c r="W27" s="139">
        <f t="shared" si="36"/>
        <v>0</v>
      </c>
      <c r="X27" s="139">
        <f t="shared" si="37"/>
        <v>0</v>
      </c>
      <c r="Y27" s="192"/>
      <c r="Z27" s="338"/>
      <c r="AA27" s="338"/>
      <c r="AB27" s="338"/>
      <c r="AC27" s="338"/>
      <c r="AD27" s="338"/>
      <c r="AE27" s="338"/>
      <c r="AF27" s="338"/>
      <c r="AG27" s="338"/>
      <c r="AH27" s="338"/>
      <c r="AI27" s="338"/>
      <c r="AJ27" s="338"/>
      <c r="AK27" s="338"/>
      <c r="AL27" s="338"/>
      <c r="AM27" s="338"/>
      <c r="AN27" s="338"/>
      <c r="AO27" s="338"/>
      <c r="AP27" s="338"/>
      <c r="AS27" s="165">
        <v>17</v>
      </c>
      <c r="AT27" s="165" t="s">
        <v>815</v>
      </c>
      <c r="AU27" s="165" t="s">
        <v>235</v>
      </c>
      <c r="AV27" s="165">
        <v>41.125</v>
      </c>
      <c r="AW27" s="165">
        <v>28.5</v>
      </c>
      <c r="AX27" s="165">
        <v>5</v>
      </c>
      <c r="AY27" s="328">
        <v>11.2</v>
      </c>
      <c r="AZ27" s="328">
        <f t="shared" si="14"/>
        <v>0</v>
      </c>
    </row>
    <row r="28" spans="1:52" ht="23.25" customHeight="1">
      <c r="A28" s="300" t="s">
        <v>297</v>
      </c>
      <c r="B28" s="129" t="s">
        <v>278</v>
      </c>
      <c r="C28" s="268" t="s">
        <v>816</v>
      </c>
      <c r="D28" s="129" t="s">
        <v>235</v>
      </c>
      <c r="E28" s="151"/>
      <c r="F28" s="189"/>
      <c r="G28" s="189"/>
      <c r="H28" s="151"/>
      <c r="I28" s="189"/>
      <c r="J28" s="151"/>
      <c r="K28" s="189"/>
      <c r="L28" s="189"/>
      <c r="M28" s="311">
        <f t="shared" ref="M28" si="39">N28+N28*O28%+P28</f>
        <v>46.795000000000002</v>
      </c>
      <c r="N28" s="311">
        <v>33.9</v>
      </c>
      <c r="O28" s="311">
        <v>5</v>
      </c>
      <c r="P28" s="311">
        <v>11.2</v>
      </c>
      <c r="Q28" s="139">
        <f t="shared" si="22"/>
        <v>0</v>
      </c>
      <c r="R28" s="139">
        <f t="shared" si="23"/>
        <v>0</v>
      </c>
      <c r="S28" s="139">
        <f t="shared" si="24"/>
        <v>0</v>
      </c>
      <c r="T28" s="139">
        <f t="shared" si="25"/>
        <v>0</v>
      </c>
      <c r="U28" s="139">
        <f t="shared" si="34"/>
        <v>0</v>
      </c>
      <c r="V28" s="139">
        <f t="shared" si="35"/>
        <v>0</v>
      </c>
      <c r="W28" s="139">
        <f t="shared" si="36"/>
        <v>0</v>
      </c>
      <c r="X28" s="139">
        <f t="shared" si="37"/>
        <v>0</v>
      </c>
      <c r="Y28" s="192"/>
      <c r="Z28" s="338"/>
      <c r="AA28" s="338"/>
      <c r="AB28" s="338"/>
      <c r="AC28" s="338"/>
      <c r="AD28" s="338"/>
      <c r="AE28" s="338"/>
      <c r="AF28" s="338"/>
      <c r="AG28" s="338"/>
      <c r="AH28" s="338"/>
      <c r="AI28" s="338"/>
      <c r="AJ28" s="338"/>
      <c r="AK28" s="338"/>
      <c r="AL28" s="338"/>
      <c r="AM28" s="338"/>
      <c r="AN28" s="338"/>
      <c r="AO28" s="338"/>
      <c r="AP28" s="338"/>
      <c r="AY28" s="316"/>
      <c r="AZ28" s="328">
        <f t="shared" si="14"/>
        <v>-46.795000000000002</v>
      </c>
    </row>
    <row r="29" spans="1:52" ht="23.25" customHeight="1">
      <c r="A29" s="300"/>
      <c r="B29" s="129">
        <v>18</v>
      </c>
      <c r="C29" s="196" t="s">
        <v>817</v>
      </c>
      <c r="D29" s="129" t="s">
        <v>235</v>
      </c>
      <c r="E29" s="189"/>
      <c r="F29" s="189"/>
      <c r="G29" s="189"/>
      <c r="H29" s="189"/>
      <c r="I29" s="189"/>
      <c r="J29" s="189"/>
      <c r="K29" s="189"/>
      <c r="L29" s="189"/>
      <c r="M29" s="311">
        <f>N29+N29*O29%+P29</f>
        <v>48.685000000000002</v>
      </c>
      <c r="N29" s="311">
        <v>35.700000000000003</v>
      </c>
      <c r="O29" s="311">
        <v>5</v>
      </c>
      <c r="P29" s="311">
        <v>11.2</v>
      </c>
      <c r="Q29" s="139">
        <f t="shared" si="22"/>
        <v>0</v>
      </c>
      <c r="R29" s="139">
        <f t="shared" si="23"/>
        <v>0</v>
      </c>
      <c r="S29" s="139">
        <f t="shared" si="24"/>
        <v>0</v>
      </c>
      <c r="T29" s="139">
        <f t="shared" si="25"/>
        <v>0</v>
      </c>
      <c r="U29" s="139">
        <f t="shared" si="34"/>
        <v>0</v>
      </c>
      <c r="V29" s="139">
        <f t="shared" si="35"/>
        <v>0</v>
      </c>
      <c r="W29" s="139">
        <f t="shared" si="36"/>
        <v>0</v>
      </c>
      <c r="X29" s="139">
        <f t="shared" si="37"/>
        <v>0</v>
      </c>
      <c r="Y29" s="192"/>
      <c r="Z29" s="338"/>
      <c r="AA29" s="338"/>
      <c r="AB29" s="338"/>
      <c r="AC29" s="338"/>
      <c r="AD29" s="338"/>
      <c r="AE29" s="338"/>
      <c r="AF29" s="338"/>
      <c r="AG29" s="338"/>
      <c r="AH29" s="338"/>
      <c r="AI29" s="338"/>
      <c r="AJ29" s="338"/>
      <c r="AK29" s="338"/>
      <c r="AL29" s="338"/>
      <c r="AM29" s="338"/>
      <c r="AN29" s="338"/>
      <c r="AO29" s="338"/>
      <c r="AP29" s="338"/>
      <c r="AS29" s="165">
        <v>18</v>
      </c>
      <c r="AT29" s="165" t="s">
        <v>817</v>
      </c>
      <c r="AU29" s="165" t="s">
        <v>235</v>
      </c>
      <c r="AV29" s="165">
        <v>48.685000000000002</v>
      </c>
      <c r="AW29" s="165">
        <v>35.700000000000003</v>
      </c>
      <c r="AX29" s="165">
        <v>5</v>
      </c>
      <c r="AY29" s="328">
        <v>11.2</v>
      </c>
      <c r="AZ29" s="328">
        <f t="shared" si="14"/>
        <v>0</v>
      </c>
    </row>
    <row r="30" spans="1:52" ht="23.25" customHeight="1">
      <c r="A30" s="300" t="s">
        <v>277</v>
      </c>
      <c r="B30" s="129" t="s">
        <v>278</v>
      </c>
      <c r="C30" s="162" t="s">
        <v>818</v>
      </c>
      <c r="D30" s="129" t="s">
        <v>235</v>
      </c>
      <c r="E30" s="189"/>
      <c r="F30" s="189"/>
      <c r="G30" s="189"/>
      <c r="H30" s="189"/>
      <c r="I30" s="189"/>
      <c r="J30" s="189"/>
      <c r="K30" s="189"/>
      <c r="L30" s="189"/>
      <c r="M30" s="311">
        <f t="shared" ref="M30" si="40">N30+N30*O30%+P30</f>
        <v>56.875</v>
      </c>
      <c r="N30" s="311">
        <v>43.5</v>
      </c>
      <c r="O30" s="311">
        <v>5</v>
      </c>
      <c r="P30" s="311">
        <v>11.2</v>
      </c>
      <c r="Q30" s="139">
        <f t="shared" si="22"/>
        <v>0</v>
      </c>
      <c r="R30" s="139">
        <f t="shared" si="23"/>
        <v>0</v>
      </c>
      <c r="S30" s="139">
        <f t="shared" si="24"/>
        <v>0</v>
      </c>
      <c r="T30" s="139">
        <f t="shared" si="25"/>
        <v>0</v>
      </c>
      <c r="U30" s="139">
        <f t="shared" si="34"/>
        <v>0</v>
      </c>
      <c r="V30" s="139">
        <f t="shared" si="35"/>
        <v>0</v>
      </c>
      <c r="W30" s="139">
        <f t="shared" si="36"/>
        <v>0</v>
      </c>
      <c r="X30" s="139">
        <f t="shared" si="37"/>
        <v>0</v>
      </c>
      <c r="Y30" s="192"/>
      <c r="Z30" s="338"/>
      <c r="AA30" s="338"/>
      <c r="AB30" s="338"/>
      <c r="AC30" s="338"/>
      <c r="AD30" s="338"/>
      <c r="AE30" s="338"/>
      <c r="AF30" s="338"/>
      <c r="AG30" s="338"/>
      <c r="AH30" s="338"/>
      <c r="AI30" s="338"/>
      <c r="AJ30" s="338"/>
      <c r="AK30" s="338"/>
      <c r="AL30" s="338"/>
      <c r="AM30" s="338"/>
      <c r="AN30" s="338"/>
      <c r="AO30" s="338"/>
      <c r="AP30" s="338"/>
      <c r="AY30" s="316"/>
      <c r="AZ30" s="328">
        <f t="shared" si="14"/>
        <v>-56.875</v>
      </c>
    </row>
    <row r="31" spans="1:52" ht="33.75">
      <c r="A31" s="300"/>
      <c r="B31" s="129">
        <v>19</v>
      </c>
      <c r="C31" s="196" t="s">
        <v>611</v>
      </c>
      <c r="D31" s="129" t="s">
        <v>231</v>
      </c>
      <c r="E31" s="151"/>
      <c r="F31" s="189"/>
      <c r="G31" s="189"/>
      <c r="H31" s="151"/>
      <c r="I31" s="189"/>
      <c r="J31" s="151"/>
      <c r="K31" s="189"/>
      <c r="L31" s="189"/>
      <c r="M31" s="311">
        <f t="shared" ref="M31:M38" si="41">N31+N31*O31%+P31</f>
        <v>31.865000000000002</v>
      </c>
      <c r="N31" s="311">
        <f>'附件4-8甲供材料清单'!K198</f>
        <v>7.15</v>
      </c>
      <c r="O31" s="311">
        <v>10</v>
      </c>
      <c r="P31" s="311">
        <v>24</v>
      </c>
      <c r="Q31" s="139">
        <f t="shared" si="22"/>
        <v>0</v>
      </c>
      <c r="R31" s="139">
        <f t="shared" si="23"/>
        <v>0</v>
      </c>
      <c r="S31" s="139">
        <f t="shared" si="24"/>
        <v>0</v>
      </c>
      <c r="T31" s="139">
        <f t="shared" si="25"/>
        <v>0</v>
      </c>
      <c r="U31" s="139">
        <f t="shared" si="34"/>
        <v>0</v>
      </c>
      <c r="V31" s="139">
        <f t="shared" si="35"/>
        <v>0</v>
      </c>
      <c r="W31" s="139">
        <f t="shared" si="36"/>
        <v>0</v>
      </c>
      <c r="X31" s="139">
        <f t="shared" si="37"/>
        <v>0</v>
      </c>
      <c r="Y31" s="192" t="s">
        <v>244</v>
      </c>
      <c r="Z31" s="338">
        <f>Q31</f>
        <v>0</v>
      </c>
      <c r="AA31" s="338">
        <f t="shared" ref="AA31" si="42">R31</f>
        <v>0</v>
      </c>
      <c r="AB31" s="338">
        <f t="shared" ref="AB31:AG31" si="43">S31</f>
        <v>0</v>
      </c>
      <c r="AC31" s="338">
        <f t="shared" si="43"/>
        <v>0</v>
      </c>
      <c r="AD31" s="338">
        <f t="shared" si="43"/>
        <v>0</v>
      </c>
      <c r="AE31" s="338">
        <f t="shared" si="43"/>
        <v>0</v>
      </c>
      <c r="AF31" s="338">
        <f t="shared" si="43"/>
        <v>0</v>
      </c>
      <c r="AG31" s="338">
        <f t="shared" si="43"/>
        <v>0</v>
      </c>
      <c r="AH31" s="338"/>
      <c r="AI31" s="338">
        <f>E31*$N31*(1+$O31%)</f>
        <v>0</v>
      </c>
      <c r="AJ31" s="338">
        <f t="shared" ref="AJ31" si="44">F31*$N31*(1+$O31%)</f>
        <v>0</v>
      </c>
      <c r="AK31" s="338">
        <f t="shared" ref="AK31:AP31" si="45">G31*$N31*(1+$O31%)</f>
        <v>0</v>
      </c>
      <c r="AL31" s="338">
        <f t="shared" si="45"/>
        <v>0</v>
      </c>
      <c r="AM31" s="338">
        <f t="shared" si="45"/>
        <v>0</v>
      </c>
      <c r="AN31" s="338">
        <f t="shared" si="45"/>
        <v>0</v>
      </c>
      <c r="AO31" s="338">
        <f t="shared" si="45"/>
        <v>0</v>
      </c>
      <c r="AP31" s="338">
        <f t="shared" si="45"/>
        <v>0</v>
      </c>
      <c r="AS31" s="165">
        <v>19</v>
      </c>
      <c r="AT31" s="165" t="s">
        <v>611</v>
      </c>
      <c r="AU31" s="165" t="s">
        <v>231</v>
      </c>
      <c r="AV31" s="165">
        <v>32.25</v>
      </c>
      <c r="AW31" s="165" t="s">
        <v>612</v>
      </c>
      <c r="AX31" s="165">
        <v>10</v>
      </c>
      <c r="AY31" s="328">
        <v>24</v>
      </c>
      <c r="AZ31" s="328">
        <f t="shared" si="14"/>
        <v>0.38499999999999801</v>
      </c>
    </row>
    <row r="32" spans="1:52" ht="22.5">
      <c r="A32" s="300"/>
      <c r="B32" s="129">
        <v>20</v>
      </c>
      <c r="C32" s="196" t="s">
        <v>613</v>
      </c>
      <c r="D32" s="129" t="s">
        <v>231</v>
      </c>
      <c r="E32" s="189"/>
      <c r="F32" s="189"/>
      <c r="G32" s="189"/>
      <c r="H32" s="189"/>
      <c r="I32" s="189"/>
      <c r="J32" s="189"/>
      <c r="K32" s="189"/>
      <c r="L32" s="189"/>
      <c r="M32" s="311">
        <f t="shared" si="41"/>
        <v>95.25</v>
      </c>
      <c r="N32" s="311">
        <v>65</v>
      </c>
      <c r="O32" s="311">
        <v>5</v>
      </c>
      <c r="P32" s="311">
        <v>27</v>
      </c>
      <c r="Q32" s="139">
        <f t="shared" si="22"/>
        <v>0</v>
      </c>
      <c r="R32" s="139">
        <f t="shared" si="23"/>
        <v>0</v>
      </c>
      <c r="S32" s="139">
        <f t="shared" si="24"/>
        <v>0</v>
      </c>
      <c r="T32" s="139">
        <f t="shared" si="25"/>
        <v>0</v>
      </c>
      <c r="U32" s="139">
        <f t="shared" si="34"/>
        <v>0</v>
      </c>
      <c r="V32" s="139">
        <f t="shared" si="35"/>
        <v>0</v>
      </c>
      <c r="W32" s="139">
        <f t="shared" si="36"/>
        <v>0</v>
      </c>
      <c r="X32" s="139">
        <f t="shared" si="37"/>
        <v>0</v>
      </c>
      <c r="Y32" s="192"/>
      <c r="Z32" s="338"/>
      <c r="AA32" s="338"/>
      <c r="AB32" s="338"/>
      <c r="AC32" s="338"/>
      <c r="AD32" s="338"/>
      <c r="AE32" s="338"/>
      <c r="AF32" s="338"/>
      <c r="AG32" s="338"/>
      <c r="AH32" s="338"/>
      <c r="AI32" s="338"/>
      <c r="AJ32" s="338"/>
      <c r="AK32" s="338"/>
      <c r="AL32" s="338"/>
      <c r="AM32" s="338"/>
      <c r="AN32" s="338"/>
      <c r="AO32" s="338"/>
      <c r="AP32" s="338"/>
      <c r="AS32" s="165">
        <v>20</v>
      </c>
      <c r="AT32" s="165" t="s">
        <v>614</v>
      </c>
      <c r="AU32" s="165" t="s">
        <v>231</v>
      </c>
      <c r="AV32" s="165">
        <v>95.25</v>
      </c>
      <c r="AW32" s="165">
        <v>65</v>
      </c>
      <c r="AX32" s="165">
        <v>5</v>
      </c>
      <c r="AY32" s="328">
        <v>27</v>
      </c>
      <c r="AZ32" s="328">
        <f t="shared" si="14"/>
        <v>0</v>
      </c>
    </row>
    <row r="33" spans="1:52" ht="21.75" customHeight="1">
      <c r="A33" s="300"/>
      <c r="B33" s="129" t="s">
        <v>60</v>
      </c>
      <c r="C33" s="196" t="s">
        <v>247</v>
      </c>
      <c r="D33" s="129"/>
      <c r="E33" s="151"/>
      <c r="F33" s="189"/>
      <c r="G33" s="189"/>
      <c r="H33" s="151"/>
      <c r="I33" s="189"/>
      <c r="J33" s="151"/>
      <c r="K33" s="189"/>
      <c r="L33" s="189"/>
      <c r="M33" s="311">
        <f t="shared" si="41"/>
        <v>0</v>
      </c>
      <c r="N33" s="311"/>
      <c r="O33" s="311"/>
      <c r="P33" s="311"/>
      <c r="Q33" s="139">
        <f t="shared" si="22"/>
        <v>0</v>
      </c>
      <c r="R33" s="139">
        <f t="shared" si="23"/>
        <v>0</v>
      </c>
      <c r="S33" s="139">
        <f t="shared" si="24"/>
        <v>0</v>
      </c>
      <c r="T33" s="139">
        <f t="shared" si="25"/>
        <v>0</v>
      </c>
      <c r="U33" s="139">
        <f t="shared" si="34"/>
        <v>0</v>
      </c>
      <c r="V33" s="139">
        <f t="shared" si="35"/>
        <v>0</v>
      </c>
      <c r="W33" s="139">
        <f t="shared" si="36"/>
        <v>0</v>
      </c>
      <c r="X33" s="139">
        <f t="shared" si="37"/>
        <v>0</v>
      </c>
      <c r="Y33" s="192"/>
      <c r="Z33" s="338"/>
      <c r="AA33" s="338"/>
      <c r="AB33" s="338"/>
      <c r="AC33" s="338"/>
      <c r="AD33" s="338"/>
      <c r="AE33" s="338"/>
      <c r="AF33" s="338"/>
      <c r="AG33" s="338"/>
      <c r="AH33" s="338"/>
      <c r="AI33" s="338"/>
      <c r="AJ33" s="338"/>
      <c r="AK33" s="338"/>
      <c r="AL33" s="338"/>
      <c r="AM33" s="338"/>
      <c r="AN33" s="338"/>
      <c r="AO33" s="338"/>
      <c r="AP33" s="338"/>
      <c r="AS33" s="165" t="s">
        <v>60</v>
      </c>
      <c r="AT33" s="165" t="s">
        <v>247</v>
      </c>
      <c r="AU33" s="165"/>
      <c r="AV33" s="165">
        <v>0</v>
      </c>
      <c r="AW33" s="165"/>
      <c r="AX33" s="165"/>
      <c r="AY33" s="328"/>
      <c r="AZ33" s="328">
        <f t="shared" si="14"/>
        <v>0</v>
      </c>
    </row>
    <row r="34" spans="1:52" ht="22.5">
      <c r="A34" s="300"/>
      <c r="B34" s="129">
        <v>1</v>
      </c>
      <c r="C34" s="196" t="s">
        <v>615</v>
      </c>
      <c r="D34" s="129" t="s">
        <v>231</v>
      </c>
      <c r="E34" s="189"/>
      <c r="F34" s="189"/>
      <c r="G34" s="189"/>
      <c r="H34" s="189"/>
      <c r="I34" s="189"/>
      <c r="J34" s="189"/>
      <c r="K34" s="189"/>
      <c r="L34" s="189"/>
      <c r="M34" s="311">
        <f t="shared" si="41"/>
        <v>156.30799999999999</v>
      </c>
      <c r="N34" s="311">
        <v>90</v>
      </c>
      <c r="O34" s="311">
        <v>2</v>
      </c>
      <c r="P34" s="311">
        <v>64.507999999999996</v>
      </c>
      <c r="Q34" s="139">
        <f t="shared" si="22"/>
        <v>0</v>
      </c>
      <c r="R34" s="139">
        <f t="shared" si="23"/>
        <v>0</v>
      </c>
      <c r="S34" s="139">
        <f t="shared" si="24"/>
        <v>0</v>
      </c>
      <c r="T34" s="139">
        <f t="shared" si="25"/>
        <v>0</v>
      </c>
      <c r="U34" s="139">
        <f t="shared" si="34"/>
        <v>0</v>
      </c>
      <c r="V34" s="139">
        <f t="shared" si="35"/>
        <v>0</v>
      </c>
      <c r="W34" s="139">
        <f t="shared" si="36"/>
        <v>0</v>
      </c>
      <c r="X34" s="139">
        <f t="shared" si="37"/>
        <v>0</v>
      </c>
      <c r="Y34" s="192"/>
      <c r="Z34" s="338"/>
      <c r="AA34" s="338"/>
      <c r="AB34" s="338"/>
      <c r="AC34" s="338"/>
      <c r="AD34" s="338"/>
      <c r="AE34" s="338"/>
      <c r="AF34" s="338"/>
      <c r="AG34" s="338"/>
      <c r="AH34" s="338"/>
      <c r="AI34" s="338"/>
      <c r="AJ34" s="338"/>
      <c r="AK34" s="338"/>
      <c r="AL34" s="338"/>
      <c r="AM34" s="338"/>
      <c r="AN34" s="338"/>
      <c r="AO34" s="338"/>
      <c r="AP34" s="338"/>
      <c r="AS34" s="165">
        <v>1</v>
      </c>
      <c r="AT34" s="165" t="s">
        <v>615</v>
      </c>
      <c r="AU34" s="165" t="s">
        <v>231</v>
      </c>
      <c r="AV34" s="165">
        <v>156.30799999999999</v>
      </c>
      <c r="AW34" s="165">
        <v>90</v>
      </c>
      <c r="AX34" s="165">
        <v>2</v>
      </c>
      <c r="AY34" s="328">
        <v>64.507999999999996</v>
      </c>
      <c r="AZ34" s="328">
        <f t="shared" si="14"/>
        <v>0</v>
      </c>
    </row>
    <row r="35" spans="1:52" ht="22.5">
      <c r="A35" s="300"/>
      <c r="B35" s="129">
        <v>2</v>
      </c>
      <c r="C35" s="196" t="s">
        <v>616</v>
      </c>
      <c r="D35" s="129" t="s">
        <v>231</v>
      </c>
      <c r="E35" s="151"/>
      <c r="F35" s="189"/>
      <c r="G35" s="189"/>
      <c r="H35" s="151"/>
      <c r="I35" s="189"/>
      <c r="J35" s="151"/>
      <c r="K35" s="189"/>
      <c r="L35" s="189"/>
      <c r="M35" s="311">
        <f t="shared" si="41"/>
        <v>168.404</v>
      </c>
      <c r="N35" s="311">
        <v>90</v>
      </c>
      <c r="O35" s="311">
        <v>2</v>
      </c>
      <c r="P35" s="311">
        <v>76.603999999999999</v>
      </c>
      <c r="Q35" s="139">
        <f t="shared" si="22"/>
        <v>0</v>
      </c>
      <c r="R35" s="139">
        <f t="shared" si="23"/>
        <v>0</v>
      </c>
      <c r="S35" s="139">
        <f t="shared" si="24"/>
        <v>0</v>
      </c>
      <c r="T35" s="139">
        <f t="shared" si="25"/>
        <v>0</v>
      </c>
      <c r="U35" s="139">
        <f t="shared" si="34"/>
        <v>0</v>
      </c>
      <c r="V35" s="139">
        <f t="shared" si="35"/>
        <v>0</v>
      </c>
      <c r="W35" s="139">
        <f t="shared" si="36"/>
        <v>0</v>
      </c>
      <c r="X35" s="139">
        <f t="shared" si="37"/>
        <v>0</v>
      </c>
      <c r="Y35" s="192"/>
      <c r="Z35" s="338"/>
      <c r="AA35" s="338"/>
      <c r="AB35" s="338"/>
      <c r="AC35" s="338"/>
      <c r="AD35" s="338"/>
      <c r="AE35" s="338"/>
      <c r="AF35" s="338"/>
      <c r="AG35" s="338"/>
      <c r="AH35" s="338"/>
      <c r="AI35" s="338"/>
      <c r="AJ35" s="338"/>
      <c r="AK35" s="338"/>
      <c r="AL35" s="338"/>
      <c r="AM35" s="338"/>
      <c r="AN35" s="338"/>
      <c r="AO35" s="338"/>
      <c r="AP35" s="338"/>
      <c r="AS35" s="165">
        <v>2</v>
      </c>
      <c r="AT35" s="165" t="s">
        <v>616</v>
      </c>
      <c r="AU35" s="165" t="s">
        <v>231</v>
      </c>
      <c r="AV35" s="165">
        <v>168.404</v>
      </c>
      <c r="AW35" s="165">
        <v>90</v>
      </c>
      <c r="AX35" s="165">
        <v>2</v>
      </c>
      <c r="AY35" s="328">
        <v>76.603999999999999</v>
      </c>
      <c r="AZ35" s="328">
        <f t="shared" si="14"/>
        <v>0</v>
      </c>
    </row>
    <row r="36" spans="1:52" ht="39" customHeight="1">
      <c r="A36" s="300"/>
      <c r="B36" s="129">
        <v>3</v>
      </c>
      <c r="C36" s="196" t="s">
        <v>617</v>
      </c>
      <c r="D36" s="129" t="s">
        <v>231</v>
      </c>
      <c r="E36" s="189"/>
      <c r="F36" s="189"/>
      <c r="G36" s="189"/>
      <c r="H36" s="189"/>
      <c r="I36" s="189"/>
      <c r="J36" s="189"/>
      <c r="K36" s="189"/>
      <c r="L36" s="189"/>
      <c r="M36" s="311">
        <f t="shared" si="41"/>
        <v>156.31</v>
      </c>
      <c r="N36" s="311">
        <v>90</v>
      </c>
      <c r="O36" s="311">
        <v>2</v>
      </c>
      <c r="P36" s="311">
        <v>64.510000000000005</v>
      </c>
      <c r="Q36" s="139">
        <f t="shared" si="22"/>
        <v>0</v>
      </c>
      <c r="R36" s="139">
        <f t="shared" si="23"/>
        <v>0</v>
      </c>
      <c r="S36" s="139">
        <f t="shared" si="24"/>
        <v>0</v>
      </c>
      <c r="T36" s="139">
        <f t="shared" si="25"/>
        <v>0</v>
      </c>
      <c r="U36" s="139">
        <f t="shared" si="34"/>
        <v>0</v>
      </c>
      <c r="V36" s="139">
        <f t="shared" si="35"/>
        <v>0</v>
      </c>
      <c r="W36" s="139">
        <f t="shared" si="36"/>
        <v>0</v>
      </c>
      <c r="X36" s="139">
        <f t="shared" si="37"/>
        <v>0</v>
      </c>
      <c r="Y36" s="192"/>
      <c r="Z36" s="338"/>
      <c r="AA36" s="338"/>
      <c r="AB36" s="338"/>
      <c r="AC36" s="338"/>
      <c r="AD36" s="338"/>
      <c r="AE36" s="338"/>
      <c r="AF36" s="338"/>
      <c r="AG36" s="338"/>
      <c r="AH36" s="338"/>
      <c r="AI36" s="338"/>
      <c r="AJ36" s="338"/>
      <c r="AK36" s="338"/>
      <c r="AL36" s="338"/>
      <c r="AM36" s="338"/>
      <c r="AN36" s="338"/>
      <c r="AO36" s="338"/>
      <c r="AP36" s="338"/>
      <c r="AS36" s="165">
        <v>3</v>
      </c>
      <c r="AT36" s="165" t="s">
        <v>618</v>
      </c>
      <c r="AU36" s="165" t="s">
        <v>231</v>
      </c>
      <c r="AV36" s="165">
        <v>156.31</v>
      </c>
      <c r="AW36" s="165">
        <v>90</v>
      </c>
      <c r="AX36" s="165">
        <v>2</v>
      </c>
      <c r="AY36" s="328">
        <v>64.510000000000005</v>
      </c>
      <c r="AZ36" s="328">
        <f t="shared" si="14"/>
        <v>0</v>
      </c>
    </row>
    <row r="37" spans="1:52" ht="39" customHeight="1">
      <c r="A37" s="300"/>
      <c r="B37" s="129">
        <v>4</v>
      </c>
      <c r="C37" s="196" t="s">
        <v>819</v>
      </c>
      <c r="D37" s="129" t="s">
        <v>231</v>
      </c>
      <c r="E37" s="151"/>
      <c r="F37" s="189"/>
      <c r="G37" s="189"/>
      <c r="H37" s="151"/>
      <c r="I37" s="189"/>
      <c r="J37" s="151"/>
      <c r="K37" s="189"/>
      <c r="L37" s="189"/>
      <c r="M37" s="311">
        <f t="shared" si="41"/>
        <v>217.50799999999998</v>
      </c>
      <c r="N37" s="311">
        <v>150</v>
      </c>
      <c r="O37" s="311">
        <v>2</v>
      </c>
      <c r="P37" s="311">
        <v>64.507999999999996</v>
      </c>
      <c r="Q37" s="139">
        <f t="shared" si="22"/>
        <v>0</v>
      </c>
      <c r="R37" s="139">
        <f t="shared" si="23"/>
        <v>0</v>
      </c>
      <c r="S37" s="139">
        <f t="shared" si="24"/>
        <v>0</v>
      </c>
      <c r="T37" s="139">
        <f t="shared" si="25"/>
        <v>0</v>
      </c>
      <c r="U37" s="139">
        <f t="shared" si="34"/>
        <v>0</v>
      </c>
      <c r="V37" s="139">
        <f t="shared" si="35"/>
        <v>0</v>
      </c>
      <c r="W37" s="139">
        <f t="shared" si="36"/>
        <v>0</v>
      </c>
      <c r="X37" s="139">
        <f t="shared" si="37"/>
        <v>0</v>
      </c>
      <c r="Y37" s="192"/>
      <c r="Z37" s="338"/>
      <c r="AA37" s="338"/>
      <c r="AB37" s="338"/>
      <c r="AC37" s="338"/>
      <c r="AD37" s="338"/>
      <c r="AE37" s="338"/>
      <c r="AF37" s="338"/>
      <c r="AG37" s="338"/>
      <c r="AH37" s="338"/>
      <c r="AI37" s="338"/>
      <c r="AJ37" s="338"/>
      <c r="AK37" s="338"/>
      <c r="AL37" s="338"/>
      <c r="AM37" s="338"/>
      <c r="AN37" s="338"/>
      <c r="AO37" s="338"/>
      <c r="AP37" s="338"/>
      <c r="AS37" s="165">
        <v>4</v>
      </c>
      <c r="AT37" s="165" t="s">
        <v>819</v>
      </c>
      <c r="AU37" s="165" t="s">
        <v>231</v>
      </c>
      <c r="AV37" s="165">
        <v>217.50800000000001</v>
      </c>
      <c r="AW37" s="165">
        <v>150</v>
      </c>
      <c r="AX37" s="165">
        <v>2</v>
      </c>
      <c r="AY37" s="328">
        <v>64.507999999999996</v>
      </c>
      <c r="AZ37" s="328">
        <f t="shared" si="14"/>
        <v>0</v>
      </c>
    </row>
    <row r="38" spans="1:52" ht="42.75" customHeight="1">
      <c r="A38" s="300" t="s">
        <v>820</v>
      </c>
      <c r="B38" s="129">
        <v>5</v>
      </c>
      <c r="C38" s="196" t="s">
        <v>821</v>
      </c>
      <c r="D38" s="129" t="s">
        <v>231</v>
      </c>
      <c r="E38" s="189"/>
      <c r="F38" s="189"/>
      <c r="G38" s="189"/>
      <c r="H38" s="189"/>
      <c r="I38" s="189"/>
      <c r="J38" s="189"/>
      <c r="K38" s="189"/>
      <c r="L38" s="189"/>
      <c r="M38" s="311">
        <f t="shared" si="41"/>
        <v>217.50799999999998</v>
      </c>
      <c r="N38" s="311">
        <v>150</v>
      </c>
      <c r="O38" s="311">
        <v>2</v>
      </c>
      <c r="P38" s="311">
        <v>64.507999999999996</v>
      </c>
      <c r="Q38" s="139">
        <f t="shared" si="22"/>
        <v>0</v>
      </c>
      <c r="R38" s="139">
        <f t="shared" si="23"/>
        <v>0</v>
      </c>
      <c r="S38" s="139">
        <f t="shared" si="24"/>
        <v>0</v>
      </c>
      <c r="T38" s="139">
        <f t="shared" si="25"/>
        <v>0</v>
      </c>
      <c r="U38" s="139">
        <f t="shared" si="34"/>
        <v>0</v>
      </c>
      <c r="V38" s="139">
        <f t="shared" si="35"/>
        <v>0</v>
      </c>
      <c r="W38" s="139">
        <f t="shared" si="36"/>
        <v>0</v>
      </c>
      <c r="X38" s="139">
        <f t="shared" si="37"/>
        <v>0</v>
      </c>
      <c r="Y38" s="192"/>
      <c r="Z38" s="338"/>
      <c r="AA38" s="338"/>
      <c r="AB38" s="338"/>
      <c r="AC38" s="338"/>
      <c r="AD38" s="338"/>
      <c r="AE38" s="338"/>
      <c r="AF38" s="338"/>
      <c r="AG38" s="338"/>
      <c r="AH38" s="338"/>
      <c r="AI38" s="338"/>
      <c r="AJ38" s="338"/>
      <c r="AK38" s="338"/>
      <c r="AL38" s="338"/>
      <c r="AM38" s="338"/>
      <c r="AN38" s="338"/>
      <c r="AO38" s="338"/>
      <c r="AP38" s="338"/>
      <c r="AS38" s="165">
        <v>5</v>
      </c>
      <c r="AT38" s="165" t="s">
        <v>822</v>
      </c>
      <c r="AU38" s="165" t="s">
        <v>231</v>
      </c>
      <c r="AV38" s="165">
        <v>217.50800000000001</v>
      </c>
      <c r="AW38" s="165">
        <v>150</v>
      </c>
      <c r="AX38" s="165">
        <v>2</v>
      </c>
      <c r="AY38" s="328">
        <v>64.507999999999996</v>
      </c>
      <c r="AZ38" s="328">
        <f t="shared" si="14"/>
        <v>0</v>
      </c>
    </row>
    <row r="39" spans="1:52" ht="39" customHeight="1">
      <c r="A39" s="300" t="s">
        <v>317</v>
      </c>
      <c r="B39" s="129" t="s">
        <v>278</v>
      </c>
      <c r="C39" s="331" t="s">
        <v>823</v>
      </c>
      <c r="D39" s="129" t="s">
        <v>231</v>
      </c>
      <c r="E39" s="151"/>
      <c r="F39" s="189"/>
      <c r="G39" s="189"/>
      <c r="H39" s="151"/>
      <c r="I39" s="189"/>
      <c r="J39" s="151"/>
      <c r="K39" s="189"/>
      <c r="L39" s="189"/>
      <c r="M39" s="311">
        <f t="shared" ref="M39" si="46">N39+N39*O39%+P39</f>
        <v>156.30799999999999</v>
      </c>
      <c r="N39" s="311">
        <v>90</v>
      </c>
      <c r="O39" s="311">
        <v>2</v>
      </c>
      <c r="P39" s="311">
        <v>64.507999999999996</v>
      </c>
      <c r="Q39" s="139">
        <f t="shared" ref="Q39" si="47">E39*$M39</f>
        <v>0</v>
      </c>
      <c r="R39" s="139">
        <f t="shared" ref="R39" si="48">F39*$M39</f>
        <v>0</v>
      </c>
      <c r="S39" s="139">
        <f t="shared" ref="S39" si="49">G39*$M39</f>
        <v>0</v>
      </c>
      <c r="T39" s="139">
        <f t="shared" ref="T39" si="50">H39*$M39</f>
        <v>0</v>
      </c>
      <c r="U39" s="139">
        <f t="shared" si="34"/>
        <v>0</v>
      </c>
      <c r="V39" s="139">
        <f t="shared" si="35"/>
        <v>0</v>
      </c>
      <c r="W39" s="139">
        <f t="shared" si="36"/>
        <v>0</v>
      </c>
      <c r="X39" s="139">
        <f t="shared" si="37"/>
        <v>0</v>
      </c>
      <c r="Y39" s="192"/>
      <c r="Z39" s="338"/>
      <c r="AA39" s="338"/>
      <c r="AB39" s="338"/>
      <c r="AC39" s="338"/>
      <c r="AD39" s="338"/>
      <c r="AE39" s="338"/>
      <c r="AF39" s="338"/>
      <c r="AG39" s="338"/>
      <c r="AH39" s="338"/>
      <c r="AI39" s="338"/>
      <c r="AJ39" s="338"/>
      <c r="AK39" s="338"/>
      <c r="AL39" s="338"/>
      <c r="AM39" s="338"/>
      <c r="AN39" s="338"/>
      <c r="AO39" s="338"/>
      <c r="AP39" s="338"/>
      <c r="AS39" s="165"/>
      <c r="AT39" s="165"/>
      <c r="AU39" s="165"/>
      <c r="AV39" s="165"/>
      <c r="AW39" s="165"/>
      <c r="AX39" s="165"/>
      <c r="AY39" s="328"/>
      <c r="AZ39" s="328"/>
    </row>
    <row r="40" spans="1:52" ht="29.25" customHeight="1">
      <c r="A40" s="300"/>
      <c r="B40" s="129">
        <v>6</v>
      </c>
      <c r="C40" s="196" t="s">
        <v>824</v>
      </c>
      <c r="D40" s="129" t="s">
        <v>231</v>
      </c>
      <c r="E40" s="189"/>
      <c r="F40" s="189"/>
      <c r="G40" s="189"/>
      <c r="H40" s="189"/>
      <c r="I40" s="189"/>
      <c r="J40" s="189"/>
      <c r="K40" s="189"/>
      <c r="L40" s="189"/>
      <c r="M40" s="311">
        <f t="shared" ref="M40:M50" si="51">N40+N40*O40%+P40</f>
        <v>229.60399999999998</v>
      </c>
      <c r="N40" s="311">
        <v>150</v>
      </c>
      <c r="O40" s="311">
        <v>2</v>
      </c>
      <c r="P40" s="311">
        <v>76.603999999999999</v>
      </c>
      <c r="Q40" s="139">
        <f t="shared" ref="Q40:Q50" si="52">E40*$M40</f>
        <v>0</v>
      </c>
      <c r="R40" s="139">
        <f t="shared" ref="R40:R50" si="53">F40*$M40</f>
        <v>0</v>
      </c>
      <c r="S40" s="139">
        <f t="shared" ref="S40:S50" si="54">G40*$M40</f>
        <v>0</v>
      </c>
      <c r="T40" s="139">
        <f t="shared" ref="T40:T50" si="55">H40*$M40</f>
        <v>0</v>
      </c>
      <c r="U40" s="139">
        <f t="shared" si="34"/>
        <v>0</v>
      </c>
      <c r="V40" s="139">
        <f t="shared" si="35"/>
        <v>0</v>
      </c>
      <c r="W40" s="139">
        <f t="shared" si="36"/>
        <v>0</v>
      </c>
      <c r="X40" s="139">
        <f t="shared" si="37"/>
        <v>0</v>
      </c>
      <c r="Y40" s="192"/>
      <c r="Z40" s="338"/>
      <c r="AA40" s="338"/>
      <c r="AB40" s="338"/>
      <c r="AC40" s="338"/>
      <c r="AD40" s="338"/>
      <c r="AE40" s="338"/>
      <c r="AF40" s="338"/>
      <c r="AG40" s="338"/>
      <c r="AH40" s="338"/>
      <c r="AI40" s="338"/>
      <c r="AJ40" s="338"/>
      <c r="AK40" s="338"/>
      <c r="AL40" s="338"/>
      <c r="AM40" s="338"/>
      <c r="AN40" s="338"/>
      <c r="AO40" s="338"/>
      <c r="AP40" s="338"/>
      <c r="AS40" s="165">
        <v>6</v>
      </c>
      <c r="AT40" s="165" t="s">
        <v>824</v>
      </c>
      <c r="AU40" s="165" t="s">
        <v>231</v>
      </c>
      <c r="AV40" s="165">
        <v>229.60400000000001</v>
      </c>
      <c r="AW40" s="165">
        <v>150</v>
      </c>
      <c r="AX40" s="165">
        <v>2</v>
      </c>
      <c r="AY40" s="328">
        <v>76.603999999999999</v>
      </c>
      <c r="AZ40" s="328">
        <f t="shared" ref="AZ40" si="56">AV40-M40</f>
        <v>0</v>
      </c>
    </row>
    <row r="41" spans="1:52" ht="32.25" customHeight="1">
      <c r="A41" s="300"/>
      <c r="B41" s="129">
        <v>7</v>
      </c>
      <c r="C41" s="196" t="s">
        <v>825</v>
      </c>
      <c r="D41" s="129" t="s">
        <v>231</v>
      </c>
      <c r="E41" s="151"/>
      <c r="F41" s="189"/>
      <c r="G41" s="189"/>
      <c r="H41" s="151"/>
      <c r="I41" s="189"/>
      <c r="J41" s="151"/>
      <c r="K41" s="189"/>
      <c r="L41" s="189"/>
      <c r="M41" s="311">
        <f t="shared" si="51"/>
        <v>122.50555555555556</v>
      </c>
      <c r="N41" s="311">
        <f>'附件4-8甲供材料清单'!M188</f>
        <v>69.444444444444443</v>
      </c>
      <c r="O41" s="311">
        <v>7</v>
      </c>
      <c r="P41" s="311">
        <v>48.2</v>
      </c>
      <c r="Q41" s="139">
        <f t="shared" si="52"/>
        <v>0</v>
      </c>
      <c r="R41" s="139">
        <f t="shared" si="53"/>
        <v>0</v>
      </c>
      <c r="S41" s="139">
        <f t="shared" si="54"/>
        <v>0</v>
      </c>
      <c r="T41" s="139">
        <f t="shared" si="55"/>
        <v>0</v>
      </c>
      <c r="U41" s="139">
        <f t="shared" si="34"/>
        <v>0</v>
      </c>
      <c r="V41" s="139">
        <f t="shared" si="35"/>
        <v>0</v>
      </c>
      <c r="W41" s="139">
        <f t="shared" si="36"/>
        <v>0</v>
      </c>
      <c r="X41" s="139">
        <f t="shared" si="37"/>
        <v>0</v>
      </c>
      <c r="Y41" s="192" t="s">
        <v>244</v>
      </c>
      <c r="Z41" s="338">
        <f t="shared" ref="Z41" si="57">Q41</f>
        <v>0</v>
      </c>
      <c r="AA41" s="338">
        <f t="shared" ref="AA41" si="58">R41</f>
        <v>0</v>
      </c>
      <c r="AB41" s="338">
        <f t="shared" ref="AB41:AG43" si="59">S41</f>
        <v>0</v>
      </c>
      <c r="AC41" s="338">
        <f t="shared" si="59"/>
        <v>0</v>
      </c>
      <c r="AD41" s="338">
        <f t="shared" si="59"/>
        <v>0</v>
      </c>
      <c r="AE41" s="338">
        <f t="shared" si="59"/>
        <v>0</v>
      </c>
      <c r="AF41" s="338">
        <f t="shared" si="59"/>
        <v>0</v>
      </c>
      <c r="AG41" s="338">
        <f t="shared" si="59"/>
        <v>0</v>
      </c>
      <c r="AH41" s="338"/>
      <c r="AI41" s="338">
        <f t="shared" ref="AI41" si="60">E41*$N41*(1+$O41%)</f>
        <v>0</v>
      </c>
      <c r="AJ41" s="338">
        <f t="shared" ref="AJ41" si="61">F41*$N41*(1+$O41%)</f>
        <v>0</v>
      </c>
      <c r="AK41" s="338">
        <f t="shared" ref="AK41:AP43" si="62">G41*$N41*(1+$O41%)</f>
        <v>0</v>
      </c>
      <c r="AL41" s="338">
        <f t="shared" si="62"/>
        <v>0</v>
      </c>
      <c r="AM41" s="338">
        <f t="shared" si="62"/>
        <v>0</v>
      </c>
      <c r="AN41" s="338">
        <f t="shared" si="62"/>
        <v>0</v>
      </c>
      <c r="AO41" s="338">
        <f t="shared" si="62"/>
        <v>0</v>
      </c>
      <c r="AP41" s="338">
        <f t="shared" si="62"/>
        <v>0</v>
      </c>
      <c r="AS41" s="165">
        <v>7</v>
      </c>
      <c r="AT41" s="165" t="s">
        <v>825</v>
      </c>
      <c r="AU41" s="165" t="s">
        <v>231</v>
      </c>
      <c r="AV41" s="165">
        <v>122.505555555556</v>
      </c>
      <c r="AW41" s="165">
        <v>69.4444444444444</v>
      </c>
      <c r="AX41" s="165">
        <v>7</v>
      </c>
      <c r="AY41" s="328">
        <v>48.2</v>
      </c>
      <c r="AZ41" s="328">
        <f t="shared" ref="AZ41:AZ71" si="63">AV41-M41</f>
        <v>4.4053649617126212E-13</v>
      </c>
    </row>
    <row r="42" spans="1:52" ht="27.75" customHeight="1">
      <c r="A42" s="300"/>
      <c r="B42" s="129">
        <v>8</v>
      </c>
      <c r="C42" s="196" t="s">
        <v>826</v>
      </c>
      <c r="D42" s="129" t="s">
        <v>231</v>
      </c>
      <c r="E42" s="189"/>
      <c r="F42" s="189"/>
      <c r="G42" s="189"/>
      <c r="H42" s="189"/>
      <c r="I42" s="189"/>
      <c r="J42" s="189"/>
      <c r="K42" s="189"/>
      <c r="L42" s="189"/>
      <c r="M42" s="311">
        <f t="shared" si="51"/>
        <v>124.58888888888889</v>
      </c>
      <c r="N42" s="311">
        <f>N41</f>
        <v>69.444444444444443</v>
      </c>
      <c r="O42" s="311">
        <v>10</v>
      </c>
      <c r="P42" s="311">
        <v>48.2</v>
      </c>
      <c r="Q42" s="139">
        <f t="shared" si="52"/>
        <v>0</v>
      </c>
      <c r="R42" s="139">
        <f t="shared" si="53"/>
        <v>0</v>
      </c>
      <c r="S42" s="139">
        <f t="shared" si="54"/>
        <v>0</v>
      </c>
      <c r="T42" s="139">
        <f t="shared" si="55"/>
        <v>0</v>
      </c>
      <c r="U42" s="139">
        <f t="shared" si="34"/>
        <v>0</v>
      </c>
      <c r="V42" s="139">
        <f t="shared" si="35"/>
        <v>0</v>
      </c>
      <c r="W42" s="139">
        <f t="shared" si="36"/>
        <v>0</v>
      </c>
      <c r="X42" s="139">
        <f t="shared" si="37"/>
        <v>0</v>
      </c>
      <c r="Y42" s="192" t="s">
        <v>244</v>
      </c>
      <c r="Z42" s="338">
        <f>Q42</f>
        <v>0</v>
      </c>
      <c r="AA42" s="338">
        <f>R42</f>
        <v>0</v>
      </c>
      <c r="AB42" s="338">
        <f t="shared" si="59"/>
        <v>0</v>
      </c>
      <c r="AC42" s="338">
        <f t="shared" si="59"/>
        <v>0</v>
      </c>
      <c r="AD42" s="338">
        <f t="shared" si="59"/>
        <v>0</v>
      </c>
      <c r="AE42" s="338">
        <f t="shared" si="59"/>
        <v>0</v>
      </c>
      <c r="AF42" s="338">
        <f t="shared" si="59"/>
        <v>0</v>
      </c>
      <c r="AG42" s="338">
        <f t="shared" si="59"/>
        <v>0</v>
      </c>
      <c r="AH42" s="338"/>
      <c r="AI42" s="338">
        <f>E42*$N42*(1+$O42%)</f>
        <v>0</v>
      </c>
      <c r="AJ42" s="338">
        <f>F42*$N42*(1+$O42%)</f>
        <v>0</v>
      </c>
      <c r="AK42" s="338">
        <f t="shared" si="62"/>
        <v>0</v>
      </c>
      <c r="AL42" s="338">
        <f t="shared" si="62"/>
        <v>0</v>
      </c>
      <c r="AM42" s="338">
        <f t="shared" si="62"/>
        <v>0</v>
      </c>
      <c r="AN42" s="338">
        <f t="shared" si="62"/>
        <v>0</v>
      </c>
      <c r="AO42" s="338">
        <f t="shared" si="62"/>
        <v>0</v>
      </c>
      <c r="AP42" s="338">
        <f t="shared" si="62"/>
        <v>0</v>
      </c>
      <c r="AS42" s="165">
        <v>8</v>
      </c>
      <c r="AT42" s="165" t="s">
        <v>826</v>
      </c>
      <c r="AU42" s="165" t="s">
        <v>231</v>
      </c>
      <c r="AV42" s="165">
        <v>124.588888888889</v>
      </c>
      <c r="AW42" s="165">
        <v>69.4444444444444</v>
      </c>
      <c r="AX42" s="165">
        <v>10</v>
      </c>
      <c r="AY42" s="328">
        <v>48.2</v>
      </c>
      <c r="AZ42" s="328">
        <f t="shared" si="63"/>
        <v>1.1368683772161603E-13</v>
      </c>
    </row>
    <row r="43" spans="1:52" ht="38.25" customHeight="1">
      <c r="A43" s="300"/>
      <c r="B43" s="129">
        <v>9</v>
      </c>
      <c r="C43" s="196" t="s">
        <v>827</v>
      </c>
      <c r="D43" s="129" t="s">
        <v>231</v>
      </c>
      <c r="E43" s="151"/>
      <c r="F43" s="189"/>
      <c r="G43" s="189"/>
      <c r="H43" s="151"/>
      <c r="I43" s="189"/>
      <c r="J43" s="151"/>
      <c r="K43" s="189"/>
      <c r="L43" s="189"/>
      <c r="M43" s="311">
        <f t="shared" si="51"/>
        <v>138.70555555555558</v>
      </c>
      <c r="N43" s="311">
        <f>N42</f>
        <v>69.444444444444443</v>
      </c>
      <c r="O43" s="311">
        <v>7</v>
      </c>
      <c r="P43" s="311">
        <v>64.400000000000006</v>
      </c>
      <c r="Q43" s="139">
        <f t="shared" si="52"/>
        <v>0</v>
      </c>
      <c r="R43" s="139">
        <f t="shared" si="53"/>
        <v>0</v>
      </c>
      <c r="S43" s="139">
        <f t="shared" si="54"/>
        <v>0</v>
      </c>
      <c r="T43" s="139">
        <f t="shared" si="55"/>
        <v>0</v>
      </c>
      <c r="U43" s="139">
        <f t="shared" si="34"/>
        <v>0</v>
      </c>
      <c r="V43" s="139">
        <f t="shared" si="35"/>
        <v>0</v>
      </c>
      <c r="W43" s="139">
        <f t="shared" si="36"/>
        <v>0</v>
      </c>
      <c r="X43" s="139">
        <f t="shared" si="37"/>
        <v>0</v>
      </c>
      <c r="Y43" s="192" t="s">
        <v>244</v>
      </c>
      <c r="Z43" s="338">
        <f>Q43</f>
        <v>0</v>
      </c>
      <c r="AA43" s="338">
        <f>R43</f>
        <v>0</v>
      </c>
      <c r="AB43" s="338">
        <f t="shared" si="59"/>
        <v>0</v>
      </c>
      <c r="AC43" s="338">
        <f t="shared" si="59"/>
        <v>0</v>
      </c>
      <c r="AD43" s="338">
        <f t="shared" si="59"/>
        <v>0</v>
      </c>
      <c r="AE43" s="338">
        <f t="shared" si="59"/>
        <v>0</v>
      </c>
      <c r="AF43" s="338">
        <f t="shared" si="59"/>
        <v>0</v>
      </c>
      <c r="AG43" s="338">
        <f t="shared" si="59"/>
        <v>0</v>
      </c>
      <c r="AH43" s="338"/>
      <c r="AI43" s="338">
        <f>E43*$N43*(1+$O43%)</f>
        <v>0</v>
      </c>
      <c r="AJ43" s="338">
        <f>F43*$N43*(1+$O43%)</f>
        <v>0</v>
      </c>
      <c r="AK43" s="338">
        <f t="shared" si="62"/>
        <v>0</v>
      </c>
      <c r="AL43" s="338">
        <f t="shared" si="62"/>
        <v>0</v>
      </c>
      <c r="AM43" s="338">
        <f t="shared" si="62"/>
        <v>0</v>
      </c>
      <c r="AN43" s="338">
        <f t="shared" si="62"/>
        <v>0</v>
      </c>
      <c r="AO43" s="338">
        <f t="shared" si="62"/>
        <v>0</v>
      </c>
      <c r="AP43" s="338">
        <f t="shared" si="62"/>
        <v>0</v>
      </c>
      <c r="AS43" s="165">
        <v>9</v>
      </c>
      <c r="AT43" s="165" t="s">
        <v>827</v>
      </c>
      <c r="AU43" s="165" t="s">
        <v>231</v>
      </c>
      <c r="AV43" s="165">
        <v>138.705555555556</v>
      </c>
      <c r="AW43" s="165">
        <v>69.4444444444444</v>
      </c>
      <c r="AX43" s="165">
        <v>7</v>
      </c>
      <c r="AY43" s="328">
        <v>64.400000000000006</v>
      </c>
      <c r="AZ43" s="328">
        <f t="shared" si="63"/>
        <v>4.2632564145606011E-13</v>
      </c>
    </row>
    <row r="44" spans="1:52" ht="26.25" customHeight="1">
      <c r="A44" s="300"/>
      <c r="B44" s="129">
        <v>10</v>
      </c>
      <c r="C44" s="196" t="s">
        <v>828</v>
      </c>
      <c r="D44" s="129" t="s">
        <v>235</v>
      </c>
      <c r="E44" s="189"/>
      <c r="F44" s="189"/>
      <c r="G44" s="189"/>
      <c r="H44" s="189"/>
      <c r="I44" s="189"/>
      <c r="J44" s="189"/>
      <c r="K44" s="189"/>
      <c r="L44" s="189"/>
      <c r="M44" s="311">
        <f t="shared" si="51"/>
        <v>12.729000000000001</v>
      </c>
      <c r="N44" s="311">
        <f>9.3</f>
        <v>9.3000000000000007</v>
      </c>
      <c r="O44" s="311">
        <v>3</v>
      </c>
      <c r="P44" s="311">
        <f>105*0.03</f>
        <v>3.15</v>
      </c>
      <c r="Q44" s="139">
        <f t="shared" si="52"/>
        <v>0</v>
      </c>
      <c r="R44" s="139">
        <f t="shared" si="53"/>
        <v>0</v>
      </c>
      <c r="S44" s="139">
        <f t="shared" si="54"/>
        <v>0</v>
      </c>
      <c r="T44" s="139">
        <f t="shared" si="55"/>
        <v>0</v>
      </c>
      <c r="U44" s="139">
        <f t="shared" si="34"/>
        <v>0</v>
      </c>
      <c r="V44" s="139">
        <f t="shared" si="35"/>
        <v>0</v>
      </c>
      <c r="W44" s="139">
        <f t="shared" si="36"/>
        <v>0</v>
      </c>
      <c r="X44" s="139">
        <f t="shared" si="37"/>
        <v>0</v>
      </c>
      <c r="Y44" s="339"/>
      <c r="Z44" s="338"/>
      <c r="AA44" s="338"/>
      <c r="AB44" s="338"/>
      <c r="AC44" s="338"/>
      <c r="AD44" s="338"/>
      <c r="AE44" s="338"/>
      <c r="AF44" s="338"/>
      <c r="AG44" s="338"/>
      <c r="AH44" s="338"/>
      <c r="AI44" s="338"/>
      <c r="AJ44" s="338"/>
      <c r="AK44" s="338"/>
      <c r="AL44" s="338"/>
      <c r="AM44" s="338"/>
      <c r="AN44" s="338"/>
      <c r="AO44" s="338"/>
      <c r="AP44" s="338"/>
      <c r="AS44" s="165">
        <v>10</v>
      </c>
      <c r="AT44" s="165" t="s">
        <v>828</v>
      </c>
      <c r="AU44" s="165" t="s">
        <v>235</v>
      </c>
      <c r="AV44" s="165">
        <v>12.728999999999999</v>
      </c>
      <c r="AW44" s="165">
        <v>9.3000000000000007</v>
      </c>
      <c r="AX44" s="165">
        <v>3</v>
      </c>
      <c r="AY44" s="328">
        <v>3.15</v>
      </c>
      <c r="AZ44" s="328">
        <f t="shared" si="63"/>
        <v>0</v>
      </c>
    </row>
    <row r="45" spans="1:52" ht="26.25" customHeight="1">
      <c r="A45" s="300"/>
      <c r="B45" s="129">
        <v>11</v>
      </c>
      <c r="C45" s="196" t="s">
        <v>829</v>
      </c>
      <c r="D45" s="129" t="s">
        <v>235</v>
      </c>
      <c r="E45" s="151"/>
      <c r="F45" s="189"/>
      <c r="G45" s="189"/>
      <c r="H45" s="151"/>
      <c r="I45" s="189"/>
      <c r="J45" s="151"/>
      <c r="K45" s="189"/>
      <c r="L45" s="189"/>
      <c r="M45" s="311">
        <f t="shared" si="51"/>
        <v>56.85</v>
      </c>
      <c r="N45" s="311">
        <v>45</v>
      </c>
      <c r="O45" s="311">
        <v>3</v>
      </c>
      <c r="P45" s="311">
        <v>10.5</v>
      </c>
      <c r="Q45" s="139">
        <f t="shared" si="52"/>
        <v>0</v>
      </c>
      <c r="R45" s="139">
        <f t="shared" si="53"/>
        <v>0</v>
      </c>
      <c r="S45" s="139">
        <f t="shared" si="54"/>
        <v>0</v>
      </c>
      <c r="T45" s="139">
        <f t="shared" si="55"/>
        <v>0</v>
      </c>
      <c r="U45" s="139">
        <f t="shared" si="34"/>
        <v>0</v>
      </c>
      <c r="V45" s="139">
        <f t="shared" si="35"/>
        <v>0</v>
      </c>
      <c r="W45" s="139">
        <f t="shared" si="36"/>
        <v>0</v>
      </c>
      <c r="X45" s="139">
        <f t="shared" si="37"/>
        <v>0</v>
      </c>
      <c r="Y45" s="339"/>
      <c r="Z45" s="338"/>
      <c r="AA45" s="338"/>
      <c r="AB45" s="338"/>
      <c r="AC45" s="338"/>
      <c r="AD45" s="338"/>
      <c r="AE45" s="338"/>
      <c r="AF45" s="338"/>
      <c r="AG45" s="338"/>
      <c r="AH45" s="338"/>
      <c r="AI45" s="338"/>
      <c r="AJ45" s="338"/>
      <c r="AK45" s="338"/>
      <c r="AL45" s="338"/>
      <c r="AM45" s="338"/>
      <c r="AN45" s="338"/>
      <c r="AO45" s="338"/>
      <c r="AP45" s="338"/>
      <c r="AS45" s="165">
        <v>11</v>
      </c>
      <c r="AT45" s="165" t="s">
        <v>829</v>
      </c>
      <c r="AU45" s="165" t="s">
        <v>235</v>
      </c>
      <c r="AV45" s="165">
        <v>56.85</v>
      </c>
      <c r="AW45" s="165">
        <v>45</v>
      </c>
      <c r="AX45" s="165">
        <v>3</v>
      </c>
      <c r="AY45" s="328">
        <v>10.5</v>
      </c>
      <c r="AZ45" s="328">
        <f t="shared" si="63"/>
        <v>0</v>
      </c>
    </row>
    <row r="46" spans="1:52" ht="26.25" customHeight="1">
      <c r="A46" s="300"/>
      <c r="B46" s="129">
        <v>12</v>
      </c>
      <c r="C46" s="196" t="s">
        <v>830</v>
      </c>
      <c r="D46" s="129" t="s">
        <v>235</v>
      </c>
      <c r="E46" s="189"/>
      <c r="F46" s="189"/>
      <c r="G46" s="189"/>
      <c r="H46" s="189"/>
      <c r="I46" s="189"/>
      <c r="J46" s="189"/>
      <c r="K46" s="189"/>
      <c r="L46" s="189"/>
      <c r="M46" s="311">
        <f t="shared" si="51"/>
        <v>9.7125000000000004</v>
      </c>
      <c r="N46" s="311">
        <f>'附件4-8甲供材料清单'!M191</f>
        <v>6.25</v>
      </c>
      <c r="O46" s="311">
        <v>5</v>
      </c>
      <c r="P46" s="311">
        <v>3.15</v>
      </c>
      <c r="Q46" s="139">
        <f t="shared" si="52"/>
        <v>0</v>
      </c>
      <c r="R46" s="139">
        <f t="shared" si="53"/>
        <v>0</v>
      </c>
      <c r="S46" s="139">
        <f t="shared" si="54"/>
        <v>0</v>
      </c>
      <c r="T46" s="139">
        <f t="shared" si="55"/>
        <v>0</v>
      </c>
      <c r="U46" s="139">
        <f t="shared" si="34"/>
        <v>0</v>
      </c>
      <c r="V46" s="139">
        <f t="shared" si="35"/>
        <v>0</v>
      </c>
      <c r="W46" s="139">
        <f t="shared" si="36"/>
        <v>0</v>
      </c>
      <c r="X46" s="139">
        <f t="shared" si="37"/>
        <v>0</v>
      </c>
      <c r="Y46" s="192" t="s">
        <v>244</v>
      </c>
      <c r="Z46" s="338">
        <f>Q46</f>
        <v>0</v>
      </c>
      <c r="AA46" s="338">
        <f t="shared" ref="AA46" si="64">R46</f>
        <v>0</v>
      </c>
      <c r="AB46" s="338">
        <f t="shared" ref="AB46:AG47" si="65">S46</f>
        <v>0</v>
      </c>
      <c r="AC46" s="338">
        <f t="shared" si="65"/>
        <v>0</v>
      </c>
      <c r="AD46" s="338">
        <f t="shared" si="65"/>
        <v>0</v>
      </c>
      <c r="AE46" s="338">
        <f t="shared" si="65"/>
        <v>0</v>
      </c>
      <c r="AF46" s="338">
        <f t="shared" si="65"/>
        <v>0</v>
      </c>
      <c r="AG46" s="338">
        <f t="shared" si="65"/>
        <v>0</v>
      </c>
      <c r="AH46" s="338"/>
      <c r="AI46" s="338">
        <f>E46*$N46*(1+$O46%)</f>
        <v>0</v>
      </c>
      <c r="AJ46" s="338">
        <f t="shared" ref="AJ46" si="66">F46*$N46*(1+$O46%)</f>
        <v>0</v>
      </c>
      <c r="AK46" s="338">
        <f t="shared" ref="AK46:AP47" si="67">G46*$N46*(1+$O46%)</f>
        <v>0</v>
      </c>
      <c r="AL46" s="338">
        <f t="shared" si="67"/>
        <v>0</v>
      </c>
      <c r="AM46" s="338">
        <f t="shared" si="67"/>
        <v>0</v>
      </c>
      <c r="AN46" s="338">
        <f t="shared" si="67"/>
        <v>0</v>
      </c>
      <c r="AO46" s="338">
        <f t="shared" si="67"/>
        <v>0</v>
      </c>
      <c r="AP46" s="338">
        <f t="shared" si="67"/>
        <v>0</v>
      </c>
      <c r="AS46" s="165">
        <v>12</v>
      </c>
      <c r="AT46" s="165" t="s">
        <v>830</v>
      </c>
      <c r="AU46" s="165" t="s">
        <v>235</v>
      </c>
      <c r="AV46" s="165">
        <v>6.3918749999999998</v>
      </c>
      <c r="AW46" s="165">
        <v>3.0874999999999999</v>
      </c>
      <c r="AX46" s="165">
        <v>5</v>
      </c>
      <c r="AY46" s="328">
        <v>3.15</v>
      </c>
      <c r="AZ46" s="328">
        <f t="shared" si="63"/>
        <v>-3.3206250000000006</v>
      </c>
    </row>
    <row r="47" spans="1:52" ht="26.25" customHeight="1">
      <c r="A47" s="300"/>
      <c r="B47" s="129">
        <v>13</v>
      </c>
      <c r="C47" s="196" t="s">
        <v>831</v>
      </c>
      <c r="D47" s="129" t="s">
        <v>235</v>
      </c>
      <c r="E47" s="151"/>
      <c r="F47" s="189"/>
      <c r="G47" s="189"/>
      <c r="H47" s="151"/>
      <c r="I47" s="189"/>
      <c r="J47" s="151"/>
      <c r="K47" s="189"/>
      <c r="L47" s="189"/>
      <c r="M47" s="311">
        <f t="shared" si="51"/>
        <v>20.195</v>
      </c>
      <c r="N47" s="311">
        <f>'附件4-8甲供材料清单'!M190</f>
        <v>12.5</v>
      </c>
      <c r="O47" s="311">
        <v>5</v>
      </c>
      <c r="P47" s="311">
        <v>7.07</v>
      </c>
      <c r="Q47" s="139">
        <f t="shared" si="52"/>
        <v>0</v>
      </c>
      <c r="R47" s="139">
        <f t="shared" si="53"/>
        <v>0</v>
      </c>
      <c r="S47" s="139">
        <f t="shared" si="54"/>
        <v>0</v>
      </c>
      <c r="T47" s="139">
        <f t="shared" si="55"/>
        <v>0</v>
      </c>
      <c r="U47" s="139">
        <f t="shared" si="34"/>
        <v>0</v>
      </c>
      <c r="V47" s="139">
        <f t="shared" si="35"/>
        <v>0</v>
      </c>
      <c r="W47" s="139">
        <f t="shared" si="36"/>
        <v>0</v>
      </c>
      <c r="X47" s="139">
        <f t="shared" si="37"/>
        <v>0</v>
      </c>
      <c r="Y47" s="192" t="s">
        <v>244</v>
      </c>
      <c r="Z47" s="338">
        <f>Q47</f>
        <v>0</v>
      </c>
      <c r="AA47" s="338">
        <f>R47</f>
        <v>0</v>
      </c>
      <c r="AB47" s="338">
        <f t="shared" si="65"/>
        <v>0</v>
      </c>
      <c r="AC47" s="338">
        <f t="shared" si="65"/>
        <v>0</v>
      </c>
      <c r="AD47" s="338">
        <f t="shared" si="65"/>
        <v>0</v>
      </c>
      <c r="AE47" s="338">
        <f t="shared" si="65"/>
        <v>0</v>
      </c>
      <c r="AF47" s="338">
        <f t="shared" si="65"/>
        <v>0</v>
      </c>
      <c r="AG47" s="338">
        <f t="shared" si="65"/>
        <v>0</v>
      </c>
      <c r="AH47" s="338"/>
      <c r="AI47" s="338">
        <f>E47*$N47*(1+$O47%)</f>
        <v>0</v>
      </c>
      <c r="AJ47" s="338">
        <f>F47*$N47*(1+$O47%)</f>
        <v>0</v>
      </c>
      <c r="AK47" s="338">
        <f t="shared" si="67"/>
        <v>0</v>
      </c>
      <c r="AL47" s="338">
        <f t="shared" si="67"/>
        <v>0</v>
      </c>
      <c r="AM47" s="338">
        <f t="shared" si="67"/>
        <v>0</v>
      </c>
      <c r="AN47" s="338">
        <f t="shared" si="67"/>
        <v>0</v>
      </c>
      <c r="AO47" s="338">
        <f t="shared" si="67"/>
        <v>0</v>
      </c>
      <c r="AP47" s="338">
        <f t="shared" si="67"/>
        <v>0</v>
      </c>
      <c r="AS47" s="165">
        <v>13</v>
      </c>
      <c r="AT47" s="165" t="s">
        <v>831</v>
      </c>
      <c r="AU47" s="165" t="s">
        <v>235</v>
      </c>
      <c r="AV47" s="165">
        <v>17.944062500000001</v>
      </c>
      <c r="AW47" s="165">
        <v>10.356249999999999</v>
      </c>
      <c r="AX47" s="165">
        <v>5</v>
      </c>
      <c r="AY47" s="328">
        <v>7.07</v>
      </c>
      <c r="AZ47" s="328">
        <f t="shared" si="63"/>
        <v>-2.2509374999999991</v>
      </c>
    </row>
    <row r="48" spans="1:52" ht="22.5" customHeight="1">
      <c r="A48" s="300"/>
      <c r="B48" s="129">
        <v>14</v>
      </c>
      <c r="C48" s="196" t="s">
        <v>629</v>
      </c>
      <c r="D48" s="129" t="s">
        <v>231</v>
      </c>
      <c r="E48" s="189"/>
      <c r="F48" s="189"/>
      <c r="G48" s="189"/>
      <c r="H48" s="189"/>
      <c r="I48" s="189"/>
      <c r="J48" s="189"/>
      <c r="K48" s="189"/>
      <c r="L48" s="189"/>
      <c r="M48" s="311">
        <f t="shared" si="51"/>
        <v>686.3</v>
      </c>
      <c r="N48" s="311">
        <v>530</v>
      </c>
      <c r="O48" s="311">
        <v>3</v>
      </c>
      <c r="P48" s="311">
        <v>140.4</v>
      </c>
      <c r="Q48" s="139">
        <f t="shared" si="52"/>
        <v>0</v>
      </c>
      <c r="R48" s="139">
        <f t="shared" si="53"/>
        <v>0</v>
      </c>
      <c r="S48" s="139">
        <f t="shared" si="54"/>
        <v>0</v>
      </c>
      <c r="T48" s="139">
        <f t="shared" si="55"/>
        <v>0</v>
      </c>
      <c r="U48" s="139">
        <f t="shared" si="34"/>
        <v>0</v>
      </c>
      <c r="V48" s="139">
        <f t="shared" si="35"/>
        <v>0</v>
      </c>
      <c r="W48" s="139">
        <f t="shared" si="36"/>
        <v>0</v>
      </c>
      <c r="X48" s="139">
        <f t="shared" si="37"/>
        <v>0</v>
      </c>
      <c r="Y48" s="883"/>
      <c r="Z48" s="338"/>
      <c r="AA48" s="338"/>
      <c r="AB48" s="338"/>
      <c r="AC48" s="338"/>
      <c r="AD48" s="338"/>
      <c r="AE48" s="338"/>
      <c r="AF48" s="338"/>
      <c r="AG48" s="338"/>
      <c r="AH48" s="338"/>
      <c r="AI48" s="338"/>
      <c r="AJ48" s="338"/>
      <c r="AK48" s="338"/>
      <c r="AL48" s="338"/>
      <c r="AM48" s="338"/>
      <c r="AN48" s="338"/>
      <c r="AO48" s="338"/>
      <c r="AP48" s="338"/>
      <c r="AS48" s="165">
        <v>14</v>
      </c>
      <c r="AT48" s="165" t="s">
        <v>629</v>
      </c>
      <c r="AU48" s="165" t="s">
        <v>231</v>
      </c>
      <c r="AV48" s="165">
        <v>686.3</v>
      </c>
      <c r="AW48" s="165">
        <v>530</v>
      </c>
      <c r="AX48" s="165">
        <v>3</v>
      </c>
      <c r="AY48" s="328">
        <v>140.4</v>
      </c>
      <c r="AZ48" s="328">
        <f t="shared" si="63"/>
        <v>0</v>
      </c>
    </row>
    <row r="49" spans="1:255" ht="22.5" customHeight="1">
      <c r="A49" s="299"/>
      <c r="B49" s="129">
        <v>15</v>
      </c>
      <c r="C49" s="332" t="s">
        <v>630</v>
      </c>
      <c r="D49" s="304" t="s">
        <v>231</v>
      </c>
      <c r="E49" s="151"/>
      <c r="F49" s="189"/>
      <c r="G49" s="189"/>
      <c r="H49" s="151"/>
      <c r="I49" s="189"/>
      <c r="J49" s="151"/>
      <c r="K49" s="189"/>
      <c r="L49" s="189"/>
      <c r="M49" s="311">
        <f t="shared" si="51"/>
        <v>648.5</v>
      </c>
      <c r="N49" s="311">
        <v>530</v>
      </c>
      <c r="O49" s="311">
        <v>3</v>
      </c>
      <c r="P49" s="311">
        <v>102.6</v>
      </c>
      <c r="Q49" s="139">
        <f t="shared" si="52"/>
        <v>0</v>
      </c>
      <c r="R49" s="139">
        <f t="shared" si="53"/>
        <v>0</v>
      </c>
      <c r="S49" s="139">
        <f t="shared" si="54"/>
        <v>0</v>
      </c>
      <c r="T49" s="139">
        <f t="shared" si="55"/>
        <v>0</v>
      </c>
      <c r="U49" s="139">
        <f t="shared" si="34"/>
        <v>0</v>
      </c>
      <c r="V49" s="139">
        <f t="shared" si="35"/>
        <v>0</v>
      </c>
      <c r="W49" s="139">
        <f t="shared" si="36"/>
        <v>0</v>
      </c>
      <c r="X49" s="139">
        <f t="shared" si="37"/>
        <v>0</v>
      </c>
      <c r="Y49" s="884"/>
      <c r="Z49" s="340"/>
      <c r="AA49" s="340"/>
      <c r="AB49" s="340"/>
      <c r="AC49" s="340"/>
      <c r="AD49" s="340"/>
      <c r="AE49" s="340"/>
      <c r="AF49" s="340"/>
      <c r="AG49" s="340"/>
      <c r="AH49" s="340"/>
      <c r="AI49" s="340"/>
      <c r="AJ49" s="340"/>
      <c r="AK49" s="340"/>
      <c r="AL49" s="340"/>
      <c r="AM49" s="340"/>
      <c r="AN49" s="340"/>
      <c r="AO49" s="340"/>
      <c r="AP49" s="340"/>
      <c r="AQ49" s="296"/>
      <c r="AR49" s="296"/>
      <c r="AS49" s="165">
        <v>15</v>
      </c>
      <c r="AT49" s="165" t="s">
        <v>630</v>
      </c>
      <c r="AU49" s="165" t="s">
        <v>231</v>
      </c>
      <c r="AV49" s="165">
        <v>648.5</v>
      </c>
      <c r="AW49" s="165">
        <v>530</v>
      </c>
      <c r="AX49" s="165">
        <v>3</v>
      </c>
      <c r="AY49" s="328">
        <v>102.6</v>
      </c>
      <c r="AZ49" s="328">
        <f t="shared" si="63"/>
        <v>0</v>
      </c>
      <c r="BA49" s="296"/>
      <c r="BB49" s="296"/>
      <c r="BC49" s="296"/>
      <c r="BD49" s="296"/>
      <c r="BE49" s="296"/>
      <c r="BF49" s="296"/>
      <c r="BG49" s="296"/>
      <c r="BH49" s="296"/>
      <c r="BI49" s="296"/>
      <c r="BJ49" s="296"/>
      <c r="BK49" s="296"/>
      <c r="BL49" s="296"/>
      <c r="BM49" s="296"/>
      <c r="BN49" s="296"/>
      <c r="BO49" s="296"/>
      <c r="BP49" s="296"/>
      <c r="BQ49" s="296"/>
      <c r="BR49" s="296"/>
      <c r="BS49" s="296"/>
      <c r="BT49" s="296"/>
      <c r="BU49" s="296"/>
      <c r="BV49" s="296"/>
      <c r="BW49" s="296"/>
      <c r="BX49" s="296"/>
      <c r="BY49" s="296"/>
      <c r="BZ49" s="296"/>
      <c r="CA49" s="296"/>
      <c r="CB49" s="296"/>
      <c r="CC49" s="296"/>
      <c r="CD49" s="296"/>
      <c r="CE49" s="296"/>
      <c r="CF49" s="296"/>
      <c r="CG49" s="296"/>
      <c r="CH49" s="296"/>
      <c r="CI49" s="296"/>
      <c r="CJ49" s="296"/>
      <c r="CK49" s="296"/>
      <c r="CL49" s="296"/>
      <c r="CM49" s="296"/>
      <c r="CN49" s="296"/>
      <c r="CO49" s="296"/>
      <c r="CP49" s="296"/>
      <c r="CQ49" s="296"/>
      <c r="CR49" s="296"/>
      <c r="CS49" s="296"/>
      <c r="CT49" s="296"/>
      <c r="CU49" s="296"/>
      <c r="CV49" s="296"/>
      <c r="CW49" s="296"/>
      <c r="CX49" s="296"/>
      <c r="CY49" s="296"/>
      <c r="CZ49" s="296"/>
      <c r="DA49" s="296"/>
      <c r="DB49" s="296"/>
      <c r="DC49" s="296"/>
      <c r="DD49" s="296"/>
      <c r="DE49" s="296"/>
      <c r="DF49" s="296"/>
      <c r="DG49" s="296"/>
      <c r="DH49" s="296"/>
      <c r="DI49" s="296"/>
      <c r="DJ49" s="296"/>
      <c r="DK49" s="296"/>
      <c r="DL49" s="296"/>
      <c r="DM49" s="296"/>
      <c r="DN49" s="296"/>
      <c r="DO49" s="296"/>
      <c r="DP49" s="296"/>
      <c r="DQ49" s="296"/>
      <c r="DR49" s="296"/>
      <c r="DS49" s="296"/>
      <c r="DT49" s="296"/>
      <c r="DU49" s="296"/>
      <c r="DV49" s="296"/>
      <c r="DW49" s="296"/>
      <c r="DX49" s="296"/>
      <c r="DY49" s="296"/>
      <c r="DZ49" s="296"/>
      <c r="EA49" s="296"/>
      <c r="EB49" s="296"/>
      <c r="EC49" s="296"/>
      <c r="ED49" s="296"/>
      <c r="EE49" s="296"/>
      <c r="EF49" s="296"/>
      <c r="EG49" s="296"/>
      <c r="EH49" s="296"/>
      <c r="EI49" s="296"/>
      <c r="EJ49" s="296"/>
      <c r="EK49" s="296"/>
      <c r="EL49" s="296"/>
      <c r="EM49" s="296"/>
      <c r="EN49" s="296"/>
      <c r="EO49" s="296"/>
      <c r="EP49" s="296"/>
      <c r="EQ49" s="296"/>
      <c r="ER49" s="296"/>
      <c r="ES49" s="296"/>
      <c r="ET49" s="296"/>
      <c r="EU49" s="296"/>
      <c r="EV49" s="296"/>
      <c r="EW49" s="296"/>
      <c r="EX49" s="296"/>
      <c r="EY49" s="296"/>
      <c r="EZ49" s="296"/>
      <c r="FA49" s="296"/>
      <c r="FB49" s="296"/>
      <c r="FC49" s="296"/>
      <c r="FD49" s="296"/>
      <c r="FE49" s="296"/>
      <c r="FF49" s="296"/>
      <c r="FG49" s="296"/>
      <c r="FH49" s="296"/>
      <c r="FI49" s="296"/>
      <c r="FJ49" s="296"/>
      <c r="FK49" s="296"/>
      <c r="FL49" s="296"/>
      <c r="FM49" s="296"/>
      <c r="FN49" s="296"/>
      <c r="FO49" s="296"/>
      <c r="FP49" s="296"/>
      <c r="FQ49" s="296"/>
      <c r="FR49" s="296"/>
      <c r="FS49" s="296"/>
      <c r="FT49" s="296"/>
      <c r="FU49" s="296"/>
      <c r="FV49" s="296"/>
      <c r="FW49" s="296"/>
      <c r="FX49" s="296"/>
      <c r="FY49" s="296"/>
      <c r="FZ49" s="296"/>
      <c r="GA49" s="296"/>
      <c r="GB49" s="296"/>
      <c r="GC49" s="296"/>
      <c r="GD49" s="296"/>
      <c r="GE49" s="296"/>
      <c r="GF49" s="296"/>
      <c r="GG49" s="296"/>
      <c r="GH49" s="296"/>
      <c r="GI49" s="296"/>
      <c r="GJ49" s="296"/>
      <c r="GK49" s="296"/>
      <c r="GL49" s="296"/>
      <c r="GM49" s="296"/>
      <c r="GN49" s="296"/>
      <c r="GO49" s="296"/>
      <c r="GP49" s="296"/>
      <c r="GQ49" s="296"/>
      <c r="GR49" s="296"/>
      <c r="GS49" s="296"/>
      <c r="GT49" s="296"/>
      <c r="GU49" s="296"/>
      <c r="GV49" s="296"/>
      <c r="GW49" s="296"/>
      <c r="GX49" s="296"/>
      <c r="GY49" s="296"/>
      <c r="GZ49" s="296"/>
      <c r="HA49" s="296"/>
      <c r="HB49" s="296"/>
      <c r="HC49" s="296"/>
      <c r="HD49" s="296"/>
      <c r="HE49" s="296"/>
      <c r="HF49" s="296"/>
      <c r="HG49" s="296"/>
      <c r="HH49" s="296"/>
      <c r="HI49" s="296"/>
      <c r="HJ49" s="296"/>
      <c r="HK49" s="296"/>
      <c r="HL49" s="296"/>
      <c r="HM49" s="296"/>
      <c r="HN49" s="296"/>
      <c r="HO49" s="296"/>
      <c r="HP49" s="296"/>
      <c r="HQ49" s="296"/>
      <c r="HR49" s="296"/>
      <c r="HS49" s="296"/>
      <c r="HT49" s="296"/>
      <c r="HU49" s="296"/>
      <c r="HV49" s="296"/>
      <c r="HW49" s="296"/>
      <c r="HX49" s="296"/>
      <c r="HY49" s="296"/>
      <c r="HZ49" s="296"/>
      <c r="IA49" s="296"/>
      <c r="IB49" s="296"/>
      <c r="IC49" s="296"/>
      <c r="ID49" s="296"/>
      <c r="IE49" s="296"/>
      <c r="IF49" s="296"/>
      <c r="IG49" s="296"/>
      <c r="IH49" s="296"/>
      <c r="II49" s="296"/>
      <c r="IJ49" s="296"/>
      <c r="IK49" s="296"/>
      <c r="IL49" s="296"/>
      <c r="IM49" s="296"/>
      <c r="IN49" s="296"/>
      <c r="IO49" s="296"/>
      <c r="IP49" s="296"/>
      <c r="IQ49" s="296"/>
      <c r="IR49" s="296"/>
      <c r="IS49" s="296"/>
      <c r="IT49" s="296"/>
      <c r="IU49" s="296"/>
    </row>
    <row r="50" spans="1:255" ht="22.5" customHeight="1">
      <c r="A50" s="299"/>
      <c r="B50" s="129">
        <v>16</v>
      </c>
      <c r="C50" s="332" t="s">
        <v>832</v>
      </c>
      <c r="D50" s="304" t="s">
        <v>231</v>
      </c>
      <c r="E50" s="189"/>
      <c r="F50" s="189"/>
      <c r="G50" s="189"/>
      <c r="H50" s="189"/>
      <c r="I50" s="189"/>
      <c r="J50" s="189"/>
      <c r="K50" s="189"/>
      <c r="L50" s="189"/>
      <c r="M50" s="311">
        <f t="shared" si="51"/>
        <v>751.09999999999991</v>
      </c>
      <c r="N50" s="311">
        <v>530</v>
      </c>
      <c r="O50" s="311">
        <v>3</v>
      </c>
      <c r="P50" s="311">
        <v>205.2</v>
      </c>
      <c r="Q50" s="139">
        <f t="shared" si="52"/>
        <v>0</v>
      </c>
      <c r="R50" s="139">
        <f t="shared" si="53"/>
        <v>0</v>
      </c>
      <c r="S50" s="139">
        <f t="shared" si="54"/>
        <v>0</v>
      </c>
      <c r="T50" s="139">
        <f t="shared" si="55"/>
        <v>0</v>
      </c>
      <c r="U50" s="139">
        <f t="shared" si="34"/>
        <v>0</v>
      </c>
      <c r="V50" s="139">
        <f t="shared" si="35"/>
        <v>0</v>
      </c>
      <c r="W50" s="139">
        <f t="shared" si="36"/>
        <v>0</v>
      </c>
      <c r="X50" s="139">
        <f t="shared" si="37"/>
        <v>0</v>
      </c>
      <c r="Y50" s="885"/>
      <c r="Z50" s="340"/>
      <c r="AA50" s="340"/>
      <c r="AB50" s="340"/>
      <c r="AC50" s="340"/>
      <c r="AD50" s="340"/>
      <c r="AE50" s="340"/>
      <c r="AF50" s="340"/>
      <c r="AG50" s="340"/>
      <c r="AH50" s="340"/>
      <c r="AI50" s="340"/>
      <c r="AJ50" s="340"/>
      <c r="AK50" s="340"/>
      <c r="AL50" s="340"/>
      <c r="AM50" s="340"/>
      <c r="AN50" s="340"/>
      <c r="AO50" s="340"/>
      <c r="AP50" s="340"/>
      <c r="AQ50" s="296"/>
      <c r="AR50" s="296"/>
      <c r="AS50" s="165">
        <v>16</v>
      </c>
      <c r="AT50" s="165" t="s">
        <v>832</v>
      </c>
      <c r="AU50" s="165" t="s">
        <v>231</v>
      </c>
      <c r="AV50" s="165">
        <v>751.1</v>
      </c>
      <c r="AW50" s="165">
        <v>530</v>
      </c>
      <c r="AX50" s="165">
        <v>3</v>
      </c>
      <c r="AY50" s="328">
        <v>205.2</v>
      </c>
      <c r="AZ50" s="328">
        <f t="shared" si="63"/>
        <v>0</v>
      </c>
      <c r="BA50" s="296"/>
      <c r="BB50" s="296"/>
      <c r="BC50" s="296"/>
      <c r="BD50" s="296"/>
      <c r="BE50" s="296"/>
      <c r="BF50" s="296"/>
      <c r="BG50" s="296"/>
      <c r="BH50" s="296"/>
      <c r="BI50" s="296"/>
      <c r="BJ50" s="296"/>
      <c r="BK50" s="296"/>
      <c r="BL50" s="296"/>
      <c r="BM50" s="296"/>
      <c r="BN50" s="296"/>
      <c r="BO50" s="296"/>
      <c r="BP50" s="296"/>
      <c r="BQ50" s="296"/>
      <c r="BR50" s="296"/>
      <c r="BS50" s="296"/>
      <c r="BT50" s="296"/>
      <c r="BU50" s="296"/>
      <c r="BV50" s="296"/>
      <c r="BW50" s="296"/>
      <c r="BX50" s="296"/>
      <c r="BY50" s="296"/>
      <c r="BZ50" s="296"/>
      <c r="CA50" s="296"/>
      <c r="CB50" s="296"/>
      <c r="CC50" s="296"/>
      <c r="CD50" s="296"/>
      <c r="CE50" s="296"/>
      <c r="CF50" s="296"/>
      <c r="CG50" s="296"/>
      <c r="CH50" s="296"/>
      <c r="CI50" s="296"/>
      <c r="CJ50" s="296"/>
      <c r="CK50" s="296"/>
      <c r="CL50" s="296"/>
      <c r="CM50" s="296"/>
      <c r="CN50" s="296"/>
      <c r="CO50" s="296"/>
      <c r="CP50" s="296"/>
      <c r="CQ50" s="296"/>
      <c r="CR50" s="296"/>
      <c r="CS50" s="296"/>
      <c r="CT50" s="296"/>
      <c r="CU50" s="296"/>
      <c r="CV50" s="296"/>
      <c r="CW50" s="296"/>
      <c r="CX50" s="296"/>
      <c r="CY50" s="296"/>
      <c r="CZ50" s="296"/>
      <c r="DA50" s="296"/>
      <c r="DB50" s="296"/>
      <c r="DC50" s="296"/>
      <c r="DD50" s="296"/>
      <c r="DE50" s="296"/>
      <c r="DF50" s="296"/>
      <c r="DG50" s="296"/>
      <c r="DH50" s="296"/>
      <c r="DI50" s="296"/>
      <c r="DJ50" s="296"/>
      <c r="DK50" s="296"/>
      <c r="DL50" s="296"/>
      <c r="DM50" s="296"/>
      <c r="DN50" s="296"/>
      <c r="DO50" s="296"/>
      <c r="DP50" s="296"/>
      <c r="DQ50" s="296"/>
      <c r="DR50" s="296"/>
      <c r="DS50" s="296"/>
      <c r="DT50" s="296"/>
      <c r="DU50" s="296"/>
      <c r="DV50" s="296"/>
      <c r="DW50" s="296"/>
      <c r="DX50" s="296"/>
      <c r="DY50" s="296"/>
      <c r="DZ50" s="296"/>
      <c r="EA50" s="296"/>
      <c r="EB50" s="296"/>
      <c r="EC50" s="296"/>
      <c r="ED50" s="296"/>
      <c r="EE50" s="296"/>
      <c r="EF50" s="296"/>
      <c r="EG50" s="296"/>
      <c r="EH50" s="296"/>
      <c r="EI50" s="296"/>
      <c r="EJ50" s="296"/>
      <c r="EK50" s="296"/>
      <c r="EL50" s="296"/>
      <c r="EM50" s="296"/>
      <c r="EN50" s="296"/>
      <c r="EO50" s="296"/>
      <c r="EP50" s="296"/>
      <c r="EQ50" s="296"/>
      <c r="ER50" s="296"/>
      <c r="ES50" s="296"/>
      <c r="ET50" s="296"/>
      <c r="EU50" s="296"/>
      <c r="EV50" s="296"/>
      <c r="EW50" s="296"/>
      <c r="EX50" s="296"/>
      <c r="EY50" s="296"/>
      <c r="EZ50" s="296"/>
      <c r="FA50" s="296"/>
      <c r="FB50" s="296"/>
      <c r="FC50" s="296"/>
      <c r="FD50" s="296"/>
      <c r="FE50" s="296"/>
      <c r="FF50" s="296"/>
      <c r="FG50" s="296"/>
      <c r="FH50" s="296"/>
      <c r="FI50" s="296"/>
      <c r="FJ50" s="296"/>
      <c r="FK50" s="296"/>
      <c r="FL50" s="296"/>
      <c r="FM50" s="296"/>
      <c r="FN50" s="296"/>
      <c r="FO50" s="296"/>
      <c r="FP50" s="296"/>
      <c r="FQ50" s="296"/>
      <c r="FR50" s="296"/>
      <c r="FS50" s="296"/>
      <c r="FT50" s="296"/>
      <c r="FU50" s="296"/>
      <c r="FV50" s="296"/>
      <c r="FW50" s="296"/>
      <c r="FX50" s="296"/>
      <c r="FY50" s="296"/>
      <c r="FZ50" s="296"/>
      <c r="GA50" s="296"/>
      <c r="GB50" s="296"/>
      <c r="GC50" s="296"/>
      <c r="GD50" s="296"/>
      <c r="GE50" s="296"/>
      <c r="GF50" s="296"/>
      <c r="GG50" s="296"/>
      <c r="GH50" s="296"/>
      <c r="GI50" s="296"/>
      <c r="GJ50" s="296"/>
      <c r="GK50" s="296"/>
      <c r="GL50" s="296"/>
      <c r="GM50" s="296"/>
      <c r="GN50" s="296"/>
      <c r="GO50" s="296"/>
      <c r="GP50" s="296"/>
      <c r="GQ50" s="296"/>
      <c r="GR50" s="296"/>
      <c r="GS50" s="296"/>
      <c r="GT50" s="296"/>
      <c r="GU50" s="296"/>
      <c r="GV50" s="296"/>
      <c r="GW50" s="296"/>
      <c r="GX50" s="296"/>
      <c r="GY50" s="296"/>
      <c r="GZ50" s="296"/>
      <c r="HA50" s="296"/>
      <c r="HB50" s="296"/>
      <c r="HC50" s="296"/>
      <c r="HD50" s="296"/>
      <c r="HE50" s="296"/>
      <c r="HF50" s="296"/>
      <c r="HG50" s="296"/>
      <c r="HH50" s="296"/>
      <c r="HI50" s="296"/>
      <c r="HJ50" s="296"/>
      <c r="HK50" s="296"/>
      <c r="HL50" s="296"/>
      <c r="HM50" s="296"/>
      <c r="HN50" s="296"/>
      <c r="HO50" s="296"/>
      <c r="HP50" s="296"/>
      <c r="HQ50" s="296"/>
      <c r="HR50" s="296"/>
      <c r="HS50" s="296"/>
      <c r="HT50" s="296"/>
      <c r="HU50" s="296"/>
      <c r="HV50" s="296"/>
      <c r="HW50" s="296"/>
      <c r="HX50" s="296"/>
      <c r="HY50" s="296"/>
      <c r="HZ50" s="296"/>
      <c r="IA50" s="296"/>
      <c r="IB50" s="296"/>
      <c r="IC50" s="296"/>
      <c r="ID50" s="296"/>
      <c r="IE50" s="296"/>
      <c r="IF50" s="296"/>
      <c r="IG50" s="296"/>
      <c r="IH50" s="296"/>
      <c r="II50" s="296"/>
      <c r="IJ50" s="296"/>
      <c r="IK50" s="296"/>
      <c r="IL50" s="296"/>
      <c r="IM50" s="296"/>
      <c r="IN50" s="296"/>
      <c r="IO50" s="296"/>
      <c r="IP50" s="296"/>
      <c r="IQ50" s="296"/>
      <c r="IR50" s="296"/>
      <c r="IS50" s="296"/>
      <c r="IT50" s="296"/>
      <c r="IU50" s="296"/>
    </row>
    <row r="51" spans="1:255" ht="22.5" customHeight="1">
      <c r="A51" s="300" t="s">
        <v>278</v>
      </c>
      <c r="B51" s="129" t="s">
        <v>233</v>
      </c>
      <c r="C51" s="196" t="s">
        <v>631</v>
      </c>
      <c r="D51" s="129" t="s">
        <v>231</v>
      </c>
      <c r="E51" s="189"/>
      <c r="F51" s="189"/>
      <c r="G51" s="189"/>
      <c r="H51" s="189"/>
      <c r="I51" s="189"/>
      <c r="J51" s="189"/>
      <c r="K51" s="189"/>
      <c r="L51" s="189"/>
      <c r="M51" s="311">
        <f t="shared" ref="M51" si="68">N51+N51*O51%+P51</f>
        <v>449.4</v>
      </c>
      <c r="N51" s="311">
        <v>300</v>
      </c>
      <c r="O51" s="311">
        <v>3</v>
      </c>
      <c r="P51" s="311">
        <v>140.4</v>
      </c>
      <c r="Q51" s="139">
        <f t="shared" ref="Q51" si="69">E51*$M51</f>
        <v>0</v>
      </c>
      <c r="R51" s="139">
        <f t="shared" ref="R51" si="70">F51*$M51</f>
        <v>0</v>
      </c>
      <c r="S51" s="139">
        <f t="shared" ref="S51" si="71">G51*$M51</f>
        <v>0</v>
      </c>
      <c r="T51" s="139">
        <f t="shared" ref="T51" si="72">H51*$M51</f>
        <v>0</v>
      </c>
      <c r="U51" s="139">
        <f t="shared" si="34"/>
        <v>0</v>
      </c>
      <c r="V51" s="139">
        <f t="shared" si="35"/>
        <v>0</v>
      </c>
      <c r="W51" s="139">
        <f t="shared" si="36"/>
        <v>0</v>
      </c>
      <c r="X51" s="139">
        <f t="shared" si="37"/>
        <v>0</v>
      </c>
      <c r="Y51" s="883"/>
      <c r="Z51" s="338"/>
      <c r="AA51" s="338"/>
      <c r="AB51" s="338"/>
      <c r="AC51" s="338"/>
      <c r="AD51" s="338"/>
      <c r="AE51" s="338"/>
      <c r="AF51" s="338"/>
      <c r="AG51" s="338"/>
      <c r="AH51" s="338"/>
      <c r="AI51" s="338"/>
      <c r="AJ51" s="338"/>
      <c r="AK51" s="338"/>
      <c r="AL51" s="338"/>
      <c r="AM51" s="338"/>
      <c r="AN51" s="338"/>
      <c r="AO51" s="338"/>
      <c r="AP51" s="338"/>
      <c r="AS51" s="165">
        <v>14</v>
      </c>
      <c r="AT51" s="165" t="s">
        <v>629</v>
      </c>
      <c r="AU51" s="165" t="s">
        <v>231</v>
      </c>
      <c r="AV51" s="165">
        <v>686.3</v>
      </c>
      <c r="AW51" s="165">
        <v>530</v>
      </c>
      <c r="AX51" s="165">
        <v>3</v>
      </c>
      <c r="AY51" s="328">
        <v>140.4</v>
      </c>
      <c r="AZ51" s="328">
        <f t="shared" si="63"/>
        <v>236.89999999999998</v>
      </c>
    </row>
    <row r="52" spans="1:255" ht="22.5" customHeight="1">
      <c r="A52" s="300" t="s">
        <v>278</v>
      </c>
      <c r="B52" s="129" t="s">
        <v>233</v>
      </c>
      <c r="C52" s="332" t="s">
        <v>632</v>
      </c>
      <c r="D52" s="304" t="s">
        <v>231</v>
      </c>
      <c r="E52" s="151"/>
      <c r="F52" s="189"/>
      <c r="G52" s="189"/>
      <c r="H52" s="151"/>
      <c r="I52" s="189"/>
      <c r="J52" s="151"/>
      <c r="K52" s="189"/>
      <c r="L52" s="189"/>
      <c r="M52" s="311">
        <f t="shared" ref="M52:M81" si="73">N52+N52*O52%+P52</f>
        <v>411.6</v>
      </c>
      <c r="N52" s="311">
        <v>300</v>
      </c>
      <c r="O52" s="311">
        <v>3</v>
      </c>
      <c r="P52" s="311">
        <v>102.6</v>
      </c>
      <c r="Q52" s="139">
        <f t="shared" ref="Q52:Q81" si="74">E52*$M52</f>
        <v>0</v>
      </c>
      <c r="R52" s="139">
        <f t="shared" ref="R52:R81" si="75">F52*$M52</f>
        <v>0</v>
      </c>
      <c r="S52" s="139">
        <f t="shared" ref="S52:S81" si="76">G52*$M52</f>
        <v>0</v>
      </c>
      <c r="T52" s="139">
        <f t="shared" ref="T52:T81" si="77">H52*$M52</f>
        <v>0</v>
      </c>
      <c r="U52" s="139">
        <f t="shared" si="34"/>
        <v>0</v>
      </c>
      <c r="V52" s="139">
        <f t="shared" si="35"/>
        <v>0</v>
      </c>
      <c r="W52" s="139">
        <f t="shared" si="36"/>
        <v>0</v>
      </c>
      <c r="X52" s="139">
        <f t="shared" si="37"/>
        <v>0</v>
      </c>
      <c r="Y52" s="884"/>
      <c r="Z52" s="340"/>
      <c r="AA52" s="340"/>
      <c r="AB52" s="340"/>
      <c r="AC52" s="340"/>
      <c r="AD52" s="340"/>
      <c r="AE52" s="340"/>
      <c r="AF52" s="340"/>
      <c r="AG52" s="340"/>
      <c r="AH52" s="340"/>
      <c r="AI52" s="340"/>
      <c r="AJ52" s="340"/>
      <c r="AK52" s="340"/>
      <c r="AL52" s="340"/>
      <c r="AM52" s="340"/>
      <c r="AN52" s="340"/>
      <c r="AO52" s="340"/>
      <c r="AP52" s="340"/>
      <c r="AQ52" s="296"/>
      <c r="AR52" s="296"/>
      <c r="AS52" s="165">
        <v>15</v>
      </c>
      <c r="AT52" s="165" t="s">
        <v>630</v>
      </c>
      <c r="AU52" s="165" t="s">
        <v>231</v>
      </c>
      <c r="AV52" s="165">
        <v>648.5</v>
      </c>
      <c r="AW52" s="165">
        <v>530</v>
      </c>
      <c r="AX52" s="165">
        <v>3</v>
      </c>
      <c r="AY52" s="328">
        <v>102.6</v>
      </c>
      <c r="AZ52" s="328">
        <f t="shared" si="63"/>
        <v>236.89999999999998</v>
      </c>
      <c r="BA52" s="296"/>
      <c r="BB52" s="296"/>
      <c r="BC52" s="296"/>
      <c r="BD52" s="296"/>
      <c r="BE52" s="296"/>
      <c r="BF52" s="296"/>
      <c r="BG52" s="296"/>
      <c r="BH52" s="296"/>
      <c r="BI52" s="296"/>
      <c r="BJ52" s="296"/>
      <c r="BK52" s="296"/>
      <c r="BL52" s="296"/>
      <c r="BM52" s="296"/>
      <c r="BN52" s="296"/>
      <c r="BO52" s="296"/>
      <c r="BP52" s="296"/>
      <c r="BQ52" s="296"/>
      <c r="BR52" s="296"/>
      <c r="BS52" s="296"/>
      <c r="BT52" s="296"/>
      <c r="BU52" s="296"/>
      <c r="BV52" s="296"/>
      <c r="BW52" s="296"/>
      <c r="BX52" s="296"/>
      <c r="BY52" s="296"/>
      <c r="BZ52" s="296"/>
      <c r="CA52" s="296"/>
      <c r="CB52" s="296"/>
      <c r="CC52" s="296"/>
      <c r="CD52" s="296"/>
      <c r="CE52" s="296"/>
      <c r="CF52" s="296"/>
      <c r="CG52" s="296"/>
      <c r="CH52" s="296"/>
      <c r="CI52" s="296"/>
      <c r="CJ52" s="296"/>
      <c r="CK52" s="296"/>
      <c r="CL52" s="296"/>
      <c r="CM52" s="296"/>
      <c r="CN52" s="296"/>
      <c r="CO52" s="296"/>
      <c r="CP52" s="296"/>
      <c r="CQ52" s="296"/>
      <c r="CR52" s="296"/>
      <c r="CS52" s="296"/>
      <c r="CT52" s="296"/>
      <c r="CU52" s="296"/>
      <c r="CV52" s="296"/>
      <c r="CW52" s="296"/>
      <c r="CX52" s="296"/>
      <c r="CY52" s="296"/>
      <c r="CZ52" s="296"/>
      <c r="DA52" s="296"/>
      <c r="DB52" s="296"/>
      <c r="DC52" s="296"/>
      <c r="DD52" s="296"/>
      <c r="DE52" s="296"/>
      <c r="DF52" s="296"/>
      <c r="DG52" s="296"/>
      <c r="DH52" s="296"/>
      <c r="DI52" s="296"/>
      <c r="DJ52" s="296"/>
      <c r="DK52" s="296"/>
      <c r="DL52" s="296"/>
      <c r="DM52" s="296"/>
      <c r="DN52" s="296"/>
      <c r="DO52" s="296"/>
      <c r="DP52" s="296"/>
      <c r="DQ52" s="296"/>
      <c r="DR52" s="296"/>
      <c r="DS52" s="296"/>
      <c r="DT52" s="296"/>
      <c r="DU52" s="296"/>
      <c r="DV52" s="296"/>
      <c r="DW52" s="296"/>
      <c r="DX52" s="296"/>
      <c r="DY52" s="296"/>
      <c r="DZ52" s="296"/>
      <c r="EA52" s="296"/>
      <c r="EB52" s="296"/>
      <c r="EC52" s="296"/>
      <c r="ED52" s="296"/>
      <c r="EE52" s="296"/>
      <c r="EF52" s="296"/>
      <c r="EG52" s="296"/>
      <c r="EH52" s="296"/>
      <c r="EI52" s="296"/>
      <c r="EJ52" s="296"/>
      <c r="EK52" s="296"/>
      <c r="EL52" s="296"/>
      <c r="EM52" s="296"/>
      <c r="EN52" s="296"/>
      <c r="EO52" s="296"/>
      <c r="EP52" s="296"/>
      <c r="EQ52" s="296"/>
      <c r="ER52" s="296"/>
      <c r="ES52" s="296"/>
      <c r="ET52" s="296"/>
      <c r="EU52" s="296"/>
      <c r="EV52" s="296"/>
      <c r="EW52" s="296"/>
      <c r="EX52" s="296"/>
      <c r="EY52" s="296"/>
      <c r="EZ52" s="296"/>
      <c r="FA52" s="296"/>
      <c r="FB52" s="296"/>
      <c r="FC52" s="296"/>
      <c r="FD52" s="296"/>
      <c r="FE52" s="296"/>
      <c r="FF52" s="296"/>
      <c r="FG52" s="296"/>
      <c r="FH52" s="296"/>
      <c r="FI52" s="296"/>
      <c r="FJ52" s="296"/>
      <c r="FK52" s="296"/>
      <c r="FL52" s="296"/>
      <c r="FM52" s="296"/>
      <c r="FN52" s="296"/>
      <c r="FO52" s="296"/>
      <c r="FP52" s="296"/>
      <c r="FQ52" s="296"/>
      <c r="FR52" s="296"/>
      <c r="FS52" s="296"/>
      <c r="FT52" s="296"/>
      <c r="FU52" s="296"/>
      <c r="FV52" s="296"/>
      <c r="FW52" s="296"/>
      <c r="FX52" s="296"/>
      <c r="FY52" s="296"/>
      <c r="FZ52" s="296"/>
      <c r="GA52" s="296"/>
      <c r="GB52" s="296"/>
      <c r="GC52" s="296"/>
      <c r="GD52" s="296"/>
      <c r="GE52" s="296"/>
      <c r="GF52" s="296"/>
      <c r="GG52" s="296"/>
      <c r="GH52" s="296"/>
      <c r="GI52" s="296"/>
      <c r="GJ52" s="296"/>
      <c r="GK52" s="296"/>
      <c r="GL52" s="296"/>
      <c r="GM52" s="296"/>
      <c r="GN52" s="296"/>
      <c r="GO52" s="296"/>
      <c r="GP52" s="296"/>
      <c r="GQ52" s="296"/>
      <c r="GR52" s="296"/>
      <c r="GS52" s="296"/>
      <c r="GT52" s="296"/>
      <c r="GU52" s="296"/>
      <c r="GV52" s="296"/>
      <c r="GW52" s="296"/>
      <c r="GX52" s="296"/>
      <c r="GY52" s="296"/>
      <c r="GZ52" s="296"/>
      <c r="HA52" s="296"/>
      <c r="HB52" s="296"/>
      <c r="HC52" s="296"/>
      <c r="HD52" s="296"/>
      <c r="HE52" s="296"/>
      <c r="HF52" s="296"/>
      <c r="HG52" s="296"/>
      <c r="HH52" s="296"/>
      <c r="HI52" s="296"/>
      <c r="HJ52" s="296"/>
      <c r="HK52" s="296"/>
      <c r="HL52" s="296"/>
      <c r="HM52" s="296"/>
      <c r="HN52" s="296"/>
      <c r="HO52" s="296"/>
      <c r="HP52" s="296"/>
      <c r="HQ52" s="296"/>
      <c r="HR52" s="296"/>
      <c r="HS52" s="296"/>
      <c r="HT52" s="296"/>
      <c r="HU52" s="296"/>
      <c r="HV52" s="296"/>
      <c r="HW52" s="296"/>
      <c r="HX52" s="296"/>
      <c r="HY52" s="296"/>
      <c r="HZ52" s="296"/>
      <c r="IA52" s="296"/>
      <c r="IB52" s="296"/>
      <c r="IC52" s="296"/>
      <c r="ID52" s="296"/>
      <c r="IE52" s="296"/>
      <c r="IF52" s="296"/>
      <c r="IG52" s="296"/>
      <c r="IH52" s="296"/>
      <c r="II52" s="296"/>
      <c r="IJ52" s="296"/>
      <c r="IK52" s="296"/>
      <c r="IL52" s="296"/>
      <c r="IM52" s="296"/>
      <c r="IN52" s="296"/>
      <c r="IO52" s="296"/>
      <c r="IP52" s="296"/>
      <c r="IQ52" s="296"/>
      <c r="IR52" s="296"/>
      <c r="IS52" s="296"/>
      <c r="IT52" s="296"/>
      <c r="IU52" s="296"/>
    </row>
    <row r="53" spans="1:255" ht="22.5" customHeight="1">
      <c r="A53" s="300" t="s">
        <v>278</v>
      </c>
      <c r="B53" s="129" t="s">
        <v>233</v>
      </c>
      <c r="C53" s="332" t="s">
        <v>833</v>
      </c>
      <c r="D53" s="304" t="s">
        <v>231</v>
      </c>
      <c r="E53" s="189"/>
      <c r="F53" s="189"/>
      <c r="G53" s="189"/>
      <c r="H53" s="189"/>
      <c r="I53" s="189"/>
      <c r="J53" s="189"/>
      <c r="K53" s="189"/>
      <c r="L53" s="189"/>
      <c r="M53" s="311">
        <f t="shared" si="73"/>
        <v>514.20000000000005</v>
      </c>
      <c r="N53" s="311">
        <v>300</v>
      </c>
      <c r="O53" s="311">
        <v>3</v>
      </c>
      <c r="P53" s="311">
        <v>205.2</v>
      </c>
      <c r="Q53" s="139">
        <f t="shared" si="74"/>
        <v>0</v>
      </c>
      <c r="R53" s="139">
        <f t="shared" si="75"/>
        <v>0</v>
      </c>
      <c r="S53" s="139">
        <f t="shared" si="76"/>
        <v>0</v>
      </c>
      <c r="T53" s="139">
        <f t="shared" si="77"/>
        <v>0</v>
      </c>
      <c r="U53" s="139">
        <f t="shared" si="34"/>
        <v>0</v>
      </c>
      <c r="V53" s="139">
        <f t="shared" si="35"/>
        <v>0</v>
      </c>
      <c r="W53" s="139">
        <f t="shared" si="36"/>
        <v>0</v>
      </c>
      <c r="X53" s="139">
        <f t="shared" si="37"/>
        <v>0</v>
      </c>
      <c r="Y53" s="885"/>
      <c r="Z53" s="340"/>
      <c r="AA53" s="340"/>
      <c r="AB53" s="340"/>
      <c r="AC53" s="340"/>
      <c r="AD53" s="340"/>
      <c r="AE53" s="340"/>
      <c r="AF53" s="340"/>
      <c r="AG53" s="340"/>
      <c r="AH53" s="340"/>
      <c r="AI53" s="340"/>
      <c r="AJ53" s="340"/>
      <c r="AK53" s="340"/>
      <c r="AL53" s="340"/>
      <c r="AM53" s="340"/>
      <c r="AN53" s="340"/>
      <c r="AO53" s="340"/>
      <c r="AP53" s="340"/>
      <c r="AQ53" s="296"/>
      <c r="AR53" s="296"/>
      <c r="AS53" s="165">
        <v>16</v>
      </c>
      <c r="AT53" s="165" t="s">
        <v>832</v>
      </c>
      <c r="AU53" s="165" t="s">
        <v>231</v>
      </c>
      <c r="AV53" s="165">
        <v>751.1</v>
      </c>
      <c r="AW53" s="165">
        <v>530</v>
      </c>
      <c r="AX53" s="165">
        <v>3</v>
      </c>
      <c r="AY53" s="328">
        <v>205.2</v>
      </c>
      <c r="AZ53" s="328">
        <f t="shared" si="63"/>
        <v>236.89999999999998</v>
      </c>
      <c r="BA53" s="296"/>
      <c r="BB53" s="296"/>
      <c r="BC53" s="296"/>
      <c r="BD53" s="296"/>
      <c r="BE53" s="296"/>
      <c r="BF53" s="296"/>
      <c r="BG53" s="296"/>
      <c r="BH53" s="296"/>
      <c r="BI53" s="296"/>
      <c r="BJ53" s="296"/>
      <c r="BK53" s="296"/>
      <c r="BL53" s="296"/>
      <c r="BM53" s="296"/>
      <c r="BN53" s="296"/>
      <c r="BO53" s="296"/>
      <c r="BP53" s="296"/>
      <c r="BQ53" s="296"/>
      <c r="BR53" s="296"/>
      <c r="BS53" s="296"/>
      <c r="BT53" s="296"/>
      <c r="BU53" s="296"/>
      <c r="BV53" s="296"/>
      <c r="BW53" s="296"/>
      <c r="BX53" s="296"/>
      <c r="BY53" s="296"/>
      <c r="BZ53" s="296"/>
      <c r="CA53" s="296"/>
      <c r="CB53" s="296"/>
      <c r="CC53" s="296"/>
      <c r="CD53" s="296"/>
      <c r="CE53" s="296"/>
      <c r="CF53" s="296"/>
      <c r="CG53" s="296"/>
      <c r="CH53" s="296"/>
      <c r="CI53" s="296"/>
      <c r="CJ53" s="296"/>
      <c r="CK53" s="296"/>
      <c r="CL53" s="296"/>
      <c r="CM53" s="296"/>
      <c r="CN53" s="296"/>
      <c r="CO53" s="296"/>
      <c r="CP53" s="296"/>
      <c r="CQ53" s="296"/>
      <c r="CR53" s="296"/>
      <c r="CS53" s="296"/>
      <c r="CT53" s="296"/>
      <c r="CU53" s="296"/>
      <c r="CV53" s="296"/>
      <c r="CW53" s="296"/>
      <c r="CX53" s="296"/>
      <c r="CY53" s="296"/>
      <c r="CZ53" s="296"/>
      <c r="DA53" s="296"/>
      <c r="DB53" s="296"/>
      <c r="DC53" s="296"/>
      <c r="DD53" s="296"/>
      <c r="DE53" s="296"/>
      <c r="DF53" s="296"/>
      <c r="DG53" s="296"/>
      <c r="DH53" s="296"/>
      <c r="DI53" s="296"/>
      <c r="DJ53" s="296"/>
      <c r="DK53" s="296"/>
      <c r="DL53" s="296"/>
      <c r="DM53" s="296"/>
      <c r="DN53" s="296"/>
      <c r="DO53" s="296"/>
      <c r="DP53" s="296"/>
      <c r="DQ53" s="296"/>
      <c r="DR53" s="296"/>
      <c r="DS53" s="296"/>
      <c r="DT53" s="296"/>
      <c r="DU53" s="296"/>
      <c r="DV53" s="296"/>
      <c r="DW53" s="296"/>
      <c r="DX53" s="296"/>
      <c r="DY53" s="296"/>
      <c r="DZ53" s="296"/>
      <c r="EA53" s="296"/>
      <c r="EB53" s="296"/>
      <c r="EC53" s="296"/>
      <c r="ED53" s="296"/>
      <c r="EE53" s="296"/>
      <c r="EF53" s="296"/>
      <c r="EG53" s="296"/>
      <c r="EH53" s="296"/>
      <c r="EI53" s="296"/>
      <c r="EJ53" s="296"/>
      <c r="EK53" s="296"/>
      <c r="EL53" s="296"/>
      <c r="EM53" s="296"/>
      <c r="EN53" s="296"/>
      <c r="EO53" s="296"/>
      <c r="EP53" s="296"/>
      <c r="EQ53" s="296"/>
      <c r="ER53" s="296"/>
      <c r="ES53" s="296"/>
      <c r="ET53" s="296"/>
      <c r="EU53" s="296"/>
      <c r="EV53" s="296"/>
      <c r="EW53" s="296"/>
      <c r="EX53" s="296"/>
      <c r="EY53" s="296"/>
      <c r="EZ53" s="296"/>
      <c r="FA53" s="296"/>
      <c r="FB53" s="296"/>
      <c r="FC53" s="296"/>
      <c r="FD53" s="296"/>
      <c r="FE53" s="296"/>
      <c r="FF53" s="296"/>
      <c r="FG53" s="296"/>
      <c r="FH53" s="296"/>
      <c r="FI53" s="296"/>
      <c r="FJ53" s="296"/>
      <c r="FK53" s="296"/>
      <c r="FL53" s="296"/>
      <c r="FM53" s="296"/>
      <c r="FN53" s="296"/>
      <c r="FO53" s="296"/>
      <c r="FP53" s="296"/>
      <c r="FQ53" s="296"/>
      <c r="FR53" s="296"/>
      <c r="FS53" s="296"/>
      <c r="FT53" s="296"/>
      <c r="FU53" s="296"/>
      <c r="FV53" s="296"/>
      <c r="FW53" s="296"/>
      <c r="FX53" s="296"/>
      <c r="FY53" s="296"/>
      <c r="FZ53" s="296"/>
      <c r="GA53" s="296"/>
      <c r="GB53" s="296"/>
      <c r="GC53" s="296"/>
      <c r="GD53" s="296"/>
      <c r="GE53" s="296"/>
      <c r="GF53" s="296"/>
      <c r="GG53" s="296"/>
      <c r="GH53" s="296"/>
      <c r="GI53" s="296"/>
      <c r="GJ53" s="296"/>
      <c r="GK53" s="296"/>
      <c r="GL53" s="296"/>
      <c r="GM53" s="296"/>
      <c r="GN53" s="296"/>
      <c r="GO53" s="296"/>
      <c r="GP53" s="296"/>
      <c r="GQ53" s="296"/>
      <c r="GR53" s="296"/>
      <c r="GS53" s="296"/>
      <c r="GT53" s="296"/>
      <c r="GU53" s="296"/>
      <c r="GV53" s="296"/>
      <c r="GW53" s="296"/>
      <c r="GX53" s="296"/>
      <c r="GY53" s="296"/>
      <c r="GZ53" s="296"/>
      <c r="HA53" s="296"/>
      <c r="HB53" s="296"/>
      <c r="HC53" s="296"/>
      <c r="HD53" s="296"/>
      <c r="HE53" s="296"/>
      <c r="HF53" s="296"/>
      <c r="HG53" s="296"/>
      <c r="HH53" s="296"/>
      <c r="HI53" s="296"/>
      <c r="HJ53" s="296"/>
      <c r="HK53" s="296"/>
      <c r="HL53" s="296"/>
      <c r="HM53" s="296"/>
      <c r="HN53" s="296"/>
      <c r="HO53" s="296"/>
      <c r="HP53" s="296"/>
      <c r="HQ53" s="296"/>
      <c r="HR53" s="296"/>
      <c r="HS53" s="296"/>
      <c r="HT53" s="296"/>
      <c r="HU53" s="296"/>
      <c r="HV53" s="296"/>
      <c r="HW53" s="296"/>
      <c r="HX53" s="296"/>
      <c r="HY53" s="296"/>
      <c r="HZ53" s="296"/>
      <c r="IA53" s="296"/>
      <c r="IB53" s="296"/>
      <c r="IC53" s="296"/>
      <c r="ID53" s="296"/>
      <c r="IE53" s="296"/>
      <c r="IF53" s="296"/>
      <c r="IG53" s="296"/>
      <c r="IH53" s="296"/>
      <c r="II53" s="296"/>
      <c r="IJ53" s="296"/>
      <c r="IK53" s="296"/>
      <c r="IL53" s="296"/>
      <c r="IM53" s="296"/>
      <c r="IN53" s="296"/>
      <c r="IO53" s="296"/>
      <c r="IP53" s="296"/>
      <c r="IQ53" s="296"/>
      <c r="IR53" s="296"/>
      <c r="IS53" s="296"/>
      <c r="IT53" s="296"/>
      <c r="IU53" s="296"/>
    </row>
    <row r="54" spans="1:255" ht="22.5" customHeight="1">
      <c r="A54" s="299"/>
      <c r="B54" s="129">
        <v>17</v>
      </c>
      <c r="C54" s="196" t="s">
        <v>834</v>
      </c>
      <c r="D54" s="304" t="s">
        <v>231</v>
      </c>
      <c r="E54" s="151"/>
      <c r="F54" s="189"/>
      <c r="G54" s="189"/>
      <c r="H54" s="151"/>
      <c r="I54" s="189"/>
      <c r="J54" s="151"/>
      <c r="K54" s="189"/>
      <c r="L54" s="189"/>
      <c r="M54" s="311">
        <f t="shared" si="73"/>
        <v>428.79999999999995</v>
      </c>
      <c r="N54" s="311">
        <v>280</v>
      </c>
      <c r="O54" s="311">
        <v>3</v>
      </c>
      <c r="P54" s="311">
        <v>140.4</v>
      </c>
      <c r="Q54" s="139">
        <f t="shared" si="74"/>
        <v>0</v>
      </c>
      <c r="R54" s="139">
        <f t="shared" si="75"/>
        <v>0</v>
      </c>
      <c r="S54" s="139">
        <f t="shared" si="76"/>
        <v>0</v>
      </c>
      <c r="T54" s="139">
        <f t="shared" si="77"/>
        <v>0</v>
      </c>
      <c r="U54" s="139">
        <f t="shared" si="34"/>
        <v>0</v>
      </c>
      <c r="V54" s="139">
        <f t="shared" si="35"/>
        <v>0</v>
      </c>
      <c r="W54" s="139">
        <f t="shared" si="36"/>
        <v>0</v>
      </c>
      <c r="X54" s="139">
        <f t="shared" si="37"/>
        <v>0</v>
      </c>
      <c r="Y54" s="298"/>
      <c r="Z54" s="340"/>
      <c r="AA54" s="340"/>
      <c r="AB54" s="340"/>
      <c r="AC54" s="340"/>
      <c r="AD54" s="340"/>
      <c r="AE54" s="340"/>
      <c r="AF54" s="340"/>
      <c r="AG54" s="340"/>
      <c r="AH54" s="340"/>
      <c r="AI54" s="340"/>
      <c r="AJ54" s="340"/>
      <c r="AK54" s="340"/>
      <c r="AL54" s="340"/>
      <c r="AM54" s="340"/>
      <c r="AN54" s="340"/>
      <c r="AO54" s="340"/>
      <c r="AP54" s="340"/>
      <c r="AQ54" s="296"/>
      <c r="AR54" s="296"/>
      <c r="AS54" s="297">
        <v>17</v>
      </c>
      <c r="AT54" s="297" t="s">
        <v>835</v>
      </c>
      <c r="AU54" s="297" t="s">
        <v>231</v>
      </c>
      <c r="AV54" s="297">
        <v>428.8</v>
      </c>
      <c r="AW54" s="297">
        <v>280</v>
      </c>
      <c r="AX54" s="297">
        <v>3</v>
      </c>
      <c r="AY54" s="343">
        <v>140.4</v>
      </c>
      <c r="AZ54" s="328">
        <f t="shared" si="63"/>
        <v>0</v>
      </c>
      <c r="BA54" s="296"/>
      <c r="BB54" s="296"/>
      <c r="BC54" s="296"/>
      <c r="BD54" s="296"/>
      <c r="BE54" s="296"/>
      <c r="BF54" s="296"/>
      <c r="BG54" s="296"/>
      <c r="BH54" s="296"/>
      <c r="BI54" s="296"/>
      <c r="BJ54" s="296"/>
      <c r="BK54" s="296"/>
      <c r="BL54" s="296"/>
      <c r="BM54" s="296"/>
      <c r="BN54" s="296"/>
      <c r="BO54" s="296"/>
      <c r="BP54" s="296"/>
      <c r="BQ54" s="296"/>
      <c r="BR54" s="296"/>
      <c r="BS54" s="296"/>
      <c r="BT54" s="296"/>
      <c r="BU54" s="296"/>
      <c r="BV54" s="296"/>
      <c r="BW54" s="296"/>
      <c r="BX54" s="296"/>
      <c r="BY54" s="296"/>
      <c r="BZ54" s="296"/>
      <c r="CA54" s="296"/>
      <c r="CB54" s="296"/>
      <c r="CC54" s="296"/>
      <c r="CD54" s="296"/>
      <c r="CE54" s="296"/>
      <c r="CF54" s="296"/>
      <c r="CG54" s="296"/>
      <c r="CH54" s="296"/>
      <c r="CI54" s="296"/>
      <c r="CJ54" s="296"/>
      <c r="CK54" s="296"/>
      <c r="CL54" s="296"/>
      <c r="CM54" s="296"/>
      <c r="CN54" s="296"/>
      <c r="CO54" s="296"/>
      <c r="CP54" s="296"/>
      <c r="CQ54" s="296"/>
      <c r="CR54" s="296"/>
      <c r="CS54" s="296"/>
      <c r="CT54" s="296"/>
      <c r="CU54" s="296"/>
      <c r="CV54" s="296"/>
      <c r="CW54" s="296"/>
      <c r="CX54" s="296"/>
      <c r="CY54" s="296"/>
      <c r="CZ54" s="296"/>
      <c r="DA54" s="296"/>
      <c r="DB54" s="296"/>
      <c r="DC54" s="296"/>
      <c r="DD54" s="296"/>
      <c r="DE54" s="296"/>
      <c r="DF54" s="296"/>
      <c r="DG54" s="296"/>
      <c r="DH54" s="296"/>
      <c r="DI54" s="296"/>
      <c r="DJ54" s="296"/>
      <c r="DK54" s="296"/>
      <c r="DL54" s="296"/>
      <c r="DM54" s="296"/>
      <c r="DN54" s="296"/>
      <c r="DO54" s="296"/>
      <c r="DP54" s="296"/>
      <c r="DQ54" s="296"/>
      <c r="DR54" s="296"/>
      <c r="DS54" s="296"/>
      <c r="DT54" s="296"/>
      <c r="DU54" s="296"/>
      <c r="DV54" s="296"/>
      <c r="DW54" s="296"/>
      <c r="DX54" s="296"/>
      <c r="DY54" s="296"/>
      <c r="DZ54" s="296"/>
      <c r="EA54" s="296"/>
      <c r="EB54" s="296"/>
      <c r="EC54" s="296"/>
      <c r="ED54" s="296"/>
      <c r="EE54" s="296"/>
      <c r="EF54" s="296"/>
      <c r="EG54" s="296"/>
      <c r="EH54" s="296"/>
      <c r="EI54" s="296"/>
      <c r="EJ54" s="296"/>
      <c r="EK54" s="296"/>
      <c r="EL54" s="296"/>
      <c r="EM54" s="296"/>
      <c r="EN54" s="296"/>
      <c r="EO54" s="296"/>
      <c r="EP54" s="296"/>
      <c r="EQ54" s="296"/>
      <c r="ER54" s="296"/>
      <c r="ES54" s="296"/>
      <c r="ET54" s="296"/>
      <c r="EU54" s="296"/>
      <c r="EV54" s="296"/>
      <c r="EW54" s="296"/>
      <c r="EX54" s="296"/>
      <c r="EY54" s="296"/>
      <c r="EZ54" s="296"/>
      <c r="FA54" s="296"/>
      <c r="FB54" s="296"/>
      <c r="FC54" s="296"/>
      <c r="FD54" s="296"/>
      <c r="FE54" s="296"/>
      <c r="FF54" s="296"/>
      <c r="FG54" s="296"/>
      <c r="FH54" s="296"/>
      <c r="FI54" s="296"/>
      <c r="FJ54" s="296"/>
      <c r="FK54" s="296"/>
      <c r="FL54" s="296"/>
      <c r="FM54" s="296"/>
      <c r="FN54" s="296"/>
      <c r="FO54" s="296"/>
      <c r="FP54" s="296"/>
      <c r="FQ54" s="296"/>
      <c r="FR54" s="296"/>
      <c r="FS54" s="296"/>
      <c r="FT54" s="296"/>
      <c r="FU54" s="296"/>
      <c r="FV54" s="296"/>
      <c r="FW54" s="296"/>
      <c r="FX54" s="296"/>
      <c r="FY54" s="296"/>
      <c r="FZ54" s="296"/>
      <c r="GA54" s="296"/>
      <c r="GB54" s="296"/>
      <c r="GC54" s="296"/>
      <c r="GD54" s="296"/>
      <c r="GE54" s="296"/>
      <c r="GF54" s="296"/>
      <c r="GG54" s="296"/>
      <c r="GH54" s="296"/>
      <c r="GI54" s="296"/>
      <c r="GJ54" s="296"/>
      <c r="GK54" s="296"/>
      <c r="GL54" s="296"/>
      <c r="GM54" s="296"/>
      <c r="GN54" s="296"/>
      <c r="GO54" s="296"/>
      <c r="GP54" s="296"/>
      <c r="GQ54" s="296"/>
      <c r="GR54" s="296"/>
      <c r="GS54" s="296"/>
      <c r="GT54" s="296"/>
      <c r="GU54" s="296"/>
      <c r="GV54" s="296"/>
      <c r="GW54" s="296"/>
      <c r="GX54" s="296"/>
      <c r="GY54" s="296"/>
      <c r="GZ54" s="296"/>
      <c r="HA54" s="296"/>
      <c r="HB54" s="296"/>
      <c r="HC54" s="296"/>
      <c r="HD54" s="296"/>
      <c r="HE54" s="296"/>
      <c r="HF54" s="296"/>
      <c r="HG54" s="296"/>
      <c r="HH54" s="296"/>
      <c r="HI54" s="296"/>
      <c r="HJ54" s="296"/>
      <c r="HK54" s="296"/>
      <c r="HL54" s="296"/>
      <c r="HM54" s="296"/>
      <c r="HN54" s="296"/>
      <c r="HO54" s="296"/>
      <c r="HP54" s="296"/>
      <c r="HQ54" s="296"/>
      <c r="HR54" s="296"/>
      <c r="HS54" s="296"/>
      <c r="HT54" s="296"/>
      <c r="HU54" s="296"/>
      <c r="HV54" s="296"/>
      <c r="HW54" s="296"/>
      <c r="HX54" s="296"/>
      <c r="HY54" s="296"/>
      <c r="HZ54" s="296"/>
      <c r="IA54" s="296"/>
      <c r="IB54" s="296"/>
      <c r="IC54" s="296"/>
      <c r="ID54" s="296"/>
      <c r="IE54" s="296"/>
      <c r="IF54" s="296"/>
      <c r="IG54" s="296"/>
      <c r="IH54" s="296"/>
      <c r="II54" s="296"/>
      <c r="IJ54" s="296"/>
      <c r="IK54" s="296"/>
      <c r="IL54" s="296"/>
      <c r="IM54" s="296"/>
      <c r="IN54" s="296"/>
      <c r="IO54" s="296"/>
      <c r="IP54" s="296"/>
      <c r="IQ54" s="296"/>
      <c r="IR54" s="296"/>
      <c r="IS54" s="296"/>
      <c r="IT54" s="296"/>
      <c r="IU54" s="296"/>
    </row>
    <row r="55" spans="1:255" ht="22.5" customHeight="1">
      <c r="A55" s="299"/>
      <c r="B55" s="129">
        <v>18</v>
      </c>
      <c r="C55" s="332" t="s">
        <v>836</v>
      </c>
      <c r="D55" s="304" t="s">
        <v>231</v>
      </c>
      <c r="E55" s="189"/>
      <c r="F55" s="189"/>
      <c r="G55" s="189"/>
      <c r="H55" s="189"/>
      <c r="I55" s="189"/>
      <c r="J55" s="189"/>
      <c r="K55" s="189"/>
      <c r="L55" s="189"/>
      <c r="M55" s="311">
        <f t="shared" si="73"/>
        <v>391</v>
      </c>
      <c r="N55" s="311">
        <v>280</v>
      </c>
      <c r="O55" s="311">
        <v>3</v>
      </c>
      <c r="P55" s="311">
        <v>102.6</v>
      </c>
      <c r="Q55" s="139">
        <f t="shared" si="74"/>
        <v>0</v>
      </c>
      <c r="R55" s="139">
        <f t="shared" si="75"/>
        <v>0</v>
      </c>
      <c r="S55" s="139">
        <f t="shared" si="76"/>
        <v>0</v>
      </c>
      <c r="T55" s="139">
        <f t="shared" si="77"/>
        <v>0</v>
      </c>
      <c r="U55" s="139">
        <f t="shared" si="34"/>
        <v>0</v>
      </c>
      <c r="V55" s="139">
        <f t="shared" si="35"/>
        <v>0</v>
      </c>
      <c r="W55" s="139">
        <f t="shared" si="36"/>
        <v>0</v>
      </c>
      <c r="X55" s="139">
        <f t="shared" si="37"/>
        <v>0</v>
      </c>
      <c r="Y55" s="298"/>
      <c r="Z55" s="340"/>
      <c r="AA55" s="340"/>
      <c r="AB55" s="340"/>
      <c r="AC55" s="340"/>
      <c r="AD55" s="340"/>
      <c r="AE55" s="340"/>
      <c r="AF55" s="340"/>
      <c r="AG55" s="340"/>
      <c r="AH55" s="340"/>
      <c r="AI55" s="340"/>
      <c r="AJ55" s="340"/>
      <c r="AK55" s="340"/>
      <c r="AL55" s="340"/>
      <c r="AM55" s="340"/>
      <c r="AN55" s="340"/>
      <c r="AO55" s="340"/>
      <c r="AP55" s="340"/>
      <c r="AQ55" s="296"/>
      <c r="AR55" s="296"/>
      <c r="AS55" s="297">
        <v>18</v>
      </c>
      <c r="AT55" s="297" t="s">
        <v>837</v>
      </c>
      <c r="AU55" s="297" t="s">
        <v>231</v>
      </c>
      <c r="AV55" s="297">
        <v>391</v>
      </c>
      <c r="AW55" s="297">
        <v>280</v>
      </c>
      <c r="AX55" s="297">
        <v>3</v>
      </c>
      <c r="AY55" s="343">
        <v>102.6</v>
      </c>
      <c r="AZ55" s="328">
        <f t="shared" si="63"/>
        <v>0</v>
      </c>
      <c r="BA55" s="296"/>
      <c r="BB55" s="296"/>
      <c r="BC55" s="296"/>
      <c r="BD55" s="296"/>
      <c r="BE55" s="296"/>
      <c r="BF55" s="296"/>
      <c r="BG55" s="296"/>
      <c r="BH55" s="296"/>
      <c r="BI55" s="296"/>
      <c r="BJ55" s="296"/>
      <c r="BK55" s="296"/>
      <c r="BL55" s="296"/>
      <c r="BM55" s="296"/>
      <c r="BN55" s="296"/>
      <c r="BO55" s="296"/>
      <c r="BP55" s="296"/>
      <c r="BQ55" s="296"/>
      <c r="BR55" s="296"/>
      <c r="BS55" s="296"/>
      <c r="BT55" s="296"/>
      <c r="BU55" s="296"/>
      <c r="BV55" s="296"/>
      <c r="BW55" s="296"/>
      <c r="BX55" s="296"/>
      <c r="BY55" s="296"/>
      <c r="BZ55" s="296"/>
      <c r="CA55" s="296"/>
      <c r="CB55" s="296"/>
      <c r="CC55" s="296"/>
      <c r="CD55" s="296"/>
      <c r="CE55" s="296"/>
      <c r="CF55" s="296"/>
      <c r="CG55" s="296"/>
      <c r="CH55" s="296"/>
      <c r="CI55" s="296"/>
      <c r="CJ55" s="296"/>
      <c r="CK55" s="296"/>
      <c r="CL55" s="296"/>
      <c r="CM55" s="296"/>
      <c r="CN55" s="296"/>
      <c r="CO55" s="296"/>
      <c r="CP55" s="296"/>
      <c r="CQ55" s="296"/>
      <c r="CR55" s="296"/>
      <c r="CS55" s="296"/>
      <c r="CT55" s="296"/>
      <c r="CU55" s="296"/>
      <c r="CV55" s="296"/>
      <c r="CW55" s="296"/>
      <c r="CX55" s="296"/>
      <c r="CY55" s="296"/>
      <c r="CZ55" s="296"/>
      <c r="DA55" s="296"/>
      <c r="DB55" s="296"/>
      <c r="DC55" s="296"/>
      <c r="DD55" s="296"/>
      <c r="DE55" s="296"/>
      <c r="DF55" s="296"/>
      <c r="DG55" s="296"/>
      <c r="DH55" s="296"/>
      <c r="DI55" s="296"/>
      <c r="DJ55" s="296"/>
      <c r="DK55" s="296"/>
      <c r="DL55" s="296"/>
      <c r="DM55" s="296"/>
      <c r="DN55" s="296"/>
      <c r="DO55" s="296"/>
      <c r="DP55" s="296"/>
      <c r="DQ55" s="296"/>
      <c r="DR55" s="296"/>
      <c r="DS55" s="296"/>
      <c r="DT55" s="296"/>
      <c r="DU55" s="296"/>
      <c r="DV55" s="296"/>
      <c r="DW55" s="296"/>
      <c r="DX55" s="296"/>
      <c r="DY55" s="296"/>
      <c r="DZ55" s="296"/>
      <c r="EA55" s="296"/>
      <c r="EB55" s="296"/>
      <c r="EC55" s="296"/>
      <c r="ED55" s="296"/>
      <c r="EE55" s="296"/>
      <c r="EF55" s="296"/>
      <c r="EG55" s="296"/>
      <c r="EH55" s="296"/>
      <c r="EI55" s="296"/>
      <c r="EJ55" s="296"/>
      <c r="EK55" s="296"/>
      <c r="EL55" s="296"/>
      <c r="EM55" s="296"/>
      <c r="EN55" s="296"/>
      <c r="EO55" s="296"/>
      <c r="EP55" s="296"/>
      <c r="EQ55" s="296"/>
      <c r="ER55" s="296"/>
      <c r="ES55" s="296"/>
      <c r="ET55" s="296"/>
      <c r="EU55" s="296"/>
      <c r="EV55" s="296"/>
      <c r="EW55" s="296"/>
      <c r="EX55" s="296"/>
      <c r="EY55" s="296"/>
      <c r="EZ55" s="296"/>
      <c r="FA55" s="296"/>
      <c r="FB55" s="296"/>
      <c r="FC55" s="296"/>
      <c r="FD55" s="296"/>
      <c r="FE55" s="296"/>
      <c r="FF55" s="296"/>
      <c r="FG55" s="296"/>
      <c r="FH55" s="296"/>
      <c r="FI55" s="296"/>
      <c r="FJ55" s="296"/>
      <c r="FK55" s="296"/>
      <c r="FL55" s="296"/>
      <c r="FM55" s="296"/>
      <c r="FN55" s="296"/>
      <c r="FO55" s="296"/>
      <c r="FP55" s="296"/>
      <c r="FQ55" s="296"/>
      <c r="FR55" s="296"/>
      <c r="FS55" s="296"/>
      <c r="FT55" s="296"/>
      <c r="FU55" s="296"/>
      <c r="FV55" s="296"/>
      <c r="FW55" s="296"/>
      <c r="FX55" s="296"/>
      <c r="FY55" s="296"/>
      <c r="FZ55" s="296"/>
      <c r="GA55" s="296"/>
      <c r="GB55" s="296"/>
      <c r="GC55" s="296"/>
      <c r="GD55" s="296"/>
      <c r="GE55" s="296"/>
      <c r="GF55" s="296"/>
      <c r="GG55" s="296"/>
      <c r="GH55" s="296"/>
      <c r="GI55" s="296"/>
      <c r="GJ55" s="296"/>
      <c r="GK55" s="296"/>
      <c r="GL55" s="296"/>
      <c r="GM55" s="296"/>
      <c r="GN55" s="296"/>
      <c r="GO55" s="296"/>
      <c r="GP55" s="296"/>
      <c r="GQ55" s="296"/>
      <c r="GR55" s="296"/>
      <c r="GS55" s="296"/>
      <c r="GT55" s="296"/>
      <c r="GU55" s="296"/>
      <c r="GV55" s="296"/>
      <c r="GW55" s="296"/>
      <c r="GX55" s="296"/>
      <c r="GY55" s="296"/>
      <c r="GZ55" s="296"/>
      <c r="HA55" s="296"/>
      <c r="HB55" s="296"/>
      <c r="HC55" s="296"/>
      <c r="HD55" s="296"/>
      <c r="HE55" s="296"/>
      <c r="HF55" s="296"/>
      <c r="HG55" s="296"/>
      <c r="HH55" s="296"/>
      <c r="HI55" s="296"/>
      <c r="HJ55" s="296"/>
      <c r="HK55" s="296"/>
      <c r="HL55" s="296"/>
      <c r="HM55" s="296"/>
      <c r="HN55" s="296"/>
      <c r="HO55" s="296"/>
      <c r="HP55" s="296"/>
      <c r="HQ55" s="296"/>
      <c r="HR55" s="296"/>
      <c r="HS55" s="296"/>
      <c r="HT55" s="296"/>
      <c r="HU55" s="296"/>
      <c r="HV55" s="296"/>
      <c r="HW55" s="296"/>
      <c r="HX55" s="296"/>
      <c r="HY55" s="296"/>
      <c r="HZ55" s="296"/>
      <c r="IA55" s="296"/>
      <c r="IB55" s="296"/>
      <c r="IC55" s="296"/>
      <c r="ID55" s="296"/>
      <c r="IE55" s="296"/>
      <c r="IF55" s="296"/>
      <c r="IG55" s="296"/>
      <c r="IH55" s="296"/>
      <c r="II55" s="296"/>
      <c r="IJ55" s="296"/>
      <c r="IK55" s="296"/>
      <c r="IL55" s="296"/>
      <c r="IM55" s="296"/>
      <c r="IN55" s="296"/>
      <c r="IO55" s="296"/>
      <c r="IP55" s="296"/>
      <c r="IQ55" s="296"/>
      <c r="IR55" s="296"/>
      <c r="IS55" s="296"/>
      <c r="IT55" s="296"/>
      <c r="IU55" s="296"/>
    </row>
    <row r="56" spans="1:255" ht="22.5" customHeight="1">
      <c r="A56" s="299"/>
      <c r="B56" s="129">
        <v>19</v>
      </c>
      <c r="C56" s="332" t="s">
        <v>838</v>
      </c>
      <c r="D56" s="304" t="s">
        <v>231</v>
      </c>
      <c r="E56" s="151"/>
      <c r="F56" s="189"/>
      <c r="G56" s="189"/>
      <c r="H56" s="151"/>
      <c r="I56" s="189"/>
      <c r="J56" s="151"/>
      <c r="K56" s="189"/>
      <c r="L56" s="189"/>
      <c r="M56" s="311">
        <f t="shared" si="73"/>
        <v>493.59999999999997</v>
      </c>
      <c r="N56" s="311">
        <v>280</v>
      </c>
      <c r="O56" s="311">
        <v>3</v>
      </c>
      <c r="P56" s="311">
        <f>P50</f>
        <v>205.2</v>
      </c>
      <c r="Q56" s="139">
        <f t="shared" si="74"/>
        <v>0</v>
      </c>
      <c r="R56" s="139">
        <f t="shared" si="75"/>
        <v>0</v>
      </c>
      <c r="S56" s="139">
        <f t="shared" si="76"/>
        <v>0</v>
      </c>
      <c r="T56" s="139">
        <f t="shared" si="77"/>
        <v>0</v>
      </c>
      <c r="U56" s="139">
        <f t="shared" si="34"/>
        <v>0</v>
      </c>
      <c r="V56" s="139">
        <f t="shared" si="35"/>
        <v>0</v>
      </c>
      <c r="W56" s="139">
        <f t="shared" si="36"/>
        <v>0</v>
      </c>
      <c r="X56" s="139">
        <f t="shared" si="37"/>
        <v>0</v>
      </c>
      <c r="Y56" s="298"/>
      <c r="Z56" s="340"/>
      <c r="AA56" s="340"/>
      <c r="AB56" s="340"/>
      <c r="AC56" s="340"/>
      <c r="AD56" s="340"/>
      <c r="AE56" s="340"/>
      <c r="AF56" s="340"/>
      <c r="AG56" s="340"/>
      <c r="AH56" s="340"/>
      <c r="AI56" s="340"/>
      <c r="AJ56" s="340"/>
      <c r="AK56" s="340"/>
      <c r="AL56" s="340"/>
      <c r="AM56" s="340"/>
      <c r="AN56" s="340"/>
      <c r="AO56" s="340"/>
      <c r="AP56" s="340"/>
      <c r="AQ56" s="296"/>
      <c r="AR56" s="296"/>
      <c r="AS56" s="297">
        <v>19</v>
      </c>
      <c r="AT56" s="297" t="s">
        <v>839</v>
      </c>
      <c r="AU56" s="297" t="s">
        <v>231</v>
      </c>
      <c r="AV56" s="297">
        <v>493.6</v>
      </c>
      <c r="AW56" s="297">
        <v>280</v>
      </c>
      <c r="AX56" s="297">
        <v>3</v>
      </c>
      <c r="AY56" s="343">
        <v>205.2</v>
      </c>
      <c r="AZ56" s="328">
        <f t="shared" si="63"/>
        <v>0</v>
      </c>
      <c r="BA56" s="296"/>
      <c r="BB56" s="296"/>
      <c r="BC56" s="296"/>
      <c r="BD56" s="296"/>
      <c r="BE56" s="296"/>
      <c r="BF56" s="296"/>
      <c r="BG56" s="296"/>
      <c r="BH56" s="296"/>
      <c r="BI56" s="296"/>
      <c r="BJ56" s="296"/>
      <c r="BK56" s="296"/>
      <c r="BL56" s="296"/>
      <c r="BM56" s="296"/>
      <c r="BN56" s="296"/>
      <c r="BO56" s="296"/>
      <c r="BP56" s="296"/>
      <c r="BQ56" s="296"/>
      <c r="BR56" s="296"/>
      <c r="BS56" s="296"/>
      <c r="BT56" s="296"/>
      <c r="BU56" s="296"/>
      <c r="BV56" s="296"/>
      <c r="BW56" s="296"/>
      <c r="BX56" s="296"/>
      <c r="BY56" s="296"/>
      <c r="BZ56" s="296"/>
      <c r="CA56" s="296"/>
      <c r="CB56" s="296"/>
      <c r="CC56" s="296"/>
      <c r="CD56" s="296"/>
      <c r="CE56" s="296"/>
      <c r="CF56" s="296"/>
      <c r="CG56" s="296"/>
      <c r="CH56" s="296"/>
      <c r="CI56" s="296"/>
      <c r="CJ56" s="296"/>
      <c r="CK56" s="296"/>
      <c r="CL56" s="296"/>
      <c r="CM56" s="296"/>
      <c r="CN56" s="296"/>
      <c r="CO56" s="296"/>
      <c r="CP56" s="296"/>
      <c r="CQ56" s="296"/>
      <c r="CR56" s="296"/>
      <c r="CS56" s="296"/>
      <c r="CT56" s="296"/>
      <c r="CU56" s="296"/>
      <c r="CV56" s="296"/>
      <c r="CW56" s="296"/>
      <c r="CX56" s="296"/>
      <c r="CY56" s="296"/>
      <c r="CZ56" s="296"/>
      <c r="DA56" s="296"/>
      <c r="DB56" s="296"/>
      <c r="DC56" s="296"/>
      <c r="DD56" s="296"/>
      <c r="DE56" s="296"/>
      <c r="DF56" s="296"/>
      <c r="DG56" s="296"/>
      <c r="DH56" s="296"/>
      <c r="DI56" s="296"/>
      <c r="DJ56" s="296"/>
      <c r="DK56" s="296"/>
      <c r="DL56" s="296"/>
      <c r="DM56" s="296"/>
      <c r="DN56" s="296"/>
      <c r="DO56" s="296"/>
      <c r="DP56" s="296"/>
      <c r="DQ56" s="296"/>
      <c r="DR56" s="296"/>
      <c r="DS56" s="296"/>
      <c r="DT56" s="296"/>
      <c r="DU56" s="296"/>
      <c r="DV56" s="296"/>
      <c r="DW56" s="296"/>
      <c r="DX56" s="296"/>
      <c r="DY56" s="296"/>
      <c r="DZ56" s="296"/>
      <c r="EA56" s="296"/>
      <c r="EB56" s="296"/>
      <c r="EC56" s="296"/>
      <c r="ED56" s="296"/>
      <c r="EE56" s="296"/>
      <c r="EF56" s="296"/>
      <c r="EG56" s="296"/>
      <c r="EH56" s="296"/>
      <c r="EI56" s="296"/>
      <c r="EJ56" s="296"/>
      <c r="EK56" s="296"/>
      <c r="EL56" s="296"/>
      <c r="EM56" s="296"/>
      <c r="EN56" s="296"/>
      <c r="EO56" s="296"/>
      <c r="EP56" s="296"/>
      <c r="EQ56" s="296"/>
      <c r="ER56" s="296"/>
      <c r="ES56" s="296"/>
      <c r="ET56" s="296"/>
      <c r="EU56" s="296"/>
      <c r="EV56" s="296"/>
      <c r="EW56" s="296"/>
      <c r="EX56" s="296"/>
      <c r="EY56" s="296"/>
      <c r="EZ56" s="296"/>
      <c r="FA56" s="296"/>
      <c r="FB56" s="296"/>
      <c r="FC56" s="296"/>
      <c r="FD56" s="296"/>
      <c r="FE56" s="296"/>
      <c r="FF56" s="296"/>
      <c r="FG56" s="296"/>
      <c r="FH56" s="296"/>
      <c r="FI56" s="296"/>
      <c r="FJ56" s="296"/>
      <c r="FK56" s="296"/>
      <c r="FL56" s="296"/>
      <c r="FM56" s="296"/>
      <c r="FN56" s="296"/>
      <c r="FO56" s="296"/>
      <c r="FP56" s="296"/>
      <c r="FQ56" s="296"/>
      <c r="FR56" s="296"/>
      <c r="FS56" s="296"/>
      <c r="FT56" s="296"/>
      <c r="FU56" s="296"/>
      <c r="FV56" s="296"/>
      <c r="FW56" s="296"/>
      <c r="FX56" s="296"/>
      <c r="FY56" s="296"/>
      <c r="FZ56" s="296"/>
      <c r="GA56" s="296"/>
      <c r="GB56" s="296"/>
      <c r="GC56" s="296"/>
      <c r="GD56" s="296"/>
      <c r="GE56" s="296"/>
      <c r="GF56" s="296"/>
      <c r="GG56" s="296"/>
      <c r="GH56" s="296"/>
      <c r="GI56" s="296"/>
      <c r="GJ56" s="296"/>
      <c r="GK56" s="296"/>
      <c r="GL56" s="296"/>
      <c r="GM56" s="296"/>
      <c r="GN56" s="296"/>
      <c r="GO56" s="296"/>
      <c r="GP56" s="296"/>
      <c r="GQ56" s="296"/>
      <c r="GR56" s="296"/>
      <c r="GS56" s="296"/>
      <c r="GT56" s="296"/>
      <c r="GU56" s="296"/>
      <c r="GV56" s="296"/>
      <c r="GW56" s="296"/>
      <c r="GX56" s="296"/>
      <c r="GY56" s="296"/>
      <c r="GZ56" s="296"/>
      <c r="HA56" s="296"/>
      <c r="HB56" s="296"/>
      <c r="HC56" s="296"/>
      <c r="HD56" s="296"/>
      <c r="HE56" s="296"/>
      <c r="HF56" s="296"/>
      <c r="HG56" s="296"/>
      <c r="HH56" s="296"/>
      <c r="HI56" s="296"/>
      <c r="HJ56" s="296"/>
      <c r="HK56" s="296"/>
      <c r="HL56" s="296"/>
      <c r="HM56" s="296"/>
      <c r="HN56" s="296"/>
      <c r="HO56" s="296"/>
      <c r="HP56" s="296"/>
      <c r="HQ56" s="296"/>
      <c r="HR56" s="296"/>
      <c r="HS56" s="296"/>
      <c r="HT56" s="296"/>
      <c r="HU56" s="296"/>
      <c r="HV56" s="296"/>
      <c r="HW56" s="296"/>
      <c r="HX56" s="296"/>
      <c r="HY56" s="296"/>
      <c r="HZ56" s="296"/>
      <c r="IA56" s="296"/>
      <c r="IB56" s="296"/>
      <c r="IC56" s="296"/>
      <c r="ID56" s="296"/>
      <c r="IE56" s="296"/>
      <c r="IF56" s="296"/>
      <c r="IG56" s="296"/>
      <c r="IH56" s="296"/>
      <c r="II56" s="296"/>
      <c r="IJ56" s="296"/>
      <c r="IK56" s="296"/>
      <c r="IL56" s="296"/>
      <c r="IM56" s="296"/>
      <c r="IN56" s="296"/>
      <c r="IO56" s="296"/>
      <c r="IP56" s="296"/>
      <c r="IQ56" s="296"/>
      <c r="IR56" s="296"/>
      <c r="IS56" s="296"/>
      <c r="IT56" s="296"/>
      <c r="IU56" s="296"/>
    </row>
    <row r="57" spans="1:255" ht="52.5" customHeight="1">
      <c r="A57" s="299"/>
      <c r="B57" s="129">
        <v>20</v>
      </c>
      <c r="C57" s="332" t="s">
        <v>633</v>
      </c>
      <c r="D57" s="129" t="s">
        <v>235</v>
      </c>
      <c r="E57" s="189"/>
      <c r="F57" s="189"/>
      <c r="G57" s="189"/>
      <c r="H57" s="189"/>
      <c r="I57" s="189"/>
      <c r="J57" s="189"/>
      <c r="K57" s="189"/>
      <c r="L57" s="189"/>
      <c r="M57" s="311">
        <f t="shared" si="73"/>
        <v>398.3</v>
      </c>
      <c r="N57" s="311">
        <v>330</v>
      </c>
      <c r="O57" s="311">
        <v>1</v>
      </c>
      <c r="P57" s="311">
        <v>65</v>
      </c>
      <c r="Q57" s="139">
        <f t="shared" si="74"/>
        <v>0</v>
      </c>
      <c r="R57" s="139">
        <f t="shared" si="75"/>
        <v>0</v>
      </c>
      <c r="S57" s="139">
        <f t="shared" si="76"/>
        <v>0</v>
      </c>
      <c r="T57" s="139">
        <f t="shared" si="77"/>
        <v>0</v>
      </c>
      <c r="U57" s="139">
        <f t="shared" ref="U57:U88" si="78">I57*$M57</f>
        <v>0</v>
      </c>
      <c r="V57" s="139">
        <f t="shared" ref="V57:V88" si="79">J57*$M57</f>
        <v>0</v>
      </c>
      <c r="W57" s="139">
        <f t="shared" ref="W57:W88" si="80">K57*$M57</f>
        <v>0</v>
      </c>
      <c r="X57" s="139">
        <f t="shared" ref="X57:X88" si="81">L57*$M57</f>
        <v>0</v>
      </c>
      <c r="Y57" s="341"/>
      <c r="Z57" s="340"/>
      <c r="AA57" s="340"/>
      <c r="AB57" s="340"/>
      <c r="AC57" s="340"/>
      <c r="AD57" s="340"/>
      <c r="AE57" s="340"/>
      <c r="AF57" s="340"/>
      <c r="AG57" s="340"/>
      <c r="AH57" s="340"/>
      <c r="AI57" s="340"/>
      <c r="AJ57" s="340"/>
      <c r="AK57" s="340"/>
      <c r="AL57" s="340"/>
      <c r="AM57" s="340"/>
      <c r="AN57" s="340"/>
      <c r="AO57" s="340"/>
      <c r="AP57" s="340"/>
      <c r="AQ57" s="296"/>
      <c r="AR57" s="296"/>
      <c r="AS57" s="297">
        <v>20</v>
      </c>
      <c r="AT57" s="297" t="s">
        <v>633</v>
      </c>
      <c r="AU57" s="297" t="s">
        <v>235</v>
      </c>
      <c r="AV57" s="297">
        <v>398.3</v>
      </c>
      <c r="AW57" s="297">
        <v>330</v>
      </c>
      <c r="AX57" s="297">
        <v>1</v>
      </c>
      <c r="AY57" s="343">
        <v>65</v>
      </c>
      <c r="AZ57" s="328">
        <f t="shared" si="63"/>
        <v>0</v>
      </c>
      <c r="BA57" s="296"/>
      <c r="BB57" s="296"/>
      <c r="BC57" s="296"/>
      <c r="BD57" s="296"/>
      <c r="BE57" s="296"/>
      <c r="BF57" s="296"/>
      <c r="BG57" s="296"/>
      <c r="BH57" s="296"/>
      <c r="BI57" s="296"/>
      <c r="BJ57" s="296"/>
      <c r="BK57" s="296"/>
      <c r="BL57" s="296"/>
      <c r="BM57" s="296"/>
      <c r="BN57" s="296"/>
      <c r="BO57" s="296"/>
      <c r="BP57" s="296"/>
      <c r="BQ57" s="296"/>
      <c r="BR57" s="296"/>
      <c r="BS57" s="296"/>
      <c r="BT57" s="296"/>
      <c r="BU57" s="296"/>
      <c r="BV57" s="296"/>
      <c r="BW57" s="296"/>
      <c r="BX57" s="296"/>
      <c r="BY57" s="296"/>
      <c r="BZ57" s="296"/>
      <c r="CA57" s="296"/>
      <c r="CB57" s="296"/>
      <c r="CC57" s="296"/>
      <c r="CD57" s="296"/>
      <c r="CE57" s="296"/>
      <c r="CF57" s="296"/>
      <c r="CG57" s="296"/>
      <c r="CH57" s="296"/>
      <c r="CI57" s="296"/>
      <c r="CJ57" s="296"/>
      <c r="CK57" s="296"/>
      <c r="CL57" s="296"/>
      <c r="CM57" s="296"/>
      <c r="CN57" s="296"/>
      <c r="CO57" s="296"/>
      <c r="CP57" s="296"/>
      <c r="CQ57" s="296"/>
      <c r="CR57" s="296"/>
      <c r="CS57" s="296"/>
      <c r="CT57" s="296"/>
      <c r="CU57" s="296"/>
      <c r="CV57" s="296"/>
      <c r="CW57" s="296"/>
      <c r="CX57" s="296"/>
      <c r="CY57" s="296"/>
      <c r="CZ57" s="296"/>
      <c r="DA57" s="296"/>
      <c r="DB57" s="296"/>
      <c r="DC57" s="296"/>
      <c r="DD57" s="296"/>
      <c r="DE57" s="296"/>
      <c r="DF57" s="296"/>
      <c r="DG57" s="296"/>
      <c r="DH57" s="296"/>
      <c r="DI57" s="296"/>
      <c r="DJ57" s="296"/>
      <c r="DK57" s="296"/>
      <c r="DL57" s="296"/>
      <c r="DM57" s="296"/>
      <c r="DN57" s="296"/>
      <c r="DO57" s="296"/>
      <c r="DP57" s="296"/>
      <c r="DQ57" s="296"/>
      <c r="DR57" s="296"/>
      <c r="DS57" s="296"/>
      <c r="DT57" s="296"/>
      <c r="DU57" s="296"/>
      <c r="DV57" s="296"/>
      <c r="DW57" s="296"/>
      <c r="DX57" s="296"/>
      <c r="DY57" s="296"/>
      <c r="DZ57" s="296"/>
      <c r="EA57" s="296"/>
      <c r="EB57" s="296"/>
      <c r="EC57" s="296"/>
      <c r="ED57" s="296"/>
      <c r="EE57" s="296"/>
      <c r="EF57" s="296"/>
      <c r="EG57" s="296"/>
      <c r="EH57" s="296"/>
      <c r="EI57" s="296"/>
      <c r="EJ57" s="296"/>
      <c r="EK57" s="296"/>
      <c r="EL57" s="296"/>
      <c r="EM57" s="296"/>
      <c r="EN57" s="296"/>
      <c r="EO57" s="296"/>
      <c r="EP57" s="296"/>
      <c r="EQ57" s="296"/>
      <c r="ER57" s="296"/>
      <c r="ES57" s="296"/>
      <c r="ET57" s="296"/>
      <c r="EU57" s="296"/>
      <c r="EV57" s="296"/>
      <c r="EW57" s="296"/>
      <c r="EX57" s="296"/>
      <c r="EY57" s="296"/>
      <c r="EZ57" s="296"/>
      <c r="FA57" s="296"/>
      <c r="FB57" s="296"/>
      <c r="FC57" s="296"/>
      <c r="FD57" s="296"/>
      <c r="FE57" s="296"/>
      <c r="FF57" s="296"/>
      <c r="FG57" s="296"/>
      <c r="FH57" s="296"/>
      <c r="FI57" s="296"/>
      <c r="FJ57" s="296"/>
      <c r="FK57" s="296"/>
      <c r="FL57" s="296"/>
      <c r="FM57" s="296"/>
      <c r="FN57" s="296"/>
      <c r="FO57" s="296"/>
      <c r="FP57" s="296"/>
      <c r="FQ57" s="296"/>
      <c r="FR57" s="296"/>
      <c r="FS57" s="296"/>
      <c r="FT57" s="296"/>
      <c r="FU57" s="296"/>
      <c r="FV57" s="296"/>
      <c r="FW57" s="296"/>
      <c r="FX57" s="296"/>
      <c r="FY57" s="296"/>
      <c r="FZ57" s="296"/>
      <c r="GA57" s="296"/>
      <c r="GB57" s="296"/>
      <c r="GC57" s="296"/>
      <c r="GD57" s="296"/>
      <c r="GE57" s="296"/>
      <c r="GF57" s="296"/>
      <c r="GG57" s="296"/>
      <c r="GH57" s="296"/>
      <c r="GI57" s="296"/>
      <c r="GJ57" s="296"/>
      <c r="GK57" s="296"/>
      <c r="GL57" s="296"/>
      <c r="GM57" s="296"/>
      <c r="GN57" s="296"/>
      <c r="GO57" s="296"/>
      <c r="GP57" s="296"/>
      <c r="GQ57" s="296"/>
      <c r="GR57" s="296"/>
      <c r="GS57" s="296"/>
      <c r="GT57" s="296"/>
      <c r="GU57" s="296"/>
      <c r="GV57" s="296"/>
      <c r="GW57" s="296"/>
      <c r="GX57" s="296"/>
      <c r="GY57" s="296"/>
      <c r="GZ57" s="296"/>
      <c r="HA57" s="296"/>
      <c r="HB57" s="296"/>
      <c r="HC57" s="296"/>
      <c r="HD57" s="296"/>
      <c r="HE57" s="296"/>
      <c r="HF57" s="296"/>
      <c r="HG57" s="296"/>
      <c r="HH57" s="296"/>
      <c r="HI57" s="296"/>
      <c r="HJ57" s="296"/>
      <c r="HK57" s="296"/>
      <c r="HL57" s="296"/>
      <c r="HM57" s="296"/>
      <c r="HN57" s="296"/>
      <c r="HO57" s="296"/>
      <c r="HP57" s="296"/>
      <c r="HQ57" s="296"/>
      <c r="HR57" s="296"/>
      <c r="HS57" s="296"/>
      <c r="HT57" s="296"/>
      <c r="HU57" s="296"/>
      <c r="HV57" s="296"/>
      <c r="HW57" s="296"/>
      <c r="HX57" s="296"/>
      <c r="HY57" s="296"/>
      <c r="HZ57" s="296"/>
      <c r="IA57" s="296"/>
      <c r="IB57" s="296"/>
      <c r="IC57" s="296"/>
      <c r="ID57" s="296"/>
      <c r="IE57" s="296"/>
      <c r="IF57" s="296"/>
      <c r="IG57" s="296"/>
      <c r="IH57" s="296"/>
      <c r="II57" s="296"/>
      <c r="IJ57" s="296"/>
      <c r="IK57" s="296"/>
      <c r="IL57" s="296"/>
      <c r="IM57" s="296"/>
      <c r="IN57" s="296"/>
      <c r="IO57" s="296"/>
      <c r="IP57" s="296"/>
      <c r="IQ57" s="296"/>
      <c r="IR57" s="296"/>
      <c r="IS57" s="296"/>
      <c r="IT57" s="296"/>
      <c r="IU57" s="296"/>
    </row>
    <row r="58" spans="1:255" ht="16.5" customHeight="1">
      <c r="A58" s="299"/>
      <c r="B58" s="304" t="s">
        <v>62</v>
      </c>
      <c r="C58" s="332" t="s">
        <v>634</v>
      </c>
      <c r="D58" s="129"/>
      <c r="E58" s="151"/>
      <c r="F58" s="189"/>
      <c r="G58" s="189"/>
      <c r="H58" s="151"/>
      <c r="I58" s="189"/>
      <c r="J58" s="151"/>
      <c r="K58" s="189"/>
      <c r="L58" s="189"/>
      <c r="M58" s="311">
        <f t="shared" si="73"/>
        <v>0</v>
      </c>
      <c r="N58" s="312"/>
      <c r="O58" s="312"/>
      <c r="P58" s="312"/>
      <c r="Q58" s="139">
        <f t="shared" si="74"/>
        <v>0</v>
      </c>
      <c r="R58" s="139">
        <f t="shared" si="75"/>
        <v>0</v>
      </c>
      <c r="S58" s="139">
        <f t="shared" si="76"/>
        <v>0</v>
      </c>
      <c r="T58" s="139">
        <f t="shared" si="77"/>
        <v>0</v>
      </c>
      <c r="U58" s="139">
        <f t="shared" si="78"/>
        <v>0</v>
      </c>
      <c r="V58" s="139">
        <f t="shared" si="79"/>
        <v>0</v>
      </c>
      <c r="W58" s="139">
        <f t="shared" si="80"/>
        <v>0</v>
      </c>
      <c r="X58" s="139">
        <f t="shared" si="81"/>
        <v>0</v>
      </c>
      <c r="Y58" s="341"/>
      <c r="Z58" s="340"/>
      <c r="AA58" s="340"/>
      <c r="AB58" s="340"/>
      <c r="AC58" s="340"/>
      <c r="AD58" s="340"/>
      <c r="AE58" s="340"/>
      <c r="AF58" s="340"/>
      <c r="AG58" s="340"/>
      <c r="AH58" s="340"/>
      <c r="AI58" s="340"/>
      <c r="AJ58" s="340"/>
      <c r="AK58" s="340"/>
      <c r="AL58" s="340"/>
      <c r="AM58" s="340"/>
      <c r="AN58" s="340"/>
      <c r="AO58" s="340"/>
      <c r="AP58" s="340"/>
      <c r="AQ58" s="296"/>
      <c r="AR58" s="296"/>
      <c r="AS58" s="297" t="s">
        <v>62</v>
      </c>
      <c r="AT58" s="297" t="s">
        <v>634</v>
      </c>
      <c r="AU58" s="297"/>
      <c r="AV58" s="297">
        <v>0</v>
      </c>
      <c r="AW58" s="297"/>
      <c r="AX58" s="297"/>
      <c r="AY58" s="343"/>
      <c r="AZ58" s="328">
        <f t="shared" si="63"/>
        <v>0</v>
      </c>
      <c r="BA58" s="296"/>
      <c r="BB58" s="296"/>
      <c r="BC58" s="296"/>
      <c r="BD58" s="296"/>
      <c r="BE58" s="296"/>
      <c r="BF58" s="296"/>
      <c r="BG58" s="296"/>
      <c r="BH58" s="296"/>
      <c r="BI58" s="296"/>
      <c r="BJ58" s="296"/>
      <c r="BK58" s="296"/>
      <c r="BL58" s="296"/>
      <c r="BM58" s="296"/>
      <c r="BN58" s="296"/>
      <c r="BO58" s="296"/>
      <c r="BP58" s="296"/>
      <c r="BQ58" s="296"/>
      <c r="BR58" s="296"/>
      <c r="BS58" s="296"/>
      <c r="BT58" s="296"/>
      <c r="BU58" s="296"/>
      <c r="BV58" s="296"/>
      <c r="BW58" s="296"/>
      <c r="BX58" s="296"/>
      <c r="BY58" s="296"/>
      <c r="BZ58" s="296"/>
      <c r="CA58" s="296"/>
      <c r="CB58" s="296"/>
      <c r="CC58" s="296"/>
      <c r="CD58" s="296"/>
      <c r="CE58" s="296"/>
      <c r="CF58" s="296"/>
      <c r="CG58" s="296"/>
      <c r="CH58" s="296"/>
      <c r="CI58" s="296"/>
      <c r="CJ58" s="296"/>
      <c r="CK58" s="296"/>
      <c r="CL58" s="296"/>
      <c r="CM58" s="296"/>
      <c r="CN58" s="296"/>
      <c r="CO58" s="296"/>
      <c r="CP58" s="296"/>
      <c r="CQ58" s="296"/>
      <c r="CR58" s="296"/>
      <c r="CS58" s="296"/>
      <c r="CT58" s="296"/>
      <c r="CU58" s="296"/>
      <c r="CV58" s="296"/>
      <c r="CW58" s="296"/>
      <c r="CX58" s="296"/>
      <c r="CY58" s="296"/>
      <c r="CZ58" s="296"/>
      <c r="DA58" s="296"/>
      <c r="DB58" s="296"/>
      <c r="DC58" s="296"/>
      <c r="DD58" s="296"/>
      <c r="DE58" s="296"/>
      <c r="DF58" s="296"/>
      <c r="DG58" s="296"/>
      <c r="DH58" s="296"/>
      <c r="DI58" s="296"/>
      <c r="DJ58" s="296"/>
      <c r="DK58" s="296"/>
      <c r="DL58" s="296"/>
      <c r="DM58" s="296"/>
      <c r="DN58" s="296"/>
      <c r="DO58" s="296"/>
      <c r="DP58" s="296"/>
      <c r="DQ58" s="296"/>
      <c r="DR58" s="296"/>
      <c r="DS58" s="296"/>
      <c r="DT58" s="296"/>
      <c r="DU58" s="296"/>
      <c r="DV58" s="296"/>
      <c r="DW58" s="296"/>
      <c r="DX58" s="296"/>
      <c r="DY58" s="296"/>
      <c r="DZ58" s="296"/>
      <c r="EA58" s="296"/>
      <c r="EB58" s="296"/>
      <c r="EC58" s="296"/>
      <c r="ED58" s="296"/>
      <c r="EE58" s="296"/>
      <c r="EF58" s="296"/>
      <c r="EG58" s="296"/>
      <c r="EH58" s="296"/>
      <c r="EI58" s="296"/>
      <c r="EJ58" s="296"/>
      <c r="EK58" s="296"/>
      <c r="EL58" s="296"/>
      <c r="EM58" s="296"/>
      <c r="EN58" s="296"/>
      <c r="EO58" s="296"/>
      <c r="EP58" s="296"/>
      <c r="EQ58" s="296"/>
      <c r="ER58" s="296"/>
      <c r="ES58" s="296"/>
      <c r="ET58" s="296"/>
      <c r="EU58" s="296"/>
      <c r="EV58" s="296"/>
      <c r="EW58" s="296"/>
      <c r="EX58" s="296"/>
      <c r="EY58" s="296"/>
      <c r="EZ58" s="296"/>
      <c r="FA58" s="296"/>
      <c r="FB58" s="296"/>
      <c r="FC58" s="296"/>
      <c r="FD58" s="296"/>
      <c r="FE58" s="296"/>
      <c r="FF58" s="296"/>
      <c r="FG58" s="296"/>
      <c r="FH58" s="296"/>
      <c r="FI58" s="296"/>
      <c r="FJ58" s="296"/>
      <c r="FK58" s="296"/>
      <c r="FL58" s="296"/>
      <c r="FM58" s="296"/>
      <c r="FN58" s="296"/>
      <c r="FO58" s="296"/>
      <c r="FP58" s="296"/>
      <c r="FQ58" s="296"/>
      <c r="FR58" s="296"/>
      <c r="FS58" s="296"/>
      <c r="FT58" s="296"/>
      <c r="FU58" s="296"/>
      <c r="FV58" s="296"/>
      <c r="FW58" s="296"/>
      <c r="FX58" s="296"/>
      <c r="FY58" s="296"/>
      <c r="FZ58" s="296"/>
      <c r="GA58" s="296"/>
      <c r="GB58" s="296"/>
      <c r="GC58" s="296"/>
      <c r="GD58" s="296"/>
      <c r="GE58" s="296"/>
      <c r="GF58" s="296"/>
      <c r="GG58" s="296"/>
      <c r="GH58" s="296"/>
      <c r="GI58" s="296"/>
      <c r="GJ58" s="296"/>
      <c r="GK58" s="296"/>
      <c r="GL58" s="296"/>
      <c r="GM58" s="296"/>
      <c r="GN58" s="296"/>
      <c r="GO58" s="296"/>
      <c r="GP58" s="296"/>
      <c r="GQ58" s="296"/>
      <c r="GR58" s="296"/>
      <c r="GS58" s="296"/>
      <c r="GT58" s="296"/>
      <c r="GU58" s="296"/>
      <c r="GV58" s="296"/>
      <c r="GW58" s="296"/>
      <c r="GX58" s="296"/>
      <c r="GY58" s="296"/>
      <c r="GZ58" s="296"/>
      <c r="HA58" s="296"/>
      <c r="HB58" s="296"/>
      <c r="HC58" s="296"/>
      <c r="HD58" s="296"/>
      <c r="HE58" s="296"/>
      <c r="HF58" s="296"/>
      <c r="HG58" s="296"/>
      <c r="HH58" s="296"/>
      <c r="HI58" s="296"/>
      <c r="HJ58" s="296"/>
      <c r="HK58" s="296"/>
      <c r="HL58" s="296"/>
      <c r="HM58" s="296"/>
      <c r="HN58" s="296"/>
      <c r="HO58" s="296"/>
      <c r="HP58" s="296"/>
      <c r="HQ58" s="296"/>
      <c r="HR58" s="296"/>
      <c r="HS58" s="296"/>
      <c r="HT58" s="296"/>
      <c r="HU58" s="296"/>
      <c r="HV58" s="296"/>
      <c r="HW58" s="296"/>
      <c r="HX58" s="296"/>
      <c r="HY58" s="296"/>
      <c r="HZ58" s="296"/>
      <c r="IA58" s="296"/>
      <c r="IB58" s="296"/>
      <c r="IC58" s="296"/>
      <c r="ID58" s="296"/>
      <c r="IE58" s="296"/>
      <c r="IF58" s="296"/>
      <c r="IG58" s="296"/>
      <c r="IH58" s="296"/>
      <c r="II58" s="296"/>
      <c r="IJ58" s="296"/>
      <c r="IK58" s="296"/>
      <c r="IL58" s="296"/>
      <c r="IM58" s="296"/>
      <c r="IN58" s="296"/>
      <c r="IO58" s="296"/>
      <c r="IP58" s="296"/>
      <c r="IQ58" s="296"/>
      <c r="IR58" s="296"/>
      <c r="IS58" s="296"/>
      <c r="IT58" s="296"/>
      <c r="IU58" s="296"/>
    </row>
    <row r="59" spans="1:255" ht="16.5" customHeight="1">
      <c r="A59" s="300"/>
      <c r="B59" s="129"/>
      <c r="C59" s="266" t="s">
        <v>635</v>
      </c>
      <c r="D59" s="129"/>
      <c r="E59" s="189"/>
      <c r="F59" s="189"/>
      <c r="G59" s="189"/>
      <c r="H59" s="189"/>
      <c r="I59" s="189"/>
      <c r="J59" s="189"/>
      <c r="K59" s="189"/>
      <c r="L59" s="189"/>
      <c r="M59" s="311">
        <f t="shared" si="73"/>
        <v>0</v>
      </c>
      <c r="N59" s="311"/>
      <c r="O59" s="311"/>
      <c r="P59" s="311"/>
      <c r="Q59" s="139">
        <f t="shared" si="74"/>
        <v>0</v>
      </c>
      <c r="R59" s="139">
        <f t="shared" si="75"/>
        <v>0</v>
      </c>
      <c r="S59" s="139">
        <f t="shared" si="76"/>
        <v>0</v>
      </c>
      <c r="T59" s="139">
        <f t="shared" si="77"/>
        <v>0</v>
      </c>
      <c r="U59" s="139">
        <f t="shared" si="78"/>
        <v>0</v>
      </c>
      <c r="V59" s="139">
        <f t="shared" si="79"/>
        <v>0</v>
      </c>
      <c r="W59" s="139">
        <f t="shared" si="80"/>
        <v>0</v>
      </c>
      <c r="X59" s="139">
        <f t="shared" si="81"/>
        <v>0</v>
      </c>
      <c r="Y59" s="192"/>
      <c r="Z59" s="338"/>
      <c r="AA59" s="338"/>
      <c r="AB59" s="338"/>
      <c r="AC59" s="338"/>
      <c r="AD59" s="338"/>
      <c r="AE59" s="338"/>
      <c r="AF59" s="338"/>
      <c r="AG59" s="338"/>
      <c r="AH59" s="338"/>
      <c r="AI59" s="338"/>
      <c r="AJ59" s="338"/>
      <c r="AK59" s="338"/>
      <c r="AL59" s="338"/>
      <c r="AM59" s="338"/>
      <c r="AN59" s="338"/>
      <c r="AO59" s="338"/>
      <c r="AP59" s="338"/>
      <c r="AS59" s="297"/>
      <c r="AT59" s="297" t="s">
        <v>635</v>
      </c>
      <c r="AU59" s="297"/>
      <c r="AV59" s="297">
        <v>0</v>
      </c>
      <c r="AW59" s="297"/>
      <c r="AX59" s="297"/>
      <c r="AY59" s="343"/>
      <c r="AZ59" s="328">
        <f t="shared" si="63"/>
        <v>0</v>
      </c>
    </row>
    <row r="60" spans="1:255" ht="45" customHeight="1">
      <c r="A60" s="300"/>
      <c r="B60" s="129">
        <v>1</v>
      </c>
      <c r="C60" s="196" t="s">
        <v>641</v>
      </c>
      <c r="D60" s="129" t="s">
        <v>235</v>
      </c>
      <c r="E60" s="151"/>
      <c r="F60" s="189"/>
      <c r="G60" s="189"/>
      <c r="H60" s="151"/>
      <c r="I60" s="189"/>
      <c r="J60" s="151"/>
      <c r="K60" s="189"/>
      <c r="L60" s="189"/>
      <c r="M60" s="311">
        <f t="shared" si="73"/>
        <v>27.4</v>
      </c>
      <c r="N60" s="312">
        <f>'附件4-8甲供材料清单'!M186*0.15</f>
        <v>10</v>
      </c>
      <c r="O60" s="312">
        <v>6</v>
      </c>
      <c r="P60" s="311">
        <v>16.8</v>
      </c>
      <c r="Q60" s="139">
        <f t="shared" si="74"/>
        <v>0</v>
      </c>
      <c r="R60" s="139">
        <f t="shared" si="75"/>
        <v>0</v>
      </c>
      <c r="S60" s="139">
        <f t="shared" si="76"/>
        <v>0</v>
      </c>
      <c r="T60" s="139">
        <f t="shared" si="77"/>
        <v>0</v>
      </c>
      <c r="U60" s="139">
        <f t="shared" si="78"/>
        <v>0</v>
      </c>
      <c r="V60" s="139">
        <f t="shared" si="79"/>
        <v>0</v>
      </c>
      <c r="W60" s="139">
        <f t="shared" si="80"/>
        <v>0</v>
      </c>
      <c r="X60" s="139">
        <f t="shared" si="81"/>
        <v>0</v>
      </c>
      <c r="Y60" s="192" t="s">
        <v>642</v>
      </c>
      <c r="Z60" s="338">
        <f>Q60</f>
        <v>0</v>
      </c>
      <c r="AA60" s="338">
        <f t="shared" ref="AA60" si="82">R60</f>
        <v>0</v>
      </c>
      <c r="AB60" s="338">
        <f t="shared" ref="AB60:AG61" si="83">S60</f>
        <v>0</v>
      </c>
      <c r="AC60" s="338">
        <f t="shared" si="83"/>
        <v>0</v>
      </c>
      <c r="AD60" s="338">
        <f t="shared" si="83"/>
        <v>0</v>
      </c>
      <c r="AE60" s="338">
        <f t="shared" si="83"/>
        <v>0</v>
      </c>
      <c r="AF60" s="338">
        <f t="shared" si="83"/>
        <v>0</v>
      </c>
      <c r="AG60" s="338">
        <f t="shared" si="83"/>
        <v>0</v>
      </c>
      <c r="AH60" s="338"/>
      <c r="AI60" s="338">
        <f>E60*$N60*(1+$O60%)</f>
        <v>0</v>
      </c>
      <c r="AJ60" s="338">
        <f t="shared" ref="AJ60" si="84">F60*$N60*(1+$O60%)</f>
        <v>0</v>
      </c>
      <c r="AK60" s="338">
        <f t="shared" ref="AK60:AP61" si="85">G60*$N60*(1+$O60%)</f>
        <v>0</v>
      </c>
      <c r="AL60" s="338">
        <f t="shared" si="85"/>
        <v>0</v>
      </c>
      <c r="AM60" s="338">
        <f t="shared" si="85"/>
        <v>0</v>
      </c>
      <c r="AN60" s="338">
        <f t="shared" si="85"/>
        <v>0</v>
      </c>
      <c r="AO60" s="338">
        <f t="shared" si="85"/>
        <v>0</v>
      </c>
      <c r="AP60" s="338">
        <f t="shared" si="85"/>
        <v>0</v>
      </c>
      <c r="AS60" s="297">
        <v>1</v>
      </c>
      <c r="AT60" s="297" t="s">
        <v>641</v>
      </c>
      <c r="AU60" s="297" t="s">
        <v>235</v>
      </c>
      <c r="AV60" s="297">
        <v>27.4</v>
      </c>
      <c r="AW60" s="297">
        <v>10</v>
      </c>
      <c r="AX60" s="297">
        <v>6</v>
      </c>
      <c r="AY60" s="343">
        <v>16.8</v>
      </c>
      <c r="AZ60" s="328">
        <f t="shared" si="63"/>
        <v>0</v>
      </c>
    </row>
    <row r="61" spans="1:255" ht="29.25" customHeight="1">
      <c r="A61" s="300"/>
      <c r="B61" s="129">
        <v>2</v>
      </c>
      <c r="C61" s="196" t="s">
        <v>840</v>
      </c>
      <c r="D61" s="129" t="s">
        <v>235</v>
      </c>
      <c r="E61" s="189"/>
      <c r="F61" s="189"/>
      <c r="G61" s="189"/>
      <c r="H61" s="189"/>
      <c r="I61" s="189"/>
      <c r="J61" s="189"/>
      <c r="K61" s="189"/>
      <c r="L61" s="189"/>
      <c r="M61" s="311">
        <f t="shared" si="73"/>
        <v>32.590000000000003</v>
      </c>
      <c r="N61" s="311">
        <f>'附件4-8甲供材料清单'!M187</f>
        <v>18.333333333333336</v>
      </c>
      <c r="O61" s="311">
        <v>5</v>
      </c>
      <c r="P61" s="311">
        <v>13.34</v>
      </c>
      <c r="Q61" s="139">
        <f t="shared" si="74"/>
        <v>0</v>
      </c>
      <c r="R61" s="139">
        <f t="shared" si="75"/>
        <v>0</v>
      </c>
      <c r="S61" s="139">
        <f t="shared" si="76"/>
        <v>0</v>
      </c>
      <c r="T61" s="139">
        <f t="shared" si="77"/>
        <v>0</v>
      </c>
      <c r="U61" s="139">
        <f t="shared" si="78"/>
        <v>0</v>
      </c>
      <c r="V61" s="139">
        <f t="shared" si="79"/>
        <v>0</v>
      </c>
      <c r="W61" s="139">
        <f t="shared" si="80"/>
        <v>0</v>
      </c>
      <c r="X61" s="139">
        <f t="shared" si="81"/>
        <v>0</v>
      </c>
      <c r="Y61" s="192" t="s">
        <v>244</v>
      </c>
      <c r="Z61" s="338">
        <f>Q61</f>
        <v>0</v>
      </c>
      <c r="AA61" s="338">
        <f>R61</f>
        <v>0</v>
      </c>
      <c r="AB61" s="338">
        <f t="shared" si="83"/>
        <v>0</v>
      </c>
      <c r="AC61" s="338">
        <f t="shared" si="83"/>
        <v>0</v>
      </c>
      <c r="AD61" s="338">
        <f t="shared" si="83"/>
        <v>0</v>
      </c>
      <c r="AE61" s="338">
        <f t="shared" si="83"/>
        <v>0</v>
      </c>
      <c r="AF61" s="338">
        <f t="shared" si="83"/>
        <v>0</v>
      </c>
      <c r="AG61" s="338">
        <f t="shared" si="83"/>
        <v>0</v>
      </c>
      <c r="AH61" s="338"/>
      <c r="AI61" s="338">
        <f>E61*$N61*(1+$O61%)</f>
        <v>0</v>
      </c>
      <c r="AJ61" s="338">
        <f>F61*$N61*(1+$O61%)</f>
        <v>0</v>
      </c>
      <c r="AK61" s="338">
        <f t="shared" si="85"/>
        <v>0</v>
      </c>
      <c r="AL61" s="338">
        <f t="shared" si="85"/>
        <v>0</v>
      </c>
      <c r="AM61" s="338">
        <f t="shared" si="85"/>
        <v>0</v>
      </c>
      <c r="AN61" s="338">
        <f t="shared" si="85"/>
        <v>0</v>
      </c>
      <c r="AO61" s="338">
        <f t="shared" si="85"/>
        <v>0</v>
      </c>
      <c r="AP61" s="338">
        <f t="shared" si="85"/>
        <v>0</v>
      </c>
      <c r="AS61" s="165">
        <v>2</v>
      </c>
      <c r="AT61" s="165" t="s">
        <v>840</v>
      </c>
      <c r="AU61" s="165" t="s">
        <v>235</v>
      </c>
      <c r="AV61" s="165">
        <v>30.28</v>
      </c>
      <c r="AW61" s="165">
        <v>16.133333333333301</v>
      </c>
      <c r="AX61" s="165">
        <v>5</v>
      </c>
      <c r="AY61" s="328">
        <v>13.34</v>
      </c>
      <c r="AZ61" s="328">
        <f t="shared" si="63"/>
        <v>-2.3100000000000023</v>
      </c>
    </row>
    <row r="62" spans="1:255" ht="33.75" customHeight="1">
      <c r="A62" s="300"/>
      <c r="B62" s="129">
        <v>3</v>
      </c>
      <c r="C62" s="196" t="s">
        <v>841</v>
      </c>
      <c r="D62" s="129" t="s">
        <v>235</v>
      </c>
      <c r="E62" s="151"/>
      <c r="F62" s="189"/>
      <c r="G62" s="189"/>
      <c r="H62" s="151"/>
      <c r="I62" s="189"/>
      <c r="J62" s="151"/>
      <c r="K62" s="189"/>
      <c r="L62" s="189"/>
      <c r="M62" s="311">
        <f t="shared" si="73"/>
        <v>143.19999999999999</v>
      </c>
      <c r="N62" s="311">
        <v>115</v>
      </c>
      <c r="O62" s="311">
        <v>3</v>
      </c>
      <c r="P62" s="311">
        <v>24.75</v>
      </c>
      <c r="Q62" s="139">
        <f t="shared" si="74"/>
        <v>0</v>
      </c>
      <c r="R62" s="139">
        <f t="shared" si="75"/>
        <v>0</v>
      </c>
      <c r="S62" s="139">
        <f t="shared" si="76"/>
        <v>0</v>
      </c>
      <c r="T62" s="139">
        <f t="shared" si="77"/>
        <v>0</v>
      </c>
      <c r="U62" s="139">
        <f t="shared" si="78"/>
        <v>0</v>
      </c>
      <c r="V62" s="139">
        <f t="shared" si="79"/>
        <v>0</v>
      </c>
      <c r="W62" s="139">
        <f t="shared" si="80"/>
        <v>0</v>
      </c>
      <c r="X62" s="139">
        <f t="shared" si="81"/>
        <v>0</v>
      </c>
      <c r="Y62" s="192" t="s">
        <v>842</v>
      </c>
      <c r="Z62" s="338"/>
      <c r="AA62" s="338"/>
      <c r="AB62" s="338"/>
      <c r="AC62" s="338"/>
      <c r="AD62" s="338"/>
      <c r="AE62" s="338"/>
      <c r="AF62" s="338"/>
      <c r="AG62" s="338"/>
      <c r="AH62" s="338"/>
      <c r="AI62" s="338"/>
      <c r="AJ62" s="338"/>
      <c r="AK62" s="338"/>
      <c r="AL62" s="338"/>
      <c r="AM62" s="338"/>
      <c r="AN62" s="338"/>
      <c r="AO62" s="338"/>
      <c r="AP62" s="338"/>
      <c r="AS62" s="165">
        <v>3</v>
      </c>
      <c r="AT62" s="165" t="s">
        <v>841</v>
      </c>
      <c r="AU62" s="165" t="s">
        <v>235</v>
      </c>
      <c r="AV62" s="165">
        <v>143.19999999999999</v>
      </c>
      <c r="AW62" s="165">
        <v>115</v>
      </c>
      <c r="AX62" s="165">
        <v>3</v>
      </c>
      <c r="AY62" s="328">
        <v>24.75</v>
      </c>
      <c r="AZ62" s="328">
        <f t="shared" si="63"/>
        <v>0</v>
      </c>
    </row>
    <row r="63" spans="1:255" ht="33.75" customHeight="1">
      <c r="A63" s="300"/>
      <c r="B63" s="129">
        <v>4</v>
      </c>
      <c r="C63" s="196" t="s">
        <v>843</v>
      </c>
      <c r="D63" s="129" t="s">
        <v>235</v>
      </c>
      <c r="E63" s="189"/>
      <c r="F63" s="189"/>
      <c r="G63" s="189"/>
      <c r="H63" s="189"/>
      <c r="I63" s="189"/>
      <c r="J63" s="189"/>
      <c r="K63" s="189"/>
      <c r="L63" s="189"/>
      <c r="M63" s="311">
        <f t="shared" si="73"/>
        <v>147.52600000000001</v>
      </c>
      <c r="N63" s="311">
        <v>119.2</v>
      </c>
      <c r="O63" s="311">
        <v>3</v>
      </c>
      <c r="P63" s="311">
        <v>24.75</v>
      </c>
      <c r="Q63" s="139">
        <f t="shared" si="74"/>
        <v>0</v>
      </c>
      <c r="R63" s="139">
        <f t="shared" si="75"/>
        <v>0</v>
      </c>
      <c r="S63" s="139">
        <f t="shared" si="76"/>
        <v>0</v>
      </c>
      <c r="T63" s="139">
        <f t="shared" si="77"/>
        <v>0</v>
      </c>
      <c r="U63" s="139">
        <f t="shared" si="78"/>
        <v>0</v>
      </c>
      <c r="V63" s="139">
        <f t="shared" si="79"/>
        <v>0</v>
      </c>
      <c r="W63" s="139">
        <f t="shared" si="80"/>
        <v>0</v>
      </c>
      <c r="X63" s="139">
        <f t="shared" si="81"/>
        <v>0</v>
      </c>
      <c r="Y63" s="192"/>
      <c r="Z63" s="338"/>
      <c r="AA63" s="338"/>
      <c r="AB63" s="338"/>
      <c r="AC63" s="338"/>
      <c r="AD63" s="338"/>
      <c r="AE63" s="338"/>
      <c r="AF63" s="338"/>
      <c r="AG63" s="338"/>
      <c r="AH63" s="338"/>
      <c r="AI63" s="338"/>
      <c r="AJ63" s="338"/>
      <c r="AK63" s="338"/>
      <c r="AL63" s="338"/>
      <c r="AM63" s="338"/>
      <c r="AN63" s="338"/>
      <c r="AO63" s="338"/>
      <c r="AP63" s="338"/>
      <c r="AS63" s="165">
        <v>4</v>
      </c>
      <c r="AT63" s="165" t="s">
        <v>843</v>
      </c>
      <c r="AU63" s="165" t="s">
        <v>235</v>
      </c>
      <c r="AV63" s="165">
        <v>147.52600000000001</v>
      </c>
      <c r="AW63" s="165">
        <v>119.2</v>
      </c>
      <c r="AX63" s="165">
        <v>3</v>
      </c>
      <c r="AY63" s="328">
        <v>24.75</v>
      </c>
      <c r="AZ63" s="328">
        <f t="shared" si="63"/>
        <v>0</v>
      </c>
    </row>
    <row r="64" spans="1:255" ht="18.75" customHeight="1">
      <c r="A64" s="300"/>
      <c r="B64" s="129"/>
      <c r="C64" s="266" t="s">
        <v>644</v>
      </c>
      <c r="D64" s="129"/>
      <c r="E64" s="151"/>
      <c r="F64" s="189"/>
      <c r="G64" s="189"/>
      <c r="H64" s="151"/>
      <c r="I64" s="189"/>
      <c r="J64" s="151"/>
      <c r="K64" s="189"/>
      <c r="L64" s="189"/>
      <c r="M64" s="311">
        <f t="shared" si="73"/>
        <v>0</v>
      </c>
      <c r="N64" s="311"/>
      <c r="O64" s="311"/>
      <c r="P64" s="311"/>
      <c r="Q64" s="139">
        <f t="shared" si="74"/>
        <v>0</v>
      </c>
      <c r="R64" s="139">
        <f t="shared" si="75"/>
        <v>0</v>
      </c>
      <c r="S64" s="139">
        <f t="shared" si="76"/>
        <v>0</v>
      </c>
      <c r="T64" s="139">
        <f t="shared" si="77"/>
        <v>0</v>
      </c>
      <c r="U64" s="139">
        <f t="shared" si="78"/>
        <v>0</v>
      </c>
      <c r="V64" s="139">
        <f t="shared" si="79"/>
        <v>0</v>
      </c>
      <c r="W64" s="139">
        <f t="shared" si="80"/>
        <v>0</v>
      </c>
      <c r="X64" s="139">
        <f t="shared" si="81"/>
        <v>0</v>
      </c>
      <c r="Y64" s="192"/>
      <c r="Z64" s="338"/>
      <c r="AA64" s="338"/>
      <c r="AB64" s="338"/>
      <c r="AC64" s="338"/>
      <c r="AD64" s="338"/>
      <c r="AE64" s="338"/>
      <c r="AF64" s="338"/>
      <c r="AG64" s="338"/>
      <c r="AH64" s="338"/>
      <c r="AI64" s="338"/>
      <c r="AJ64" s="338"/>
      <c r="AK64" s="338"/>
      <c r="AL64" s="338"/>
      <c r="AM64" s="338"/>
      <c r="AN64" s="338"/>
      <c r="AO64" s="338"/>
      <c r="AP64" s="338"/>
      <c r="AS64" s="165"/>
      <c r="AT64" s="165" t="s">
        <v>644</v>
      </c>
      <c r="AU64" s="165"/>
      <c r="AV64" s="165">
        <v>0</v>
      </c>
      <c r="AW64" s="165"/>
      <c r="AX64" s="165"/>
      <c r="AY64" s="328"/>
      <c r="AZ64" s="328">
        <f t="shared" si="63"/>
        <v>0</v>
      </c>
    </row>
    <row r="65" spans="1:52" ht="37.5" customHeight="1">
      <c r="A65" s="300"/>
      <c r="B65" s="129">
        <v>1</v>
      </c>
      <c r="C65" s="196" t="s">
        <v>844</v>
      </c>
      <c r="D65" s="129" t="s">
        <v>231</v>
      </c>
      <c r="E65" s="189"/>
      <c r="F65" s="189"/>
      <c r="G65" s="189"/>
      <c r="H65" s="189"/>
      <c r="I65" s="189"/>
      <c r="J65" s="189"/>
      <c r="K65" s="189"/>
      <c r="L65" s="189"/>
      <c r="M65" s="311">
        <f t="shared" si="73"/>
        <v>2212.5500000000002</v>
      </c>
      <c r="N65" s="311">
        <v>995</v>
      </c>
      <c r="O65" s="311">
        <v>105</v>
      </c>
      <c r="P65" s="311">
        <f>2*86.4</f>
        <v>172.8</v>
      </c>
      <c r="Q65" s="139">
        <f t="shared" si="74"/>
        <v>0</v>
      </c>
      <c r="R65" s="139">
        <f t="shared" si="75"/>
        <v>0</v>
      </c>
      <c r="S65" s="139">
        <f t="shared" si="76"/>
        <v>0</v>
      </c>
      <c r="T65" s="139">
        <f t="shared" si="77"/>
        <v>0</v>
      </c>
      <c r="U65" s="139">
        <f t="shared" si="78"/>
        <v>0</v>
      </c>
      <c r="V65" s="139">
        <f t="shared" si="79"/>
        <v>0</v>
      </c>
      <c r="W65" s="139">
        <f t="shared" si="80"/>
        <v>0</v>
      </c>
      <c r="X65" s="139">
        <f t="shared" si="81"/>
        <v>0</v>
      </c>
      <c r="Y65" s="192"/>
      <c r="Z65" s="338"/>
      <c r="AA65" s="338"/>
      <c r="AB65" s="338"/>
      <c r="AC65" s="338"/>
      <c r="AD65" s="338"/>
      <c r="AE65" s="338"/>
      <c r="AF65" s="338"/>
      <c r="AG65" s="338"/>
      <c r="AH65" s="338"/>
      <c r="AI65" s="338"/>
      <c r="AJ65" s="338"/>
      <c r="AK65" s="338"/>
      <c r="AL65" s="338"/>
      <c r="AM65" s="338"/>
      <c r="AN65" s="338"/>
      <c r="AO65" s="338"/>
      <c r="AP65" s="338"/>
      <c r="AS65" s="165">
        <v>1</v>
      </c>
      <c r="AT65" s="165" t="s">
        <v>844</v>
      </c>
      <c r="AU65" s="165" t="s">
        <v>231</v>
      </c>
      <c r="AV65" s="165">
        <v>2212.5500000000002</v>
      </c>
      <c r="AW65" s="165">
        <v>995</v>
      </c>
      <c r="AX65" s="165">
        <v>105</v>
      </c>
      <c r="AY65" s="328">
        <v>172.8</v>
      </c>
      <c r="AZ65" s="328">
        <f t="shared" si="63"/>
        <v>0</v>
      </c>
    </row>
    <row r="66" spans="1:52" ht="27" customHeight="1">
      <c r="A66" s="300"/>
      <c r="B66" s="129">
        <v>2</v>
      </c>
      <c r="C66" s="196" t="s">
        <v>845</v>
      </c>
      <c r="D66" s="129" t="s">
        <v>231</v>
      </c>
      <c r="E66" s="151"/>
      <c r="F66" s="189"/>
      <c r="G66" s="189"/>
      <c r="H66" s="151"/>
      <c r="I66" s="189"/>
      <c r="J66" s="151"/>
      <c r="K66" s="189"/>
      <c r="L66" s="189"/>
      <c r="M66" s="311">
        <f t="shared" si="73"/>
        <v>159.13200000000001</v>
      </c>
      <c r="N66" s="311">
        <v>105</v>
      </c>
      <c r="O66" s="311">
        <v>10</v>
      </c>
      <c r="P66" s="311">
        <v>43.631999999999998</v>
      </c>
      <c r="Q66" s="139">
        <f t="shared" si="74"/>
        <v>0</v>
      </c>
      <c r="R66" s="139">
        <f t="shared" si="75"/>
        <v>0</v>
      </c>
      <c r="S66" s="139">
        <f t="shared" si="76"/>
        <v>0</v>
      </c>
      <c r="T66" s="139">
        <f t="shared" si="77"/>
        <v>0</v>
      </c>
      <c r="U66" s="139">
        <f t="shared" si="78"/>
        <v>0</v>
      </c>
      <c r="V66" s="139">
        <f t="shared" si="79"/>
        <v>0</v>
      </c>
      <c r="W66" s="139">
        <f t="shared" si="80"/>
        <v>0</v>
      </c>
      <c r="X66" s="139">
        <f t="shared" si="81"/>
        <v>0</v>
      </c>
      <c r="Y66" s="192"/>
      <c r="Z66" s="338"/>
      <c r="AA66" s="338"/>
      <c r="AB66" s="338"/>
      <c r="AC66" s="338"/>
      <c r="AD66" s="338"/>
      <c r="AE66" s="338"/>
      <c r="AF66" s="338"/>
      <c r="AG66" s="338"/>
      <c r="AH66" s="338"/>
      <c r="AI66" s="338"/>
      <c r="AJ66" s="338"/>
      <c r="AK66" s="338"/>
      <c r="AL66" s="338"/>
      <c r="AM66" s="338"/>
      <c r="AN66" s="338"/>
      <c r="AO66" s="338"/>
      <c r="AP66" s="338"/>
      <c r="AS66" s="165">
        <v>2</v>
      </c>
      <c r="AT66" s="165" t="s">
        <v>845</v>
      </c>
      <c r="AU66" s="165" t="s">
        <v>231</v>
      </c>
      <c r="AV66" s="165">
        <v>159.13200000000001</v>
      </c>
      <c r="AW66" s="165">
        <v>105</v>
      </c>
      <c r="AX66" s="165">
        <v>10</v>
      </c>
      <c r="AY66" s="328">
        <v>43.631999999999998</v>
      </c>
      <c r="AZ66" s="328">
        <f t="shared" si="63"/>
        <v>0</v>
      </c>
    </row>
    <row r="67" spans="1:52" ht="29.25" customHeight="1">
      <c r="A67" s="300"/>
      <c r="B67" s="129">
        <v>3</v>
      </c>
      <c r="C67" s="196" t="s">
        <v>846</v>
      </c>
      <c r="D67" s="129" t="s">
        <v>231</v>
      </c>
      <c r="E67" s="189"/>
      <c r="F67" s="189"/>
      <c r="G67" s="189"/>
      <c r="H67" s="189"/>
      <c r="I67" s="189"/>
      <c r="J67" s="189"/>
      <c r="K67" s="189"/>
      <c r="L67" s="189"/>
      <c r="M67" s="311">
        <f t="shared" si="73"/>
        <v>562.92240000000004</v>
      </c>
      <c r="N67" s="311">
        <v>280</v>
      </c>
      <c r="O67" s="311">
        <v>2</v>
      </c>
      <c r="P67" s="311">
        <v>277.32240000000002</v>
      </c>
      <c r="Q67" s="139">
        <f t="shared" si="74"/>
        <v>0</v>
      </c>
      <c r="R67" s="139">
        <f t="shared" si="75"/>
        <v>0</v>
      </c>
      <c r="S67" s="139">
        <f t="shared" si="76"/>
        <v>0</v>
      </c>
      <c r="T67" s="139">
        <f t="shared" si="77"/>
        <v>0</v>
      </c>
      <c r="U67" s="139">
        <f t="shared" si="78"/>
        <v>0</v>
      </c>
      <c r="V67" s="139">
        <f t="shared" si="79"/>
        <v>0</v>
      </c>
      <c r="W67" s="139">
        <f t="shared" si="80"/>
        <v>0</v>
      </c>
      <c r="X67" s="139">
        <f t="shared" si="81"/>
        <v>0</v>
      </c>
      <c r="Y67" s="192"/>
      <c r="Z67" s="338"/>
      <c r="AA67" s="338"/>
      <c r="AB67" s="338"/>
      <c r="AC67" s="338"/>
      <c r="AD67" s="338"/>
      <c r="AE67" s="338"/>
      <c r="AF67" s="338"/>
      <c r="AG67" s="338"/>
      <c r="AH67" s="338"/>
      <c r="AI67" s="338"/>
      <c r="AJ67" s="338"/>
      <c r="AK67" s="338"/>
      <c r="AL67" s="338"/>
      <c r="AM67" s="338"/>
      <c r="AN67" s="338"/>
      <c r="AO67" s="338"/>
      <c r="AP67" s="338"/>
      <c r="AS67" s="165">
        <v>3</v>
      </c>
      <c r="AT67" s="165" t="s">
        <v>847</v>
      </c>
      <c r="AU67" s="165" t="s">
        <v>231</v>
      </c>
      <c r="AV67" s="165">
        <v>562.92240000000004</v>
      </c>
      <c r="AW67" s="165">
        <v>280</v>
      </c>
      <c r="AX67" s="165">
        <v>2</v>
      </c>
      <c r="AY67" s="328">
        <v>277.32240000000002</v>
      </c>
      <c r="AZ67" s="328">
        <f t="shared" si="63"/>
        <v>0</v>
      </c>
    </row>
    <row r="68" spans="1:52" ht="29.25" customHeight="1">
      <c r="A68" s="300"/>
      <c r="B68" s="129">
        <v>4</v>
      </c>
      <c r="C68" s="196" t="s">
        <v>848</v>
      </c>
      <c r="D68" s="129" t="s">
        <v>231</v>
      </c>
      <c r="E68" s="151"/>
      <c r="F68" s="189"/>
      <c r="G68" s="189"/>
      <c r="H68" s="151"/>
      <c r="I68" s="189"/>
      <c r="J68" s="151"/>
      <c r="K68" s="189"/>
      <c r="L68" s="189"/>
      <c r="M68" s="311">
        <f t="shared" si="73"/>
        <v>593.52240000000006</v>
      </c>
      <c r="N68" s="311">
        <v>310</v>
      </c>
      <c r="O68" s="311">
        <v>2</v>
      </c>
      <c r="P68" s="311">
        <v>277.32240000000002</v>
      </c>
      <c r="Q68" s="139">
        <f t="shared" si="74"/>
        <v>0</v>
      </c>
      <c r="R68" s="139">
        <f t="shared" si="75"/>
        <v>0</v>
      </c>
      <c r="S68" s="139">
        <f t="shared" si="76"/>
        <v>0</v>
      </c>
      <c r="T68" s="139">
        <f t="shared" si="77"/>
        <v>0</v>
      </c>
      <c r="U68" s="139">
        <f t="shared" si="78"/>
        <v>0</v>
      </c>
      <c r="V68" s="139">
        <f t="shared" si="79"/>
        <v>0</v>
      </c>
      <c r="W68" s="139">
        <f t="shared" si="80"/>
        <v>0</v>
      </c>
      <c r="X68" s="139">
        <f t="shared" si="81"/>
        <v>0</v>
      </c>
      <c r="Y68" s="192"/>
      <c r="Z68" s="338"/>
      <c r="AA68" s="338"/>
      <c r="AB68" s="338"/>
      <c r="AC68" s="338"/>
      <c r="AD68" s="338"/>
      <c r="AE68" s="338"/>
      <c r="AF68" s="338"/>
      <c r="AG68" s="338"/>
      <c r="AH68" s="338"/>
      <c r="AI68" s="338"/>
      <c r="AJ68" s="338"/>
      <c r="AK68" s="338"/>
      <c r="AL68" s="338"/>
      <c r="AM68" s="338"/>
      <c r="AN68" s="338"/>
      <c r="AO68" s="338"/>
      <c r="AP68" s="338"/>
      <c r="AS68" s="165">
        <v>4</v>
      </c>
      <c r="AT68" s="165" t="s">
        <v>848</v>
      </c>
      <c r="AU68" s="165" t="s">
        <v>231</v>
      </c>
      <c r="AV68" s="165">
        <v>593.52239999999995</v>
      </c>
      <c r="AW68" s="165">
        <v>310</v>
      </c>
      <c r="AX68" s="165">
        <v>2</v>
      </c>
      <c r="AY68" s="328">
        <v>277.32240000000002</v>
      </c>
      <c r="AZ68" s="328">
        <f t="shared" si="63"/>
        <v>0</v>
      </c>
    </row>
    <row r="69" spans="1:52" ht="48" customHeight="1">
      <c r="A69" s="300"/>
      <c r="B69" s="129">
        <v>5</v>
      </c>
      <c r="C69" s="196" t="s">
        <v>849</v>
      </c>
      <c r="D69" s="129" t="s">
        <v>235</v>
      </c>
      <c r="E69" s="189"/>
      <c r="F69" s="189"/>
      <c r="G69" s="189"/>
      <c r="H69" s="189"/>
      <c r="I69" s="189"/>
      <c r="J69" s="189"/>
      <c r="K69" s="189"/>
      <c r="L69" s="189"/>
      <c r="M69" s="311">
        <f t="shared" si="73"/>
        <v>55.253100000000003</v>
      </c>
      <c r="N69" s="311">
        <v>34.770000000000003</v>
      </c>
      <c r="O69" s="311">
        <v>3</v>
      </c>
      <c r="P69" s="311">
        <v>19.440000000000001</v>
      </c>
      <c r="Q69" s="139">
        <f t="shared" si="74"/>
        <v>0</v>
      </c>
      <c r="R69" s="139">
        <f t="shared" si="75"/>
        <v>0</v>
      </c>
      <c r="S69" s="139">
        <f t="shared" si="76"/>
        <v>0</v>
      </c>
      <c r="T69" s="139">
        <f t="shared" si="77"/>
        <v>0</v>
      </c>
      <c r="U69" s="139">
        <f t="shared" si="78"/>
        <v>0</v>
      </c>
      <c r="V69" s="139">
        <f t="shared" si="79"/>
        <v>0</v>
      </c>
      <c r="W69" s="139">
        <f t="shared" si="80"/>
        <v>0</v>
      </c>
      <c r="X69" s="139">
        <f t="shared" si="81"/>
        <v>0</v>
      </c>
      <c r="Y69" s="192" t="s">
        <v>850</v>
      </c>
      <c r="Z69" s="338"/>
      <c r="AA69" s="338"/>
      <c r="AB69" s="338"/>
      <c r="AC69" s="338"/>
      <c r="AD69" s="338"/>
      <c r="AE69" s="338"/>
      <c r="AF69" s="338"/>
      <c r="AG69" s="338"/>
      <c r="AH69" s="338"/>
      <c r="AI69" s="338"/>
      <c r="AJ69" s="338"/>
      <c r="AK69" s="338"/>
      <c r="AL69" s="338"/>
      <c r="AM69" s="338"/>
      <c r="AN69" s="338"/>
      <c r="AO69" s="338"/>
      <c r="AP69" s="338"/>
      <c r="AS69" s="165">
        <v>5</v>
      </c>
      <c r="AT69" s="165" t="s">
        <v>849</v>
      </c>
      <c r="AU69" s="165" t="s">
        <v>235</v>
      </c>
      <c r="AV69" s="165">
        <v>55.253100000000003</v>
      </c>
      <c r="AW69" s="165">
        <v>34.770000000000003</v>
      </c>
      <c r="AX69" s="165">
        <v>3</v>
      </c>
      <c r="AY69" s="328">
        <v>19.440000000000001</v>
      </c>
      <c r="AZ69" s="328">
        <f t="shared" si="63"/>
        <v>0</v>
      </c>
    </row>
    <row r="70" spans="1:52" ht="27.75" customHeight="1">
      <c r="A70" s="300"/>
      <c r="B70" s="129">
        <v>6</v>
      </c>
      <c r="C70" s="196" t="s">
        <v>851</v>
      </c>
      <c r="D70" s="129" t="s">
        <v>235</v>
      </c>
      <c r="E70" s="151"/>
      <c r="F70" s="189"/>
      <c r="G70" s="189"/>
      <c r="H70" s="151"/>
      <c r="I70" s="189"/>
      <c r="J70" s="151"/>
      <c r="K70" s="189"/>
      <c r="L70" s="189"/>
      <c r="M70" s="311">
        <f t="shared" si="73"/>
        <v>391.71960000000001</v>
      </c>
      <c r="N70" s="311">
        <v>204.6</v>
      </c>
      <c r="O70" s="311">
        <v>2</v>
      </c>
      <c r="P70" s="311">
        <v>183.02760000000001</v>
      </c>
      <c r="Q70" s="139">
        <f t="shared" si="74"/>
        <v>0</v>
      </c>
      <c r="R70" s="139">
        <f t="shared" si="75"/>
        <v>0</v>
      </c>
      <c r="S70" s="139">
        <f t="shared" si="76"/>
        <v>0</v>
      </c>
      <c r="T70" s="139">
        <f t="shared" si="77"/>
        <v>0</v>
      </c>
      <c r="U70" s="139">
        <f t="shared" si="78"/>
        <v>0</v>
      </c>
      <c r="V70" s="139">
        <f t="shared" si="79"/>
        <v>0</v>
      </c>
      <c r="W70" s="139">
        <f t="shared" si="80"/>
        <v>0</v>
      </c>
      <c r="X70" s="139">
        <f t="shared" si="81"/>
        <v>0</v>
      </c>
      <c r="Y70" s="192"/>
      <c r="Z70" s="338"/>
      <c r="AA70" s="338"/>
      <c r="AB70" s="338"/>
      <c r="AC70" s="338"/>
      <c r="AD70" s="338"/>
      <c r="AE70" s="338"/>
      <c r="AF70" s="338"/>
      <c r="AG70" s="338"/>
      <c r="AH70" s="338"/>
      <c r="AI70" s="338"/>
      <c r="AJ70" s="338"/>
      <c r="AK70" s="338"/>
      <c r="AL70" s="338"/>
      <c r="AM70" s="338"/>
      <c r="AN70" s="338"/>
      <c r="AO70" s="338"/>
      <c r="AP70" s="338"/>
      <c r="AS70" s="165">
        <v>6</v>
      </c>
      <c r="AT70" s="165" t="s">
        <v>851</v>
      </c>
      <c r="AU70" s="165" t="s">
        <v>235</v>
      </c>
      <c r="AV70" s="165">
        <v>391.71960000000001</v>
      </c>
      <c r="AW70" s="165">
        <v>204.6</v>
      </c>
      <c r="AX70" s="165">
        <v>2</v>
      </c>
      <c r="AY70" s="328">
        <v>183.02760000000001</v>
      </c>
      <c r="AZ70" s="328">
        <f t="shared" si="63"/>
        <v>0</v>
      </c>
    </row>
    <row r="71" spans="1:52" ht="27.75" customHeight="1">
      <c r="A71" s="300" t="s">
        <v>278</v>
      </c>
      <c r="B71" s="129">
        <v>7</v>
      </c>
      <c r="C71" s="196" t="s">
        <v>662</v>
      </c>
      <c r="D71" s="129" t="s">
        <v>663</v>
      </c>
      <c r="E71" s="189"/>
      <c r="F71" s="189"/>
      <c r="G71" s="189"/>
      <c r="H71" s="189"/>
      <c r="I71" s="189"/>
      <c r="J71" s="189"/>
      <c r="K71" s="189"/>
      <c r="L71" s="189"/>
      <c r="M71" s="311">
        <f t="shared" si="73"/>
        <v>485</v>
      </c>
      <c r="N71" s="311">
        <v>350</v>
      </c>
      <c r="O71" s="311">
        <v>10</v>
      </c>
      <c r="P71" s="311">
        <v>100</v>
      </c>
      <c r="Q71" s="139">
        <f t="shared" si="74"/>
        <v>0</v>
      </c>
      <c r="R71" s="139">
        <f t="shared" si="75"/>
        <v>0</v>
      </c>
      <c r="S71" s="139">
        <f t="shared" si="76"/>
        <v>0</v>
      </c>
      <c r="T71" s="139">
        <f t="shared" si="77"/>
        <v>0</v>
      </c>
      <c r="U71" s="139">
        <f t="shared" si="78"/>
        <v>0</v>
      </c>
      <c r="V71" s="139">
        <f t="shared" si="79"/>
        <v>0</v>
      </c>
      <c r="W71" s="139">
        <f t="shared" si="80"/>
        <v>0</v>
      </c>
      <c r="X71" s="139">
        <f t="shared" si="81"/>
        <v>0</v>
      </c>
      <c r="Y71" s="192"/>
      <c r="Z71" s="338"/>
      <c r="AA71" s="338"/>
      <c r="AB71" s="338"/>
      <c r="AC71" s="338"/>
      <c r="AD71" s="338"/>
      <c r="AE71" s="338"/>
      <c r="AF71" s="338"/>
      <c r="AG71" s="338"/>
      <c r="AH71" s="338"/>
      <c r="AI71" s="338"/>
      <c r="AJ71" s="338"/>
      <c r="AK71" s="338"/>
      <c r="AL71" s="338"/>
      <c r="AM71" s="338"/>
      <c r="AN71" s="338"/>
      <c r="AO71" s="338"/>
      <c r="AP71" s="338"/>
      <c r="AS71" s="165">
        <v>7</v>
      </c>
      <c r="AT71" s="165" t="s">
        <v>662</v>
      </c>
      <c r="AU71" s="165" t="s">
        <v>310</v>
      </c>
      <c r="AV71" s="165">
        <v>485</v>
      </c>
      <c r="AW71" s="165">
        <v>350</v>
      </c>
      <c r="AX71" s="165">
        <v>10</v>
      </c>
      <c r="AY71" s="328">
        <v>100</v>
      </c>
      <c r="AZ71" s="328">
        <f t="shared" si="63"/>
        <v>0</v>
      </c>
    </row>
    <row r="72" spans="1:52" ht="65.25" customHeight="1">
      <c r="A72" s="300"/>
      <c r="B72" s="129">
        <v>8</v>
      </c>
      <c r="C72" s="196" t="s">
        <v>852</v>
      </c>
      <c r="D72" s="129" t="s">
        <v>231</v>
      </c>
      <c r="E72" s="151"/>
      <c r="F72" s="189"/>
      <c r="G72" s="189"/>
      <c r="H72" s="151"/>
      <c r="I72" s="189"/>
      <c r="J72" s="151"/>
      <c r="K72" s="189"/>
      <c r="L72" s="189"/>
      <c r="M72" s="311">
        <f t="shared" si="73"/>
        <v>1200</v>
      </c>
      <c r="N72" s="311">
        <v>1200</v>
      </c>
      <c r="O72" s="311">
        <v>0</v>
      </c>
      <c r="P72" s="311">
        <v>0</v>
      </c>
      <c r="Q72" s="139">
        <f t="shared" si="74"/>
        <v>0</v>
      </c>
      <c r="R72" s="139">
        <f t="shared" si="75"/>
        <v>0</v>
      </c>
      <c r="S72" s="139">
        <f t="shared" si="76"/>
        <v>0</v>
      </c>
      <c r="T72" s="139">
        <f t="shared" si="77"/>
        <v>0</v>
      </c>
      <c r="U72" s="139">
        <f t="shared" si="78"/>
        <v>0</v>
      </c>
      <c r="V72" s="139">
        <f t="shared" si="79"/>
        <v>0</v>
      </c>
      <c r="W72" s="139">
        <f t="shared" si="80"/>
        <v>0</v>
      </c>
      <c r="X72" s="139">
        <f t="shared" si="81"/>
        <v>0</v>
      </c>
      <c r="Y72" s="192" t="s">
        <v>665</v>
      </c>
      <c r="Z72" s="338"/>
      <c r="AA72" s="338"/>
      <c r="AB72" s="338"/>
      <c r="AC72" s="338"/>
      <c r="AD72" s="338"/>
      <c r="AE72" s="338"/>
      <c r="AF72" s="338"/>
      <c r="AG72" s="338"/>
      <c r="AH72" s="338"/>
      <c r="AI72" s="338"/>
      <c r="AJ72" s="338"/>
      <c r="AK72" s="338"/>
      <c r="AL72" s="338"/>
      <c r="AM72" s="338"/>
      <c r="AN72" s="338"/>
      <c r="AO72" s="338"/>
      <c r="AP72" s="338"/>
      <c r="AS72" s="165">
        <v>8</v>
      </c>
      <c r="AT72" s="165" t="s">
        <v>852</v>
      </c>
      <c r="AU72" s="165" t="s">
        <v>231</v>
      </c>
      <c r="AV72" s="165">
        <v>1200</v>
      </c>
      <c r="AW72" s="165">
        <v>1200</v>
      </c>
      <c r="AX72" s="165">
        <v>0</v>
      </c>
      <c r="AY72" s="328">
        <v>0</v>
      </c>
      <c r="AZ72" s="328">
        <f t="shared" ref="AZ72" si="86">AV72-M72</f>
        <v>0</v>
      </c>
    </row>
    <row r="73" spans="1:52" ht="36" customHeight="1">
      <c r="A73" s="300"/>
      <c r="B73" s="129">
        <v>9</v>
      </c>
      <c r="C73" s="344" t="s">
        <v>853</v>
      </c>
      <c r="D73" s="129" t="s">
        <v>231</v>
      </c>
      <c r="E73" s="189"/>
      <c r="F73" s="189"/>
      <c r="G73" s="189"/>
      <c r="H73" s="189"/>
      <c r="I73" s="189"/>
      <c r="J73" s="189"/>
      <c r="K73" s="189"/>
      <c r="L73" s="189"/>
      <c r="M73" s="311">
        <f t="shared" si="73"/>
        <v>232.44</v>
      </c>
      <c r="N73" s="311">
        <v>120</v>
      </c>
      <c r="O73" s="311">
        <v>10</v>
      </c>
      <c r="P73" s="311">
        <v>100.44</v>
      </c>
      <c r="Q73" s="139">
        <f t="shared" si="74"/>
        <v>0</v>
      </c>
      <c r="R73" s="139">
        <f t="shared" si="75"/>
        <v>0</v>
      </c>
      <c r="S73" s="139">
        <f t="shared" si="76"/>
        <v>0</v>
      </c>
      <c r="T73" s="139">
        <f t="shared" si="77"/>
        <v>0</v>
      </c>
      <c r="U73" s="139">
        <f t="shared" si="78"/>
        <v>0</v>
      </c>
      <c r="V73" s="139">
        <f t="shared" si="79"/>
        <v>0</v>
      </c>
      <c r="W73" s="139">
        <f t="shared" si="80"/>
        <v>0</v>
      </c>
      <c r="X73" s="139">
        <f t="shared" si="81"/>
        <v>0</v>
      </c>
      <c r="Y73" s="192"/>
      <c r="Z73" s="338"/>
      <c r="AA73" s="338"/>
      <c r="AB73" s="338"/>
      <c r="AC73" s="338"/>
      <c r="AD73" s="338"/>
      <c r="AE73" s="338"/>
      <c r="AF73" s="338"/>
      <c r="AG73" s="338"/>
      <c r="AH73" s="338"/>
      <c r="AI73" s="338"/>
      <c r="AJ73" s="338"/>
      <c r="AK73" s="338"/>
      <c r="AL73" s="338"/>
      <c r="AM73" s="338"/>
      <c r="AN73" s="338"/>
      <c r="AO73" s="338"/>
      <c r="AP73" s="338"/>
      <c r="AS73" s="165">
        <v>9</v>
      </c>
      <c r="AT73" s="165" t="s">
        <v>853</v>
      </c>
      <c r="AU73" s="165" t="s">
        <v>231</v>
      </c>
      <c r="AV73" s="165">
        <v>232.44</v>
      </c>
      <c r="AW73" s="165">
        <v>120</v>
      </c>
      <c r="AX73" s="165">
        <v>10</v>
      </c>
      <c r="AY73" s="328">
        <v>100.44</v>
      </c>
      <c r="AZ73" s="328">
        <f t="shared" ref="AZ73:AZ103" si="87">AV73-M73</f>
        <v>0</v>
      </c>
    </row>
    <row r="74" spans="1:52" ht="36" customHeight="1">
      <c r="A74" s="300"/>
      <c r="B74" s="129">
        <v>10</v>
      </c>
      <c r="C74" s="196" t="s">
        <v>854</v>
      </c>
      <c r="D74" s="327" t="s">
        <v>235</v>
      </c>
      <c r="E74" s="151"/>
      <c r="F74" s="189"/>
      <c r="G74" s="189"/>
      <c r="H74" s="151"/>
      <c r="I74" s="189"/>
      <c r="J74" s="151"/>
      <c r="K74" s="189"/>
      <c r="L74" s="189"/>
      <c r="M74" s="311">
        <f t="shared" si="73"/>
        <v>31.675000000000001</v>
      </c>
      <c r="N74" s="348">
        <f>(0.01+0.015)*2*300+1.5*3</f>
        <v>19.5</v>
      </c>
      <c r="O74" s="311">
        <v>5</v>
      </c>
      <c r="P74" s="311">
        <v>11.2</v>
      </c>
      <c r="Q74" s="139">
        <f t="shared" si="74"/>
        <v>0</v>
      </c>
      <c r="R74" s="139">
        <f t="shared" si="75"/>
        <v>0</v>
      </c>
      <c r="S74" s="139">
        <f t="shared" si="76"/>
        <v>0</v>
      </c>
      <c r="T74" s="139">
        <f t="shared" si="77"/>
        <v>0</v>
      </c>
      <c r="U74" s="139">
        <f t="shared" si="78"/>
        <v>0</v>
      </c>
      <c r="V74" s="139">
        <f t="shared" si="79"/>
        <v>0</v>
      </c>
      <c r="W74" s="139">
        <f t="shared" si="80"/>
        <v>0</v>
      </c>
      <c r="X74" s="139">
        <f t="shared" si="81"/>
        <v>0</v>
      </c>
      <c r="Y74" s="192"/>
      <c r="Z74" s="338"/>
      <c r="AA74" s="338"/>
      <c r="AB74" s="338"/>
      <c r="AC74" s="338"/>
      <c r="AD74" s="338"/>
      <c r="AE74" s="338"/>
      <c r="AF74" s="338"/>
      <c r="AG74" s="338"/>
      <c r="AH74" s="338"/>
      <c r="AI74" s="338"/>
      <c r="AJ74" s="338"/>
      <c r="AK74" s="338"/>
      <c r="AL74" s="338"/>
      <c r="AM74" s="338"/>
      <c r="AN74" s="338"/>
      <c r="AO74" s="338"/>
      <c r="AP74" s="338"/>
      <c r="AS74" s="165">
        <v>10</v>
      </c>
      <c r="AT74" s="165" t="s">
        <v>854</v>
      </c>
      <c r="AU74" s="165" t="s">
        <v>235</v>
      </c>
      <c r="AV74" s="165">
        <v>31.675000000000001</v>
      </c>
      <c r="AW74" s="165">
        <v>19.5</v>
      </c>
      <c r="AX74" s="165">
        <v>5</v>
      </c>
      <c r="AY74" s="328">
        <v>11.2</v>
      </c>
      <c r="AZ74" s="328">
        <f t="shared" si="87"/>
        <v>0</v>
      </c>
    </row>
    <row r="75" spans="1:52" ht="29.25" customHeight="1">
      <c r="A75" s="300"/>
      <c r="B75" s="129">
        <v>11</v>
      </c>
      <c r="C75" s="196" t="s">
        <v>855</v>
      </c>
      <c r="D75" s="327" t="s">
        <v>235</v>
      </c>
      <c r="E75" s="189"/>
      <c r="F75" s="189"/>
      <c r="G75" s="189"/>
      <c r="H75" s="189"/>
      <c r="I75" s="189"/>
      <c r="J75" s="189"/>
      <c r="K75" s="189"/>
      <c r="L75" s="189"/>
      <c r="M75" s="311">
        <f t="shared" si="73"/>
        <v>48.685000000000002</v>
      </c>
      <c r="N75" s="311">
        <v>35.700000000000003</v>
      </c>
      <c r="O75" s="311">
        <v>5</v>
      </c>
      <c r="P75" s="311">
        <v>11.2</v>
      </c>
      <c r="Q75" s="139">
        <f t="shared" si="74"/>
        <v>0</v>
      </c>
      <c r="R75" s="139">
        <f t="shared" si="75"/>
        <v>0</v>
      </c>
      <c r="S75" s="139">
        <f t="shared" si="76"/>
        <v>0</v>
      </c>
      <c r="T75" s="139">
        <f t="shared" si="77"/>
        <v>0</v>
      </c>
      <c r="U75" s="139">
        <f t="shared" si="78"/>
        <v>0</v>
      </c>
      <c r="V75" s="139">
        <f t="shared" si="79"/>
        <v>0</v>
      </c>
      <c r="W75" s="139">
        <f t="shared" si="80"/>
        <v>0</v>
      </c>
      <c r="X75" s="139">
        <f t="shared" si="81"/>
        <v>0</v>
      </c>
      <c r="Y75" s="192"/>
      <c r="Z75" s="338"/>
      <c r="AA75" s="338"/>
      <c r="AB75" s="338"/>
      <c r="AC75" s="338"/>
      <c r="AD75" s="338"/>
      <c r="AE75" s="338"/>
      <c r="AF75" s="338"/>
      <c r="AG75" s="338"/>
      <c r="AH75" s="338"/>
      <c r="AI75" s="338"/>
      <c r="AJ75" s="338"/>
      <c r="AK75" s="338"/>
      <c r="AL75" s="338"/>
      <c r="AM75" s="338"/>
      <c r="AN75" s="338"/>
      <c r="AO75" s="338"/>
      <c r="AP75" s="338"/>
      <c r="AS75" s="165">
        <v>11</v>
      </c>
      <c r="AT75" s="165" t="s">
        <v>855</v>
      </c>
      <c r="AU75" s="165" t="s">
        <v>235</v>
      </c>
      <c r="AV75" s="165">
        <v>48.685000000000002</v>
      </c>
      <c r="AW75" s="165">
        <v>35.700000000000003</v>
      </c>
      <c r="AX75" s="165">
        <v>5</v>
      </c>
      <c r="AY75" s="328">
        <v>11.2</v>
      </c>
      <c r="AZ75" s="328">
        <f t="shared" si="87"/>
        <v>0</v>
      </c>
    </row>
    <row r="76" spans="1:52" ht="29.25" customHeight="1">
      <c r="A76" s="300"/>
      <c r="B76" s="129">
        <v>12</v>
      </c>
      <c r="C76" s="196" t="s">
        <v>856</v>
      </c>
      <c r="D76" s="327" t="s">
        <v>235</v>
      </c>
      <c r="E76" s="151"/>
      <c r="F76" s="189"/>
      <c r="G76" s="189"/>
      <c r="H76" s="151"/>
      <c r="I76" s="189"/>
      <c r="J76" s="151"/>
      <c r="K76" s="189"/>
      <c r="L76" s="189"/>
      <c r="M76" s="311">
        <f t="shared" si="73"/>
        <v>44.275000000000006</v>
      </c>
      <c r="N76" s="311">
        <f>(0.03+0.015)*2*300+1.5*3</f>
        <v>31.5</v>
      </c>
      <c r="O76" s="311">
        <v>5</v>
      </c>
      <c r="P76" s="311">
        <v>11.2</v>
      </c>
      <c r="Q76" s="139">
        <f t="shared" si="74"/>
        <v>0</v>
      </c>
      <c r="R76" s="139">
        <f t="shared" si="75"/>
        <v>0</v>
      </c>
      <c r="S76" s="139">
        <f t="shared" si="76"/>
        <v>0</v>
      </c>
      <c r="T76" s="139">
        <f t="shared" si="77"/>
        <v>0</v>
      </c>
      <c r="U76" s="139">
        <f t="shared" si="78"/>
        <v>0</v>
      </c>
      <c r="V76" s="139">
        <f t="shared" si="79"/>
        <v>0</v>
      </c>
      <c r="W76" s="139">
        <f t="shared" si="80"/>
        <v>0</v>
      </c>
      <c r="X76" s="139">
        <f t="shared" si="81"/>
        <v>0</v>
      </c>
      <c r="Y76" s="192"/>
      <c r="Z76" s="338"/>
      <c r="AA76" s="338"/>
      <c r="AB76" s="338"/>
      <c r="AC76" s="338"/>
      <c r="AD76" s="338"/>
      <c r="AE76" s="338"/>
      <c r="AF76" s="338"/>
      <c r="AG76" s="338"/>
      <c r="AH76" s="338"/>
      <c r="AI76" s="338"/>
      <c r="AJ76" s="338"/>
      <c r="AK76" s="338"/>
      <c r="AL76" s="338"/>
      <c r="AM76" s="338"/>
      <c r="AN76" s="338"/>
      <c r="AO76" s="338"/>
      <c r="AP76" s="338"/>
      <c r="AS76" s="165">
        <v>12</v>
      </c>
      <c r="AT76" s="165" t="s">
        <v>856</v>
      </c>
      <c r="AU76" s="165" t="s">
        <v>235</v>
      </c>
      <c r="AV76" s="165">
        <v>44.274999999999999</v>
      </c>
      <c r="AW76" s="165">
        <v>31.5</v>
      </c>
      <c r="AX76" s="165">
        <v>5</v>
      </c>
      <c r="AY76" s="328">
        <v>11.2</v>
      </c>
      <c r="AZ76" s="328">
        <f t="shared" si="87"/>
        <v>0</v>
      </c>
    </row>
    <row r="77" spans="1:52" ht="29.25" customHeight="1">
      <c r="A77" s="300"/>
      <c r="B77" s="129">
        <v>13</v>
      </c>
      <c r="C77" s="196" t="s">
        <v>857</v>
      </c>
      <c r="D77" s="327" t="s">
        <v>235</v>
      </c>
      <c r="E77" s="189"/>
      <c r="F77" s="189"/>
      <c r="G77" s="189"/>
      <c r="H77" s="189"/>
      <c r="I77" s="189"/>
      <c r="J77" s="189"/>
      <c r="K77" s="189"/>
      <c r="L77" s="189"/>
      <c r="M77" s="311">
        <f t="shared" si="73"/>
        <v>29.154999999999998</v>
      </c>
      <c r="N77" s="311">
        <f>(0.011+0.01)*2*300+1.5*3</f>
        <v>17.099999999999998</v>
      </c>
      <c r="O77" s="311">
        <v>5</v>
      </c>
      <c r="P77" s="311">
        <v>11.2</v>
      </c>
      <c r="Q77" s="139">
        <f t="shared" si="74"/>
        <v>0</v>
      </c>
      <c r="R77" s="139">
        <f t="shared" si="75"/>
        <v>0</v>
      </c>
      <c r="S77" s="139">
        <f t="shared" si="76"/>
        <v>0</v>
      </c>
      <c r="T77" s="139">
        <f t="shared" si="77"/>
        <v>0</v>
      </c>
      <c r="U77" s="139">
        <f t="shared" si="78"/>
        <v>0</v>
      </c>
      <c r="V77" s="139">
        <f t="shared" si="79"/>
        <v>0</v>
      </c>
      <c r="W77" s="139">
        <f t="shared" si="80"/>
        <v>0</v>
      </c>
      <c r="X77" s="139">
        <f t="shared" si="81"/>
        <v>0</v>
      </c>
      <c r="Y77" s="192"/>
      <c r="Z77" s="338"/>
      <c r="AA77" s="338"/>
      <c r="AB77" s="338"/>
      <c r="AC77" s="338"/>
      <c r="AD77" s="338"/>
      <c r="AE77" s="338"/>
      <c r="AF77" s="338"/>
      <c r="AG77" s="338"/>
      <c r="AH77" s="338"/>
      <c r="AI77" s="338"/>
      <c r="AJ77" s="338"/>
      <c r="AK77" s="338"/>
      <c r="AL77" s="338"/>
      <c r="AM77" s="338"/>
      <c r="AN77" s="338"/>
      <c r="AO77" s="338"/>
      <c r="AP77" s="338"/>
      <c r="AS77" s="165">
        <v>13</v>
      </c>
      <c r="AT77" s="165" t="s">
        <v>857</v>
      </c>
      <c r="AU77" s="165" t="s">
        <v>235</v>
      </c>
      <c r="AV77" s="165">
        <v>29.155000000000001</v>
      </c>
      <c r="AW77" s="165">
        <v>17.100000000000001</v>
      </c>
      <c r="AX77" s="165">
        <v>5</v>
      </c>
      <c r="AY77" s="328">
        <v>11.2</v>
      </c>
      <c r="AZ77" s="328">
        <f t="shared" si="87"/>
        <v>0</v>
      </c>
    </row>
    <row r="78" spans="1:52" ht="29.25" customHeight="1">
      <c r="A78" s="300"/>
      <c r="B78" s="129">
        <v>14</v>
      </c>
      <c r="C78" s="196" t="s">
        <v>858</v>
      </c>
      <c r="D78" s="129" t="s">
        <v>672</v>
      </c>
      <c r="E78" s="151"/>
      <c r="F78" s="189"/>
      <c r="G78" s="189"/>
      <c r="H78" s="151"/>
      <c r="I78" s="189"/>
      <c r="J78" s="151"/>
      <c r="K78" s="189"/>
      <c r="L78" s="189"/>
      <c r="M78" s="311">
        <f t="shared" si="73"/>
        <v>1738.6</v>
      </c>
      <c r="N78" s="311">
        <v>1700</v>
      </c>
      <c r="O78" s="311">
        <v>1</v>
      </c>
      <c r="P78" s="311">
        <v>21.6</v>
      </c>
      <c r="Q78" s="139">
        <f t="shared" si="74"/>
        <v>0</v>
      </c>
      <c r="R78" s="139">
        <f t="shared" si="75"/>
        <v>0</v>
      </c>
      <c r="S78" s="139">
        <f t="shared" si="76"/>
        <v>0</v>
      </c>
      <c r="T78" s="139">
        <f t="shared" si="77"/>
        <v>0</v>
      </c>
      <c r="U78" s="139">
        <f t="shared" si="78"/>
        <v>0</v>
      </c>
      <c r="V78" s="139">
        <f t="shared" si="79"/>
        <v>0</v>
      </c>
      <c r="W78" s="139">
        <f t="shared" si="80"/>
        <v>0</v>
      </c>
      <c r="X78" s="139">
        <f t="shared" si="81"/>
        <v>0</v>
      </c>
      <c r="Y78" s="192"/>
      <c r="Z78" s="338"/>
      <c r="AA78" s="338"/>
      <c r="AB78" s="338"/>
      <c r="AC78" s="338"/>
      <c r="AD78" s="338"/>
      <c r="AE78" s="338"/>
      <c r="AF78" s="338"/>
      <c r="AG78" s="338"/>
      <c r="AH78" s="338"/>
      <c r="AI78" s="338"/>
      <c r="AJ78" s="338"/>
      <c r="AK78" s="338"/>
      <c r="AL78" s="338"/>
      <c r="AM78" s="338"/>
      <c r="AN78" s="338"/>
      <c r="AO78" s="338"/>
      <c r="AP78" s="338"/>
      <c r="AS78" s="165">
        <v>14</v>
      </c>
      <c r="AT78" s="165" t="s">
        <v>858</v>
      </c>
      <c r="AU78" s="165" t="s">
        <v>672</v>
      </c>
      <c r="AV78" s="165">
        <v>1738.6</v>
      </c>
      <c r="AW78" s="165">
        <v>1700</v>
      </c>
      <c r="AX78" s="165">
        <v>1</v>
      </c>
      <c r="AY78" s="328">
        <v>21.6</v>
      </c>
      <c r="AZ78" s="328">
        <f t="shared" si="87"/>
        <v>0</v>
      </c>
    </row>
    <row r="79" spans="1:52">
      <c r="A79" s="300"/>
      <c r="B79" s="129">
        <v>15</v>
      </c>
      <c r="C79" s="196" t="s">
        <v>673</v>
      </c>
      <c r="D79" s="129" t="s">
        <v>270</v>
      </c>
      <c r="E79" s="189"/>
      <c r="F79" s="189"/>
      <c r="G79" s="189"/>
      <c r="H79" s="189"/>
      <c r="I79" s="189"/>
      <c r="J79" s="189"/>
      <c r="K79" s="189"/>
      <c r="L79" s="189"/>
      <c r="M79" s="311">
        <f t="shared" si="73"/>
        <v>249.93</v>
      </c>
      <c r="N79" s="311">
        <f>'附件4-8甲供材料清单'!K225</f>
        <v>225</v>
      </c>
      <c r="O79" s="311">
        <v>1</v>
      </c>
      <c r="P79" s="311">
        <v>22.68</v>
      </c>
      <c r="Q79" s="139">
        <f t="shared" si="74"/>
        <v>0</v>
      </c>
      <c r="R79" s="139">
        <f t="shared" si="75"/>
        <v>0</v>
      </c>
      <c r="S79" s="139">
        <f t="shared" si="76"/>
        <v>0</v>
      </c>
      <c r="T79" s="139">
        <f t="shared" si="77"/>
        <v>0</v>
      </c>
      <c r="U79" s="139">
        <f t="shared" si="78"/>
        <v>0</v>
      </c>
      <c r="V79" s="139">
        <f t="shared" si="79"/>
        <v>0</v>
      </c>
      <c r="W79" s="139">
        <f t="shared" si="80"/>
        <v>0</v>
      </c>
      <c r="X79" s="139">
        <f t="shared" si="81"/>
        <v>0</v>
      </c>
      <c r="Y79" s="192" t="s">
        <v>244</v>
      </c>
      <c r="Z79" s="338">
        <f>Q79</f>
        <v>0</v>
      </c>
      <c r="AA79" s="338">
        <f t="shared" ref="AA79" si="88">R79</f>
        <v>0</v>
      </c>
      <c r="AB79" s="338">
        <f t="shared" ref="AB79:AG79" si="89">S79</f>
        <v>0</v>
      </c>
      <c r="AC79" s="338">
        <f t="shared" si="89"/>
        <v>0</v>
      </c>
      <c r="AD79" s="338">
        <f t="shared" si="89"/>
        <v>0</v>
      </c>
      <c r="AE79" s="338">
        <f t="shared" si="89"/>
        <v>0</v>
      </c>
      <c r="AF79" s="338">
        <f t="shared" si="89"/>
        <v>0</v>
      </c>
      <c r="AG79" s="338">
        <f t="shared" si="89"/>
        <v>0</v>
      </c>
      <c r="AH79" s="338"/>
      <c r="AI79" s="338">
        <f>E79*$N79*(1+$O79%)</f>
        <v>0</v>
      </c>
      <c r="AJ79" s="338">
        <f t="shared" ref="AJ79" si="90">F79*$N79*(1+$O79%)</f>
        <v>0</v>
      </c>
      <c r="AK79" s="338">
        <f t="shared" ref="AK79:AP79" si="91">G79*$N79*(1+$O79%)</f>
        <v>0</v>
      </c>
      <c r="AL79" s="338">
        <f t="shared" si="91"/>
        <v>0</v>
      </c>
      <c r="AM79" s="338">
        <f t="shared" si="91"/>
        <v>0</v>
      </c>
      <c r="AN79" s="338">
        <f t="shared" si="91"/>
        <v>0</v>
      </c>
      <c r="AO79" s="338">
        <f t="shared" si="91"/>
        <v>0</v>
      </c>
      <c r="AP79" s="338">
        <f t="shared" si="91"/>
        <v>0</v>
      </c>
      <c r="AS79" s="165">
        <v>15</v>
      </c>
      <c r="AT79" s="165" t="s">
        <v>673</v>
      </c>
      <c r="AU79" s="165" t="s">
        <v>270</v>
      </c>
      <c r="AV79" s="165">
        <v>249.93</v>
      </c>
      <c r="AW79" s="165" t="s">
        <v>674</v>
      </c>
      <c r="AX79" s="165">
        <v>1</v>
      </c>
      <c r="AY79" s="328">
        <v>22.68</v>
      </c>
      <c r="AZ79" s="328">
        <f t="shared" si="87"/>
        <v>0</v>
      </c>
    </row>
    <row r="80" spans="1:52" ht="36" customHeight="1">
      <c r="A80" s="300"/>
      <c r="B80" s="129">
        <v>16</v>
      </c>
      <c r="C80" s="196" t="s">
        <v>859</v>
      </c>
      <c r="D80" s="129" t="s">
        <v>676</v>
      </c>
      <c r="E80" s="151"/>
      <c r="F80" s="189"/>
      <c r="G80" s="189"/>
      <c r="H80" s="151"/>
      <c r="I80" s="189"/>
      <c r="J80" s="151"/>
      <c r="K80" s="189"/>
      <c r="L80" s="189"/>
      <c r="M80" s="311">
        <f t="shared" si="73"/>
        <v>1290.53</v>
      </c>
      <c r="N80" s="311">
        <v>995</v>
      </c>
      <c r="O80" s="311">
        <v>3</v>
      </c>
      <c r="P80" s="311">
        <v>265.68</v>
      </c>
      <c r="Q80" s="139">
        <f t="shared" si="74"/>
        <v>0</v>
      </c>
      <c r="R80" s="139">
        <f t="shared" si="75"/>
        <v>0</v>
      </c>
      <c r="S80" s="139">
        <f t="shared" si="76"/>
        <v>0</v>
      </c>
      <c r="T80" s="139">
        <f t="shared" si="77"/>
        <v>0</v>
      </c>
      <c r="U80" s="139">
        <f t="shared" si="78"/>
        <v>0</v>
      </c>
      <c r="V80" s="139">
        <f t="shared" si="79"/>
        <v>0</v>
      </c>
      <c r="W80" s="139">
        <f t="shared" si="80"/>
        <v>0</v>
      </c>
      <c r="X80" s="139">
        <f t="shared" si="81"/>
        <v>0</v>
      </c>
      <c r="Y80" s="192" t="s">
        <v>860</v>
      </c>
      <c r="Z80" s="338"/>
      <c r="AA80" s="338"/>
      <c r="AB80" s="338"/>
      <c r="AC80" s="338"/>
      <c r="AD80" s="338"/>
      <c r="AE80" s="338"/>
      <c r="AF80" s="338"/>
      <c r="AG80" s="338"/>
      <c r="AH80" s="338"/>
      <c r="AI80" s="338"/>
      <c r="AJ80" s="338"/>
      <c r="AK80" s="338"/>
      <c r="AL80" s="338"/>
      <c r="AM80" s="338"/>
      <c r="AN80" s="338"/>
      <c r="AO80" s="338"/>
      <c r="AP80" s="338"/>
      <c r="AS80" s="165">
        <v>16</v>
      </c>
      <c r="AT80" s="165" t="s">
        <v>859</v>
      </c>
      <c r="AU80" s="165" t="s">
        <v>676</v>
      </c>
      <c r="AV80" s="165">
        <v>1290.53</v>
      </c>
      <c r="AW80" s="165">
        <v>995</v>
      </c>
      <c r="AX80" s="165">
        <v>3</v>
      </c>
      <c r="AY80" s="328">
        <v>265.68</v>
      </c>
      <c r="AZ80" s="328">
        <f t="shared" si="87"/>
        <v>0</v>
      </c>
    </row>
    <row r="81" spans="1:52" ht="27" customHeight="1">
      <c r="A81" s="300"/>
      <c r="B81" s="129"/>
      <c r="C81" s="266" t="s">
        <v>678</v>
      </c>
      <c r="D81" s="129"/>
      <c r="E81" s="189"/>
      <c r="F81" s="189"/>
      <c r="G81" s="189"/>
      <c r="H81" s="189"/>
      <c r="I81" s="189"/>
      <c r="J81" s="189"/>
      <c r="K81" s="189"/>
      <c r="L81" s="189"/>
      <c r="M81" s="311">
        <f t="shared" si="73"/>
        <v>0</v>
      </c>
      <c r="N81" s="311"/>
      <c r="O81" s="311"/>
      <c r="P81" s="311"/>
      <c r="Q81" s="139">
        <f t="shared" si="74"/>
        <v>0</v>
      </c>
      <c r="R81" s="139">
        <f t="shared" si="75"/>
        <v>0</v>
      </c>
      <c r="S81" s="139">
        <f t="shared" si="76"/>
        <v>0</v>
      </c>
      <c r="T81" s="139">
        <f t="shared" si="77"/>
        <v>0</v>
      </c>
      <c r="U81" s="139">
        <f t="shared" si="78"/>
        <v>0</v>
      </c>
      <c r="V81" s="139">
        <f t="shared" si="79"/>
        <v>0</v>
      </c>
      <c r="W81" s="139">
        <f t="shared" si="80"/>
        <v>0</v>
      </c>
      <c r="X81" s="139">
        <f t="shared" si="81"/>
        <v>0</v>
      </c>
      <c r="Y81" s="192"/>
      <c r="Z81" s="338"/>
      <c r="AA81" s="338"/>
      <c r="AB81" s="338"/>
      <c r="AC81" s="338"/>
      <c r="AD81" s="338"/>
      <c r="AE81" s="338"/>
      <c r="AF81" s="338"/>
      <c r="AG81" s="338"/>
      <c r="AH81" s="338"/>
      <c r="AI81" s="338"/>
      <c r="AJ81" s="338"/>
      <c r="AK81" s="338"/>
      <c r="AL81" s="338"/>
      <c r="AM81" s="338"/>
      <c r="AN81" s="338"/>
      <c r="AO81" s="338"/>
      <c r="AP81" s="338"/>
      <c r="AS81" s="165"/>
      <c r="AT81" s="165" t="s">
        <v>678</v>
      </c>
      <c r="AU81" s="165"/>
      <c r="AV81" s="165">
        <v>0</v>
      </c>
      <c r="AW81" s="165"/>
      <c r="AX81" s="165"/>
      <c r="AY81" s="328"/>
      <c r="AZ81" s="328">
        <f t="shared" si="87"/>
        <v>0</v>
      </c>
    </row>
    <row r="82" spans="1:52" ht="29.25" customHeight="1">
      <c r="A82" s="300"/>
      <c r="B82" s="129">
        <v>1</v>
      </c>
      <c r="C82" s="196" t="s">
        <v>861</v>
      </c>
      <c r="D82" s="129" t="s">
        <v>235</v>
      </c>
      <c r="E82" s="151"/>
      <c r="F82" s="189"/>
      <c r="G82" s="189"/>
      <c r="H82" s="151"/>
      <c r="I82" s="189"/>
      <c r="J82" s="151"/>
      <c r="K82" s="189"/>
      <c r="L82" s="189"/>
      <c r="M82" s="311">
        <f t="shared" ref="M82" si="92">N82+N82*O82%+P82</f>
        <v>186.32</v>
      </c>
      <c r="N82" s="311">
        <v>114</v>
      </c>
      <c r="O82" s="311">
        <v>3</v>
      </c>
      <c r="P82" s="311">
        <f>45.9+23</f>
        <v>68.900000000000006</v>
      </c>
      <c r="Q82" s="139">
        <f t="shared" ref="Q82" si="93">E82*$M82</f>
        <v>0</v>
      </c>
      <c r="R82" s="139">
        <f t="shared" ref="R82" si="94">F82*$M82</f>
        <v>0</v>
      </c>
      <c r="S82" s="139">
        <f t="shared" ref="S82" si="95">G82*$M82</f>
        <v>0</v>
      </c>
      <c r="T82" s="139">
        <f t="shared" ref="T82" si="96">H82*$M82</f>
        <v>0</v>
      </c>
      <c r="U82" s="139">
        <f t="shared" si="78"/>
        <v>0</v>
      </c>
      <c r="V82" s="139">
        <f t="shared" si="79"/>
        <v>0</v>
      </c>
      <c r="W82" s="139">
        <f t="shared" si="80"/>
        <v>0</v>
      </c>
      <c r="X82" s="139">
        <f t="shared" si="81"/>
        <v>0</v>
      </c>
      <c r="Y82" s="192"/>
      <c r="Z82" s="338"/>
      <c r="AA82" s="338"/>
      <c r="AB82" s="338"/>
      <c r="AC82" s="338"/>
      <c r="AD82" s="338"/>
      <c r="AE82" s="338"/>
      <c r="AF82" s="338"/>
      <c r="AG82" s="338"/>
      <c r="AH82" s="338"/>
      <c r="AI82" s="338"/>
      <c r="AJ82" s="338"/>
      <c r="AK82" s="338"/>
      <c r="AL82" s="338"/>
      <c r="AM82" s="338"/>
      <c r="AN82" s="338"/>
      <c r="AO82" s="338"/>
      <c r="AP82" s="338"/>
      <c r="AS82" s="165">
        <v>1</v>
      </c>
      <c r="AT82" s="165" t="s">
        <v>862</v>
      </c>
      <c r="AU82" s="165" t="s">
        <v>235</v>
      </c>
      <c r="AV82" s="165">
        <v>186.32</v>
      </c>
      <c r="AW82" s="165">
        <v>114</v>
      </c>
      <c r="AX82" s="165">
        <v>3</v>
      </c>
      <c r="AY82" s="328">
        <v>68.900000000000006</v>
      </c>
      <c r="AZ82" s="328">
        <f t="shared" si="87"/>
        <v>0</v>
      </c>
    </row>
    <row r="83" spans="1:52" ht="32.25" customHeight="1">
      <c r="A83" s="300"/>
      <c r="B83" s="129">
        <v>2</v>
      </c>
      <c r="C83" s="196" t="s">
        <v>863</v>
      </c>
      <c r="D83" s="129" t="s">
        <v>270</v>
      </c>
      <c r="E83" s="189"/>
      <c r="F83" s="189"/>
      <c r="G83" s="189"/>
      <c r="H83" s="189"/>
      <c r="I83" s="189"/>
      <c r="J83" s="189"/>
      <c r="K83" s="189"/>
      <c r="L83" s="189"/>
      <c r="M83" s="311">
        <f t="shared" ref="M83:M99" si="97">N83+N83*O83%+P83</f>
        <v>52.872299999999996</v>
      </c>
      <c r="N83" s="311">
        <v>38.229999999999997</v>
      </c>
      <c r="O83" s="311">
        <v>1</v>
      </c>
      <c r="P83" s="311">
        <v>14.26</v>
      </c>
      <c r="Q83" s="139">
        <f t="shared" ref="Q83:Q102" si="98">E83*$M83</f>
        <v>0</v>
      </c>
      <c r="R83" s="139">
        <f t="shared" ref="R83:R102" si="99">F83*$M83</f>
        <v>0</v>
      </c>
      <c r="S83" s="139">
        <f t="shared" ref="S83:S102" si="100">G83*$M83</f>
        <v>0</v>
      </c>
      <c r="T83" s="139">
        <f t="shared" ref="T83:T102" si="101">H83*$M83</f>
        <v>0</v>
      </c>
      <c r="U83" s="139">
        <f t="shared" si="78"/>
        <v>0</v>
      </c>
      <c r="V83" s="139">
        <f t="shared" si="79"/>
        <v>0</v>
      </c>
      <c r="W83" s="139">
        <f t="shared" si="80"/>
        <v>0</v>
      </c>
      <c r="X83" s="139">
        <f t="shared" si="81"/>
        <v>0</v>
      </c>
      <c r="Y83" s="192"/>
      <c r="Z83" s="338"/>
      <c r="AA83" s="338"/>
      <c r="AB83" s="338"/>
      <c r="AC83" s="338"/>
      <c r="AD83" s="338"/>
      <c r="AE83" s="338"/>
      <c r="AF83" s="338"/>
      <c r="AG83" s="338"/>
      <c r="AH83" s="338"/>
      <c r="AI83" s="338"/>
      <c r="AJ83" s="338"/>
      <c r="AK83" s="338"/>
      <c r="AL83" s="338"/>
      <c r="AM83" s="338"/>
      <c r="AN83" s="338"/>
      <c r="AO83" s="338"/>
      <c r="AP83" s="338"/>
      <c r="AS83" s="165">
        <v>2</v>
      </c>
      <c r="AT83" s="165" t="s">
        <v>864</v>
      </c>
      <c r="AU83" s="165" t="s">
        <v>270</v>
      </c>
      <c r="AV83" s="165">
        <v>52.872300000000003</v>
      </c>
      <c r="AW83" s="165">
        <v>38.229999999999997</v>
      </c>
      <c r="AX83" s="165">
        <v>1</v>
      </c>
      <c r="AY83" s="328">
        <v>14.26</v>
      </c>
      <c r="AZ83" s="328">
        <f t="shared" si="87"/>
        <v>0</v>
      </c>
    </row>
    <row r="84" spans="1:52" ht="31.5" customHeight="1">
      <c r="A84" s="300"/>
      <c r="B84" s="129">
        <v>3</v>
      </c>
      <c r="C84" s="196" t="s">
        <v>865</v>
      </c>
      <c r="D84" s="129" t="s">
        <v>235</v>
      </c>
      <c r="E84" s="151"/>
      <c r="F84" s="189"/>
      <c r="G84" s="189"/>
      <c r="H84" s="151"/>
      <c r="I84" s="189"/>
      <c r="J84" s="151"/>
      <c r="K84" s="189"/>
      <c r="L84" s="189"/>
      <c r="M84" s="311">
        <f t="shared" si="97"/>
        <v>28.209999999999997</v>
      </c>
      <c r="N84" s="311">
        <v>16.2</v>
      </c>
      <c r="O84" s="311">
        <v>5</v>
      </c>
      <c r="P84" s="311">
        <v>11.2</v>
      </c>
      <c r="Q84" s="139">
        <f t="shared" si="98"/>
        <v>0</v>
      </c>
      <c r="R84" s="139">
        <f t="shared" si="99"/>
        <v>0</v>
      </c>
      <c r="S84" s="139">
        <f t="shared" si="100"/>
        <v>0</v>
      </c>
      <c r="T84" s="139">
        <f t="shared" si="101"/>
        <v>0</v>
      </c>
      <c r="U84" s="139">
        <f t="shared" si="78"/>
        <v>0</v>
      </c>
      <c r="V84" s="139">
        <f t="shared" si="79"/>
        <v>0</v>
      </c>
      <c r="W84" s="139">
        <f t="shared" si="80"/>
        <v>0</v>
      </c>
      <c r="X84" s="139">
        <f t="shared" si="81"/>
        <v>0</v>
      </c>
      <c r="Y84" s="192"/>
      <c r="Z84" s="338"/>
      <c r="AA84" s="338"/>
      <c r="AB84" s="338"/>
      <c r="AC84" s="338"/>
      <c r="AD84" s="338"/>
      <c r="AE84" s="338"/>
      <c r="AF84" s="338"/>
      <c r="AG84" s="338"/>
      <c r="AH84" s="338"/>
      <c r="AI84" s="338"/>
      <c r="AJ84" s="338"/>
      <c r="AK84" s="338"/>
      <c r="AL84" s="338"/>
      <c r="AM84" s="338"/>
      <c r="AN84" s="338"/>
      <c r="AO84" s="338"/>
      <c r="AP84" s="338"/>
      <c r="AS84" s="165">
        <v>3</v>
      </c>
      <c r="AT84" s="165" t="s">
        <v>865</v>
      </c>
      <c r="AU84" s="165" t="s">
        <v>235</v>
      </c>
      <c r="AV84" s="165">
        <v>28.21</v>
      </c>
      <c r="AW84" s="165">
        <v>16.2</v>
      </c>
      <c r="AX84" s="165">
        <v>5</v>
      </c>
      <c r="AY84" s="328">
        <v>11.2</v>
      </c>
      <c r="AZ84" s="328">
        <f t="shared" si="87"/>
        <v>0</v>
      </c>
    </row>
    <row r="85" spans="1:52" ht="31.5" customHeight="1">
      <c r="A85" s="300"/>
      <c r="B85" s="129">
        <v>4</v>
      </c>
      <c r="C85" s="196" t="s">
        <v>866</v>
      </c>
      <c r="D85" s="129" t="s">
        <v>235</v>
      </c>
      <c r="E85" s="189"/>
      <c r="F85" s="189"/>
      <c r="G85" s="189"/>
      <c r="H85" s="189"/>
      <c r="I85" s="189"/>
      <c r="J85" s="189"/>
      <c r="K85" s="189"/>
      <c r="L85" s="189"/>
      <c r="M85" s="311">
        <f t="shared" si="97"/>
        <v>35.769999999999996</v>
      </c>
      <c r="N85" s="311">
        <v>23.4</v>
      </c>
      <c r="O85" s="311">
        <v>5</v>
      </c>
      <c r="P85" s="311">
        <v>11.2</v>
      </c>
      <c r="Q85" s="139">
        <f t="shared" si="98"/>
        <v>0</v>
      </c>
      <c r="R85" s="139">
        <f t="shared" si="99"/>
        <v>0</v>
      </c>
      <c r="S85" s="139">
        <f t="shared" si="100"/>
        <v>0</v>
      </c>
      <c r="T85" s="139">
        <f t="shared" si="101"/>
        <v>0</v>
      </c>
      <c r="U85" s="139">
        <f t="shared" si="78"/>
        <v>0</v>
      </c>
      <c r="V85" s="139">
        <f t="shared" si="79"/>
        <v>0</v>
      </c>
      <c r="W85" s="139">
        <f t="shared" si="80"/>
        <v>0</v>
      </c>
      <c r="X85" s="139">
        <f t="shared" si="81"/>
        <v>0</v>
      </c>
      <c r="Y85" s="192"/>
      <c r="Z85" s="338"/>
      <c r="AA85" s="338"/>
      <c r="AB85" s="338"/>
      <c r="AC85" s="338"/>
      <c r="AD85" s="338"/>
      <c r="AE85" s="338"/>
      <c r="AF85" s="338"/>
      <c r="AG85" s="338"/>
      <c r="AH85" s="338"/>
      <c r="AI85" s="338"/>
      <c r="AJ85" s="338"/>
      <c r="AK85" s="338"/>
      <c r="AL85" s="338"/>
      <c r="AM85" s="338"/>
      <c r="AN85" s="338"/>
      <c r="AO85" s="338"/>
      <c r="AP85" s="338"/>
      <c r="AS85" s="165">
        <v>4</v>
      </c>
      <c r="AT85" s="165" t="s">
        <v>866</v>
      </c>
      <c r="AU85" s="165" t="s">
        <v>235</v>
      </c>
      <c r="AV85" s="165">
        <v>35.770000000000003</v>
      </c>
      <c r="AW85" s="165">
        <v>23.4</v>
      </c>
      <c r="AX85" s="165">
        <v>5</v>
      </c>
      <c r="AY85" s="328">
        <v>11.2</v>
      </c>
      <c r="AZ85" s="328">
        <f t="shared" si="87"/>
        <v>0</v>
      </c>
    </row>
    <row r="86" spans="1:52" ht="31.5" customHeight="1">
      <c r="A86" s="300"/>
      <c r="B86" s="129">
        <v>5</v>
      </c>
      <c r="C86" s="309" t="s">
        <v>867</v>
      </c>
      <c r="D86" s="129" t="s">
        <v>270</v>
      </c>
      <c r="E86" s="151"/>
      <c r="F86" s="189"/>
      <c r="G86" s="189"/>
      <c r="H86" s="151"/>
      <c r="I86" s="189"/>
      <c r="J86" s="151"/>
      <c r="K86" s="189"/>
      <c r="L86" s="189"/>
      <c r="M86" s="311">
        <f t="shared" si="97"/>
        <v>12.033999999999999</v>
      </c>
      <c r="N86" s="311">
        <v>7.8</v>
      </c>
      <c r="O86" s="311">
        <v>3</v>
      </c>
      <c r="P86" s="311">
        <v>4</v>
      </c>
      <c r="Q86" s="139">
        <f t="shared" si="98"/>
        <v>0</v>
      </c>
      <c r="R86" s="139">
        <f t="shared" si="99"/>
        <v>0</v>
      </c>
      <c r="S86" s="139">
        <f t="shared" si="100"/>
        <v>0</v>
      </c>
      <c r="T86" s="139">
        <f t="shared" si="101"/>
        <v>0</v>
      </c>
      <c r="U86" s="139">
        <f t="shared" si="78"/>
        <v>0</v>
      </c>
      <c r="V86" s="139">
        <f t="shared" si="79"/>
        <v>0</v>
      </c>
      <c r="W86" s="139">
        <f t="shared" si="80"/>
        <v>0</v>
      </c>
      <c r="X86" s="139">
        <f t="shared" si="81"/>
        <v>0</v>
      </c>
      <c r="Y86" s="192"/>
      <c r="Z86" s="338"/>
      <c r="AA86" s="338"/>
      <c r="AB86" s="338"/>
      <c r="AC86" s="338"/>
      <c r="AD86" s="338"/>
      <c r="AE86" s="338"/>
      <c r="AF86" s="338"/>
      <c r="AG86" s="338"/>
      <c r="AH86" s="338"/>
      <c r="AI86" s="338"/>
      <c r="AJ86" s="338"/>
      <c r="AK86" s="338"/>
      <c r="AL86" s="338"/>
      <c r="AM86" s="338"/>
      <c r="AN86" s="338"/>
      <c r="AO86" s="338"/>
      <c r="AP86" s="338"/>
      <c r="AS86" s="165">
        <v>5</v>
      </c>
      <c r="AT86" s="165" t="s">
        <v>867</v>
      </c>
      <c r="AU86" s="165" t="s">
        <v>270</v>
      </c>
      <c r="AV86" s="165">
        <v>12.034000000000001</v>
      </c>
      <c r="AW86" s="165">
        <v>7.8</v>
      </c>
      <c r="AX86" s="165">
        <v>3</v>
      </c>
      <c r="AY86" s="328">
        <v>4</v>
      </c>
      <c r="AZ86" s="328">
        <f t="shared" si="87"/>
        <v>0</v>
      </c>
    </row>
    <row r="87" spans="1:52" ht="31.5" customHeight="1">
      <c r="A87" s="300"/>
      <c r="B87" s="129">
        <v>6</v>
      </c>
      <c r="C87" s="196" t="s">
        <v>868</v>
      </c>
      <c r="D87" s="129" t="s">
        <v>231</v>
      </c>
      <c r="E87" s="189"/>
      <c r="F87" s="189"/>
      <c r="G87" s="189"/>
      <c r="H87" s="189"/>
      <c r="I87" s="189"/>
      <c r="J87" s="189"/>
      <c r="K87" s="189"/>
      <c r="L87" s="189"/>
      <c r="M87" s="311">
        <f t="shared" si="97"/>
        <v>168.3</v>
      </c>
      <c r="N87" s="311">
        <v>45</v>
      </c>
      <c r="O87" s="311">
        <v>10</v>
      </c>
      <c r="P87" s="311">
        <v>118.8</v>
      </c>
      <c r="Q87" s="139">
        <f t="shared" si="98"/>
        <v>0</v>
      </c>
      <c r="R87" s="139">
        <f t="shared" si="99"/>
        <v>0</v>
      </c>
      <c r="S87" s="139">
        <f t="shared" si="100"/>
        <v>0</v>
      </c>
      <c r="T87" s="139">
        <f t="shared" si="101"/>
        <v>0</v>
      </c>
      <c r="U87" s="139">
        <f t="shared" si="78"/>
        <v>0</v>
      </c>
      <c r="V87" s="139">
        <f t="shared" si="79"/>
        <v>0</v>
      </c>
      <c r="W87" s="139">
        <f t="shared" si="80"/>
        <v>0</v>
      </c>
      <c r="X87" s="139">
        <f t="shared" si="81"/>
        <v>0</v>
      </c>
      <c r="Y87" s="192"/>
      <c r="Z87" s="338"/>
      <c r="AA87" s="338"/>
      <c r="AB87" s="338"/>
      <c r="AC87" s="338"/>
      <c r="AD87" s="338"/>
      <c r="AE87" s="338"/>
      <c r="AF87" s="338"/>
      <c r="AG87" s="338"/>
      <c r="AH87" s="338"/>
      <c r="AI87" s="338"/>
      <c r="AJ87" s="338"/>
      <c r="AK87" s="338"/>
      <c r="AL87" s="338"/>
      <c r="AM87" s="338"/>
      <c r="AN87" s="338"/>
      <c r="AO87" s="338"/>
      <c r="AP87" s="338"/>
      <c r="AS87" s="165">
        <v>6</v>
      </c>
      <c r="AT87" s="165" t="s">
        <v>868</v>
      </c>
      <c r="AU87" s="165" t="s">
        <v>231</v>
      </c>
      <c r="AV87" s="165">
        <v>168.3</v>
      </c>
      <c r="AW87" s="165">
        <v>45</v>
      </c>
      <c r="AX87" s="165">
        <v>10</v>
      </c>
      <c r="AY87" s="328">
        <v>118.8</v>
      </c>
      <c r="AZ87" s="328">
        <f t="shared" si="87"/>
        <v>0</v>
      </c>
    </row>
    <row r="88" spans="1:52" ht="33.75">
      <c r="A88" s="300"/>
      <c r="B88" s="129">
        <v>7</v>
      </c>
      <c r="C88" s="345" t="s">
        <v>869</v>
      </c>
      <c r="D88" s="346" t="s">
        <v>231</v>
      </c>
      <c r="E88" s="151"/>
      <c r="F88" s="189"/>
      <c r="G88" s="189"/>
      <c r="H88" s="151"/>
      <c r="I88" s="189"/>
      <c r="J88" s="151"/>
      <c r="K88" s="189"/>
      <c r="L88" s="189"/>
      <c r="M88" s="311">
        <f t="shared" si="97"/>
        <v>373.8</v>
      </c>
      <c r="N88" s="311">
        <v>250</v>
      </c>
      <c r="O88" s="311">
        <v>2</v>
      </c>
      <c r="P88" s="311">
        <v>118.8</v>
      </c>
      <c r="Q88" s="139">
        <f t="shared" si="98"/>
        <v>0</v>
      </c>
      <c r="R88" s="139">
        <f t="shared" si="99"/>
        <v>0</v>
      </c>
      <c r="S88" s="139">
        <f t="shared" si="100"/>
        <v>0</v>
      </c>
      <c r="T88" s="139">
        <f t="shared" si="101"/>
        <v>0</v>
      </c>
      <c r="U88" s="139">
        <f t="shared" si="78"/>
        <v>0</v>
      </c>
      <c r="V88" s="139">
        <f t="shared" si="79"/>
        <v>0</v>
      </c>
      <c r="W88" s="139">
        <f t="shared" si="80"/>
        <v>0</v>
      </c>
      <c r="X88" s="139">
        <f t="shared" si="81"/>
        <v>0</v>
      </c>
      <c r="Y88" s="192"/>
      <c r="Z88" s="338"/>
      <c r="AA88" s="338"/>
      <c r="AB88" s="338"/>
      <c r="AC88" s="338"/>
      <c r="AD88" s="338"/>
      <c r="AE88" s="338"/>
      <c r="AF88" s="338"/>
      <c r="AG88" s="338"/>
      <c r="AH88" s="338"/>
      <c r="AI88" s="338"/>
      <c r="AJ88" s="338"/>
      <c r="AK88" s="338"/>
      <c r="AL88" s="338"/>
      <c r="AM88" s="338"/>
      <c r="AN88" s="338"/>
      <c r="AO88" s="338"/>
      <c r="AP88" s="338"/>
      <c r="AS88" s="165">
        <v>7</v>
      </c>
      <c r="AT88" s="165" t="s">
        <v>869</v>
      </c>
      <c r="AU88" s="165" t="s">
        <v>231</v>
      </c>
      <c r="AV88" s="165">
        <v>373.8</v>
      </c>
      <c r="AW88" s="165">
        <v>250</v>
      </c>
      <c r="AX88" s="165">
        <v>2</v>
      </c>
      <c r="AY88" s="328">
        <v>118.8</v>
      </c>
      <c r="AZ88" s="328">
        <f t="shared" si="87"/>
        <v>0</v>
      </c>
    </row>
    <row r="89" spans="1:52" ht="36" customHeight="1">
      <c r="A89" s="300"/>
      <c r="B89" s="129">
        <v>8</v>
      </c>
      <c r="C89" s="309" t="s">
        <v>870</v>
      </c>
      <c r="D89" s="129" t="s">
        <v>231</v>
      </c>
      <c r="E89" s="189"/>
      <c r="F89" s="189"/>
      <c r="G89" s="189"/>
      <c r="H89" s="189"/>
      <c r="I89" s="189"/>
      <c r="J89" s="189"/>
      <c r="K89" s="189"/>
      <c r="L89" s="189"/>
      <c r="M89" s="311">
        <f t="shared" si="97"/>
        <v>549.9</v>
      </c>
      <c r="N89" s="311">
        <v>450</v>
      </c>
      <c r="O89" s="311">
        <v>3</v>
      </c>
      <c r="P89" s="311">
        <v>86.4</v>
      </c>
      <c r="Q89" s="139">
        <f t="shared" si="98"/>
        <v>0</v>
      </c>
      <c r="R89" s="139">
        <f t="shared" si="99"/>
        <v>0</v>
      </c>
      <c r="S89" s="139">
        <f t="shared" si="100"/>
        <v>0</v>
      </c>
      <c r="T89" s="139">
        <f t="shared" si="101"/>
        <v>0</v>
      </c>
      <c r="U89" s="139">
        <f t="shared" ref="U89:U96" si="102">I89*$M89</f>
        <v>0</v>
      </c>
      <c r="V89" s="139">
        <f t="shared" ref="V89:V96" si="103">J89*$M89</f>
        <v>0</v>
      </c>
      <c r="W89" s="139">
        <f t="shared" ref="W89:W96" si="104">K89*$M89</f>
        <v>0</v>
      </c>
      <c r="X89" s="139">
        <f t="shared" ref="X89:X96" si="105">L89*$M89</f>
        <v>0</v>
      </c>
      <c r="Y89" s="192"/>
      <c r="Z89" s="338"/>
      <c r="AA89" s="338"/>
      <c r="AB89" s="338"/>
      <c r="AC89" s="338"/>
      <c r="AD89" s="338"/>
      <c r="AE89" s="338"/>
      <c r="AF89" s="338"/>
      <c r="AG89" s="338"/>
      <c r="AH89" s="338"/>
      <c r="AI89" s="338"/>
      <c r="AJ89" s="338"/>
      <c r="AK89" s="338"/>
      <c r="AL89" s="338"/>
      <c r="AM89" s="338"/>
      <c r="AN89" s="338"/>
      <c r="AO89" s="338"/>
      <c r="AP89" s="338"/>
      <c r="AS89" s="165">
        <v>8</v>
      </c>
      <c r="AT89" s="165" t="s">
        <v>870</v>
      </c>
      <c r="AU89" s="165" t="s">
        <v>231</v>
      </c>
      <c r="AV89" s="165">
        <v>549.9</v>
      </c>
      <c r="AW89" s="165">
        <v>450</v>
      </c>
      <c r="AX89" s="165">
        <v>3</v>
      </c>
      <c r="AY89" s="328">
        <v>86.4</v>
      </c>
      <c r="AZ89" s="328">
        <f t="shared" si="87"/>
        <v>0</v>
      </c>
    </row>
    <row r="90" spans="1:52" ht="19.5" customHeight="1">
      <c r="A90" s="300"/>
      <c r="B90" s="129"/>
      <c r="C90" s="266" t="s">
        <v>686</v>
      </c>
      <c r="D90" s="129"/>
      <c r="E90" s="151"/>
      <c r="F90" s="189"/>
      <c r="G90" s="189"/>
      <c r="H90" s="151"/>
      <c r="I90" s="189"/>
      <c r="J90" s="151"/>
      <c r="K90" s="189"/>
      <c r="L90" s="189"/>
      <c r="M90" s="311">
        <f t="shared" si="97"/>
        <v>0</v>
      </c>
      <c r="N90" s="311"/>
      <c r="O90" s="311"/>
      <c r="P90" s="311"/>
      <c r="Q90" s="139">
        <f t="shared" si="98"/>
        <v>0</v>
      </c>
      <c r="R90" s="139">
        <f t="shared" si="99"/>
        <v>0</v>
      </c>
      <c r="S90" s="139">
        <f t="shared" si="100"/>
        <v>0</v>
      </c>
      <c r="T90" s="139">
        <f t="shared" si="101"/>
        <v>0</v>
      </c>
      <c r="U90" s="139">
        <f t="shared" si="102"/>
        <v>0</v>
      </c>
      <c r="V90" s="139">
        <f t="shared" si="103"/>
        <v>0</v>
      </c>
      <c r="W90" s="139">
        <f t="shared" si="104"/>
        <v>0</v>
      </c>
      <c r="X90" s="139">
        <f t="shared" si="105"/>
        <v>0</v>
      </c>
      <c r="Y90" s="192"/>
      <c r="Z90" s="338"/>
      <c r="AA90" s="338"/>
      <c r="AB90" s="338"/>
      <c r="AC90" s="338"/>
      <c r="AD90" s="338"/>
      <c r="AE90" s="338"/>
      <c r="AF90" s="338"/>
      <c r="AG90" s="338"/>
      <c r="AH90" s="338"/>
      <c r="AI90" s="338"/>
      <c r="AJ90" s="338"/>
      <c r="AK90" s="338"/>
      <c r="AL90" s="338"/>
      <c r="AM90" s="338"/>
      <c r="AN90" s="338"/>
      <c r="AO90" s="338"/>
      <c r="AP90" s="338"/>
      <c r="AS90" s="165"/>
      <c r="AT90" s="165" t="s">
        <v>686</v>
      </c>
      <c r="AU90" s="165"/>
      <c r="AV90" s="165">
        <v>0</v>
      </c>
      <c r="AW90" s="165"/>
      <c r="AX90" s="165"/>
      <c r="AY90" s="328"/>
      <c r="AZ90" s="328">
        <f t="shared" si="87"/>
        <v>0</v>
      </c>
    </row>
    <row r="91" spans="1:52" ht="30" customHeight="1">
      <c r="A91" s="300"/>
      <c r="B91" s="129">
        <v>1</v>
      </c>
      <c r="C91" s="196" t="s">
        <v>871</v>
      </c>
      <c r="D91" s="129" t="s">
        <v>231</v>
      </c>
      <c r="E91" s="189"/>
      <c r="F91" s="189"/>
      <c r="G91" s="189"/>
      <c r="H91" s="189"/>
      <c r="I91" s="189"/>
      <c r="J91" s="189"/>
      <c r="K91" s="189"/>
      <c r="L91" s="189"/>
      <c r="M91" s="311">
        <f t="shared" si="97"/>
        <v>379.23599999999999</v>
      </c>
      <c r="N91" s="311">
        <v>280</v>
      </c>
      <c r="O91" s="311">
        <v>2</v>
      </c>
      <c r="P91" s="311">
        <v>93.635999999999996</v>
      </c>
      <c r="Q91" s="139">
        <f t="shared" si="98"/>
        <v>0</v>
      </c>
      <c r="R91" s="139">
        <f t="shared" si="99"/>
        <v>0</v>
      </c>
      <c r="S91" s="139">
        <f t="shared" si="100"/>
        <v>0</v>
      </c>
      <c r="T91" s="139">
        <f t="shared" si="101"/>
        <v>0</v>
      </c>
      <c r="U91" s="139">
        <f t="shared" si="102"/>
        <v>0</v>
      </c>
      <c r="V91" s="139">
        <f t="shared" si="103"/>
        <v>0</v>
      </c>
      <c r="W91" s="139">
        <f t="shared" si="104"/>
        <v>0</v>
      </c>
      <c r="X91" s="139">
        <f t="shared" si="105"/>
        <v>0</v>
      </c>
      <c r="Y91" s="192"/>
      <c r="Z91" s="338"/>
      <c r="AA91" s="338"/>
      <c r="AB91" s="338"/>
      <c r="AC91" s="338"/>
      <c r="AD91" s="338"/>
      <c r="AE91" s="338"/>
      <c r="AF91" s="338"/>
      <c r="AG91" s="338"/>
      <c r="AH91" s="338"/>
      <c r="AI91" s="338"/>
      <c r="AJ91" s="338"/>
      <c r="AK91" s="338"/>
      <c r="AL91" s="338"/>
      <c r="AM91" s="338"/>
      <c r="AN91" s="338"/>
      <c r="AO91" s="338"/>
      <c r="AP91" s="338"/>
      <c r="AS91" s="165">
        <v>1</v>
      </c>
      <c r="AT91" s="165" t="s">
        <v>872</v>
      </c>
      <c r="AU91" s="165" t="s">
        <v>231</v>
      </c>
      <c r="AV91" s="165">
        <v>379.23599999999999</v>
      </c>
      <c r="AW91" s="165">
        <v>280</v>
      </c>
      <c r="AX91" s="165">
        <v>2</v>
      </c>
      <c r="AY91" s="328">
        <v>93.635999999999996</v>
      </c>
      <c r="AZ91" s="328">
        <f t="shared" si="87"/>
        <v>0</v>
      </c>
    </row>
    <row r="92" spans="1:52" ht="30" customHeight="1">
      <c r="A92" s="300"/>
      <c r="B92" s="129">
        <v>2</v>
      </c>
      <c r="C92" s="196" t="s">
        <v>873</v>
      </c>
      <c r="D92" s="129" t="s">
        <v>235</v>
      </c>
      <c r="E92" s="151"/>
      <c r="F92" s="189"/>
      <c r="G92" s="189"/>
      <c r="H92" s="151"/>
      <c r="I92" s="189"/>
      <c r="J92" s="151"/>
      <c r="K92" s="189"/>
      <c r="L92" s="189"/>
      <c r="M92" s="311">
        <f t="shared" si="97"/>
        <v>303.71517999999998</v>
      </c>
      <c r="N92" s="311">
        <v>250.30600000000001</v>
      </c>
      <c r="O92" s="311">
        <v>3</v>
      </c>
      <c r="P92" s="311">
        <v>45.9</v>
      </c>
      <c r="Q92" s="139">
        <f t="shared" si="98"/>
        <v>0</v>
      </c>
      <c r="R92" s="139">
        <f t="shared" si="99"/>
        <v>0</v>
      </c>
      <c r="S92" s="139">
        <f t="shared" si="100"/>
        <v>0</v>
      </c>
      <c r="T92" s="139">
        <f t="shared" si="101"/>
        <v>0</v>
      </c>
      <c r="U92" s="139">
        <f t="shared" si="102"/>
        <v>0</v>
      </c>
      <c r="V92" s="139">
        <f t="shared" si="103"/>
        <v>0</v>
      </c>
      <c r="W92" s="139">
        <f t="shared" si="104"/>
        <v>0</v>
      </c>
      <c r="X92" s="139">
        <f t="shared" si="105"/>
        <v>0</v>
      </c>
      <c r="Y92" s="192"/>
      <c r="Z92" s="338"/>
      <c r="AA92" s="338"/>
      <c r="AB92" s="338"/>
      <c r="AC92" s="338"/>
      <c r="AD92" s="338"/>
      <c r="AE92" s="338"/>
      <c r="AF92" s="338"/>
      <c r="AG92" s="338"/>
      <c r="AH92" s="338"/>
      <c r="AI92" s="338"/>
      <c r="AJ92" s="338"/>
      <c r="AK92" s="338"/>
      <c r="AL92" s="338"/>
      <c r="AM92" s="338"/>
      <c r="AN92" s="338"/>
      <c r="AO92" s="338"/>
      <c r="AP92" s="338"/>
      <c r="AS92" s="165">
        <v>2</v>
      </c>
      <c r="AT92" s="165" t="s">
        <v>874</v>
      </c>
      <c r="AU92" s="165" t="s">
        <v>235</v>
      </c>
      <c r="AV92" s="165">
        <v>303.71517999999998</v>
      </c>
      <c r="AW92" s="165">
        <v>250.30600000000001</v>
      </c>
      <c r="AX92" s="165">
        <v>3</v>
      </c>
      <c r="AY92" s="328">
        <v>45.9</v>
      </c>
      <c r="AZ92" s="328">
        <f t="shared" si="87"/>
        <v>0</v>
      </c>
    </row>
    <row r="93" spans="1:52" ht="30" customHeight="1">
      <c r="A93" s="300"/>
      <c r="B93" s="129">
        <v>3</v>
      </c>
      <c r="C93" s="196" t="s">
        <v>875</v>
      </c>
      <c r="D93" s="129" t="s">
        <v>235</v>
      </c>
      <c r="E93" s="189"/>
      <c r="F93" s="189"/>
      <c r="G93" s="189"/>
      <c r="H93" s="189"/>
      <c r="I93" s="189"/>
      <c r="J93" s="189"/>
      <c r="K93" s="189"/>
      <c r="L93" s="189"/>
      <c r="M93" s="311">
        <f t="shared" si="97"/>
        <v>331.416</v>
      </c>
      <c r="N93" s="311">
        <f>9800*0.2*0.07+20*7</f>
        <v>277.20000000000005</v>
      </c>
      <c r="O93" s="311">
        <v>3</v>
      </c>
      <c r="P93" s="311">
        <v>45.9</v>
      </c>
      <c r="Q93" s="139">
        <f t="shared" si="98"/>
        <v>0</v>
      </c>
      <c r="R93" s="139">
        <f t="shared" si="99"/>
        <v>0</v>
      </c>
      <c r="S93" s="139">
        <f t="shared" si="100"/>
        <v>0</v>
      </c>
      <c r="T93" s="139">
        <f t="shared" si="101"/>
        <v>0</v>
      </c>
      <c r="U93" s="139">
        <f t="shared" si="102"/>
        <v>0</v>
      </c>
      <c r="V93" s="139">
        <f t="shared" si="103"/>
        <v>0</v>
      </c>
      <c r="W93" s="139">
        <f t="shared" si="104"/>
        <v>0</v>
      </c>
      <c r="X93" s="139">
        <f t="shared" si="105"/>
        <v>0</v>
      </c>
      <c r="Y93" s="192"/>
      <c r="Z93" s="338"/>
      <c r="AA93" s="338"/>
      <c r="AB93" s="338"/>
      <c r="AC93" s="338"/>
      <c r="AD93" s="338"/>
      <c r="AE93" s="338"/>
      <c r="AF93" s="338"/>
      <c r="AG93" s="338"/>
      <c r="AH93" s="338"/>
      <c r="AI93" s="338"/>
      <c r="AJ93" s="338"/>
      <c r="AK93" s="338"/>
      <c r="AL93" s="338"/>
      <c r="AM93" s="338"/>
      <c r="AN93" s="338"/>
      <c r="AO93" s="338"/>
      <c r="AP93" s="338"/>
      <c r="AS93" s="165">
        <v>3</v>
      </c>
      <c r="AT93" s="165" t="s">
        <v>876</v>
      </c>
      <c r="AU93" s="165" t="s">
        <v>235</v>
      </c>
      <c r="AV93" s="165">
        <v>331.416</v>
      </c>
      <c r="AW93" s="165">
        <v>277.2</v>
      </c>
      <c r="AX93" s="165">
        <v>3</v>
      </c>
      <c r="AY93" s="328">
        <v>45.9</v>
      </c>
      <c r="AZ93" s="328">
        <f t="shared" si="87"/>
        <v>0</v>
      </c>
    </row>
    <row r="94" spans="1:52" ht="30" customHeight="1">
      <c r="A94" s="300"/>
      <c r="B94" s="129">
        <v>4</v>
      </c>
      <c r="C94" s="196" t="s">
        <v>877</v>
      </c>
      <c r="D94" s="129" t="s">
        <v>270</v>
      </c>
      <c r="E94" s="151"/>
      <c r="F94" s="189"/>
      <c r="G94" s="189"/>
      <c r="H94" s="151"/>
      <c r="I94" s="189"/>
      <c r="J94" s="151"/>
      <c r="K94" s="189"/>
      <c r="L94" s="189"/>
      <c r="M94" s="311">
        <f t="shared" si="97"/>
        <v>74.149000000000001</v>
      </c>
      <c r="N94" s="311">
        <v>59.3</v>
      </c>
      <c r="O94" s="311">
        <v>1</v>
      </c>
      <c r="P94" s="311">
        <v>14.256</v>
      </c>
      <c r="Q94" s="139">
        <f t="shared" si="98"/>
        <v>0</v>
      </c>
      <c r="R94" s="139">
        <f t="shared" si="99"/>
        <v>0</v>
      </c>
      <c r="S94" s="139">
        <f t="shared" si="100"/>
        <v>0</v>
      </c>
      <c r="T94" s="139">
        <f t="shared" si="101"/>
        <v>0</v>
      </c>
      <c r="U94" s="139">
        <f t="shared" si="102"/>
        <v>0</v>
      </c>
      <c r="V94" s="139">
        <f t="shared" si="103"/>
        <v>0</v>
      </c>
      <c r="W94" s="139">
        <f t="shared" si="104"/>
        <v>0</v>
      </c>
      <c r="X94" s="139">
        <f t="shared" si="105"/>
        <v>0</v>
      </c>
      <c r="Y94" s="192"/>
      <c r="Z94" s="338"/>
      <c r="AA94" s="338"/>
      <c r="AB94" s="338"/>
      <c r="AC94" s="338"/>
      <c r="AD94" s="338"/>
      <c r="AE94" s="338"/>
      <c r="AF94" s="338"/>
      <c r="AG94" s="338"/>
      <c r="AH94" s="338"/>
      <c r="AI94" s="338"/>
      <c r="AJ94" s="338"/>
      <c r="AK94" s="338"/>
      <c r="AL94" s="338"/>
      <c r="AM94" s="338"/>
      <c r="AN94" s="338"/>
      <c r="AO94" s="338"/>
      <c r="AP94" s="338"/>
      <c r="AS94" s="165">
        <v>4</v>
      </c>
      <c r="AT94" s="165" t="s">
        <v>878</v>
      </c>
      <c r="AU94" s="165" t="s">
        <v>270</v>
      </c>
      <c r="AV94" s="165">
        <v>74.149000000000001</v>
      </c>
      <c r="AW94" s="165">
        <v>59.3</v>
      </c>
      <c r="AX94" s="165">
        <v>1</v>
      </c>
      <c r="AY94" s="328">
        <v>14.256</v>
      </c>
      <c r="AZ94" s="328">
        <f t="shared" si="87"/>
        <v>0</v>
      </c>
    </row>
    <row r="95" spans="1:52" ht="30" customHeight="1">
      <c r="A95" s="300"/>
      <c r="B95" s="129">
        <v>5</v>
      </c>
      <c r="C95" s="196" t="s">
        <v>879</v>
      </c>
      <c r="D95" s="129" t="s">
        <v>235</v>
      </c>
      <c r="E95" s="189"/>
      <c r="F95" s="189"/>
      <c r="G95" s="189"/>
      <c r="H95" s="189"/>
      <c r="I95" s="189"/>
      <c r="J95" s="189"/>
      <c r="K95" s="189"/>
      <c r="L95" s="189"/>
      <c r="M95" s="311">
        <f t="shared" si="97"/>
        <v>219.495</v>
      </c>
      <c r="N95" s="311">
        <f>9800*0.15*0.05+15*7</f>
        <v>178.5</v>
      </c>
      <c r="O95" s="311">
        <v>3</v>
      </c>
      <c r="P95" s="311">
        <v>35.64</v>
      </c>
      <c r="Q95" s="139">
        <f t="shared" si="98"/>
        <v>0</v>
      </c>
      <c r="R95" s="139">
        <f t="shared" si="99"/>
        <v>0</v>
      </c>
      <c r="S95" s="139">
        <f t="shared" si="100"/>
        <v>0</v>
      </c>
      <c r="T95" s="139">
        <f t="shared" si="101"/>
        <v>0</v>
      </c>
      <c r="U95" s="139">
        <f t="shared" si="102"/>
        <v>0</v>
      </c>
      <c r="V95" s="139">
        <f t="shared" si="103"/>
        <v>0</v>
      </c>
      <c r="W95" s="139">
        <f t="shared" si="104"/>
        <v>0</v>
      </c>
      <c r="X95" s="139">
        <f t="shared" si="105"/>
        <v>0</v>
      </c>
      <c r="Y95" s="192"/>
      <c r="Z95" s="338"/>
      <c r="AA95" s="338"/>
      <c r="AB95" s="338"/>
      <c r="AC95" s="338"/>
      <c r="AD95" s="338"/>
      <c r="AE95" s="338"/>
      <c r="AF95" s="338"/>
      <c r="AG95" s="338"/>
      <c r="AH95" s="338"/>
      <c r="AI95" s="338"/>
      <c r="AJ95" s="338"/>
      <c r="AK95" s="338"/>
      <c r="AL95" s="338"/>
      <c r="AM95" s="338"/>
      <c r="AN95" s="338"/>
      <c r="AO95" s="338"/>
      <c r="AP95" s="338"/>
      <c r="AS95" s="165">
        <v>5</v>
      </c>
      <c r="AT95" s="165" t="s">
        <v>880</v>
      </c>
      <c r="AU95" s="165" t="s">
        <v>235</v>
      </c>
      <c r="AV95" s="165">
        <v>219.495</v>
      </c>
      <c r="AW95" s="165">
        <v>178.5</v>
      </c>
      <c r="AX95" s="165">
        <v>3</v>
      </c>
      <c r="AY95" s="328">
        <v>35.64</v>
      </c>
      <c r="AZ95" s="328">
        <f t="shared" si="87"/>
        <v>0</v>
      </c>
    </row>
    <row r="96" spans="1:52" ht="30" customHeight="1">
      <c r="A96" s="300"/>
      <c r="B96" s="129">
        <v>6</v>
      </c>
      <c r="C96" s="196" t="s">
        <v>881</v>
      </c>
      <c r="D96" s="129" t="s">
        <v>270</v>
      </c>
      <c r="E96" s="151"/>
      <c r="F96" s="189"/>
      <c r="G96" s="189"/>
      <c r="H96" s="151"/>
      <c r="I96" s="189"/>
      <c r="J96" s="151"/>
      <c r="K96" s="189"/>
      <c r="L96" s="189"/>
      <c r="M96" s="311">
        <f t="shared" si="97"/>
        <v>52.865774999999999</v>
      </c>
      <c r="N96" s="311">
        <f>9800*0.15*0.25*0.053+500*0.15*0.25</f>
        <v>38.227499999999999</v>
      </c>
      <c r="O96" s="311">
        <v>1</v>
      </c>
      <c r="P96" s="311">
        <f>P94</f>
        <v>14.256</v>
      </c>
      <c r="Q96" s="139">
        <f t="shared" si="98"/>
        <v>0</v>
      </c>
      <c r="R96" s="139">
        <f t="shared" si="99"/>
        <v>0</v>
      </c>
      <c r="S96" s="139">
        <f t="shared" si="100"/>
        <v>0</v>
      </c>
      <c r="T96" s="139">
        <f t="shared" si="101"/>
        <v>0</v>
      </c>
      <c r="U96" s="139">
        <f t="shared" si="102"/>
        <v>0</v>
      </c>
      <c r="V96" s="139">
        <f t="shared" si="103"/>
        <v>0</v>
      </c>
      <c r="W96" s="139">
        <f t="shared" si="104"/>
        <v>0</v>
      </c>
      <c r="X96" s="139">
        <f t="shared" si="105"/>
        <v>0</v>
      </c>
      <c r="Y96" s="192"/>
      <c r="Z96" s="338"/>
      <c r="AA96" s="338"/>
      <c r="AB96" s="338"/>
      <c r="AC96" s="338"/>
      <c r="AD96" s="338"/>
      <c r="AE96" s="338"/>
      <c r="AF96" s="338"/>
      <c r="AG96" s="338"/>
      <c r="AH96" s="338"/>
      <c r="AI96" s="338"/>
      <c r="AJ96" s="338"/>
      <c r="AK96" s="338"/>
      <c r="AL96" s="338"/>
      <c r="AM96" s="338"/>
      <c r="AN96" s="338"/>
      <c r="AO96" s="338"/>
      <c r="AP96" s="338"/>
      <c r="AS96" s="165">
        <v>6</v>
      </c>
      <c r="AT96" s="165" t="s">
        <v>882</v>
      </c>
      <c r="AU96" s="165" t="s">
        <v>270</v>
      </c>
      <c r="AV96" s="165">
        <v>52.865774999999999</v>
      </c>
      <c r="AW96" s="165">
        <v>38.227499999999999</v>
      </c>
      <c r="AX96" s="165">
        <v>1</v>
      </c>
      <c r="AY96" s="328">
        <v>14.256</v>
      </c>
      <c r="AZ96" s="328">
        <f t="shared" si="87"/>
        <v>0</v>
      </c>
    </row>
    <row r="97" spans="1:52" ht="30" customHeight="1">
      <c r="A97" s="300"/>
      <c r="B97" s="129">
        <v>7</v>
      </c>
      <c r="C97" s="196" t="s">
        <v>883</v>
      </c>
      <c r="D97" s="129" t="s">
        <v>235</v>
      </c>
      <c r="E97" s="189"/>
      <c r="F97" s="189"/>
      <c r="G97" s="189"/>
      <c r="H97" s="189"/>
      <c r="I97" s="189"/>
      <c r="J97" s="189"/>
      <c r="K97" s="189"/>
      <c r="L97" s="189"/>
      <c r="M97" s="311">
        <f t="shared" si="97"/>
        <v>119.78076000000001</v>
      </c>
      <c r="N97" s="311">
        <f>9800*0.095*0.032+9.5*7</f>
        <v>96.292000000000002</v>
      </c>
      <c r="O97" s="311">
        <v>3</v>
      </c>
      <c r="P97" s="311">
        <v>20.6</v>
      </c>
      <c r="Q97" s="139">
        <f t="shared" si="98"/>
        <v>0</v>
      </c>
      <c r="R97" s="139">
        <f t="shared" si="99"/>
        <v>0</v>
      </c>
      <c r="S97" s="139">
        <f t="shared" si="100"/>
        <v>0</v>
      </c>
      <c r="T97" s="139">
        <f t="shared" si="101"/>
        <v>0</v>
      </c>
      <c r="U97" s="139">
        <f t="shared" ref="U97" si="106">I97*$M97</f>
        <v>0</v>
      </c>
      <c r="V97" s="139">
        <f t="shared" ref="V97" si="107">J97*$M97</f>
        <v>0</v>
      </c>
      <c r="W97" s="139">
        <f t="shared" ref="W97" si="108">K97*$M97</f>
        <v>0</v>
      </c>
      <c r="X97" s="139">
        <f t="shared" ref="X97" si="109">L97*$M97</f>
        <v>0</v>
      </c>
      <c r="Y97" s="192"/>
      <c r="Z97" s="338"/>
      <c r="AA97" s="338"/>
      <c r="AB97" s="338"/>
      <c r="AC97" s="338"/>
      <c r="AD97" s="338"/>
      <c r="AE97" s="338"/>
      <c r="AF97" s="338"/>
      <c r="AG97" s="338"/>
      <c r="AH97" s="338"/>
      <c r="AI97" s="338"/>
      <c r="AJ97" s="338"/>
      <c r="AK97" s="338"/>
      <c r="AL97" s="338"/>
      <c r="AM97" s="338"/>
      <c r="AN97" s="338"/>
      <c r="AO97" s="338"/>
      <c r="AP97" s="338"/>
      <c r="AS97" s="165">
        <v>7</v>
      </c>
      <c r="AT97" s="165" t="s">
        <v>884</v>
      </c>
      <c r="AU97" s="165" t="s">
        <v>235</v>
      </c>
      <c r="AV97" s="165">
        <v>119.78076</v>
      </c>
      <c r="AW97" s="165">
        <v>96.292000000000002</v>
      </c>
      <c r="AX97" s="165">
        <v>3</v>
      </c>
      <c r="AY97" s="328">
        <v>20.6</v>
      </c>
      <c r="AZ97" s="328">
        <f t="shared" si="87"/>
        <v>0</v>
      </c>
    </row>
    <row r="98" spans="1:52" ht="30" customHeight="1">
      <c r="A98" s="300"/>
      <c r="B98" s="129">
        <v>8</v>
      </c>
      <c r="C98" s="196" t="s">
        <v>885</v>
      </c>
      <c r="D98" s="129" t="s">
        <v>235</v>
      </c>
      <c r="E98" s="151"/>
      <c r="F98" s="189"/>
      <c r="G98" s="189"/>
      <c r="H98" s="151"/>
      <c r="I98" s="189"/>
      <c r="J98" s="151"/>
      <c r="K98" s="189"/>
      <c r="L98" s="189"/>
      <c r="M98" s="311">
        <f t="shared" si="97"/>
        <v>115.46917999999999</v>
      </c>
      <c r="N98" s="311">
        <f>9800*0.09*0.033+9*7</f>
        <v>92.105999999999995</v>
      </c>
      <c r="O98" s="311">
        <v>3</v>
      </c>
      <c r="P98" s="311">
        <v>20.6</v>
      </c>
      <c r="Q98" s="139">
        <f t="shared" si="98"/>
        <v>0</v>
      </c>
      <c r="R98" s="139">
        <f t="shared" si="99"/>
        <v>0</v>
      </c>
      <c r="S98" s="139">
        <f t="shared" si="100"/>
        <v>0</v>
      </c>
      <c r="T98" s="139">
        <f t="shared" si="101"/>
        <v>0</v>
      </c>
      <c r="U98" s="139">
        <f t="shared" ref="U98:U129" si="110">I98*$M98</f>
        <v>0</v>
      </c>
      <c r="V98" s="139">
        <f t="shared" ref="V98:V129" si="111">J98*$M98</f>
        <v>0</v>
      </c>
      <c r="W98" s="139">
        <f t="shared" ref="W98:W129" si="112">K98*$M98</f>
        <v>0</v>
      </c>
      <c r="X98" s="139">
        <f t="shared" ref="X98:X129" si="113">L98*$M98</f>
        <v>0</v>
      </c>
      <c r="Y98" s="192"/>
      <c r="Z98" s="338"/>
      <c r="AA98" s="338"/>
      <c r="AB98" s="338"/>
      <c r="AC98" s="338"/>
      <c r="AD98" s="338"/>
      <c r="AE98" s="338"/>
      <c r="AF98" s="338"/>
      <c r="AG98" s="338"/>
      <c r="AH98" s="338"/>
      <c r="AI98" s="338"/>
      <c r="AJ98" s="338"/>
      <c r="AK98" s="338"/>
      <c r="AL98" s="338"/>
      <c r="AM98" s="338"/>
      <c r="AN98" s="338"/>
      <c r="AO98" s="338"/>
      <c r="AP98" s="338"/>
      <c r="AS98" s="165">
        <v>8</v>
      </c>
      <c r="AT98" s="165" t="s">
        <v>886</v>
      </c>
      <c r="AU98" s="165" t="s">
        <v>235</v>
      </c>
      <c r="AV98" s="165">
        <v>115.46917999999999</v>
      </c>
      <c r="AW98" s="165">
        <v>92.105999999999995</v>
      </c>
      <c r="AX98" s="165">
        <v>3</v>
      </c>
      <c r="AY98" s="328">
        <v>20.6</v>
      </c>
      <c r="AZ98" s="328">
        <f t="shared" si="87"/>
        <v>0</v>
      </c>
    </row>
    <row r="99" spans="1:52" ht="30" customHeight="1">
      <c r="A99" s="300"/>
      <c r="B99" s="129">
        <v>9</v>
      </c>
      <c r="C99" s="309" t="s">
        <v>887</v>
      </c>
      <c r="D99" s="129" t="s">
        <v>270</v>
      </c>
      <c r="E99" s="189"/>
      <c r="F99" s="189"/>
      <c r="G99" s="189"/>
      <c r="H99" s="189"/>
      <c r="I99" s="189"/>
      <c r="J99" s="189"/>
      <c r="K99" s="189"/>
      <c r="L99" s="189"/>
      <c r="M99" s="311">
        <f t="shared" si="97"/>
        <v>35.541750000000008</v>
      </c>
      <c r="N99" s="311">
        <f>9800*0.1*0.25*0.035+500*0.1*0.25</f>
        <v>21.075000000000003</v>
      </c>
      <c r="O99" s="311">
        <v>1</v>
      </c>
      <c r="P99" s="311">
        <f>P96</f>
        <v>14.256</v>
      </c>
      <c r="Q99" s="139">
        <f t="shared" si="98"/>
        <v>0</v>
      </c>
      <c r="R99" s="139">
        <f t="shared" si="99"/>
        <v>0</v>
      </c>
      <c r="S99" s="139">
        <f t="shared" si="100"/>
        <v>0</v>
      </c>
      <c r="T99" s="139">
        <f t="shared" si="101"/>
        <v>0</v>
      </c>
      <c r="U99" s="139">
        <f t="shared" si="110"/>
        <v>0</v>
      </c>
      <c r="V99" s="139">
        <f t="shared" si="111"/>
        <v>0</v>
      </c>
      <c r="W99" s="139">
        <f t="shared" si="112"/>
        <v>0</v>
      </c>
      <c r="X99" s="139">
        <f t="shared" si="113"/>
        <v>0</v>
      </c>
      <c r="Y99" s="192"/>
      <c r="Z99" s="338"/>
      <c r="AA99" s="338"/>
      <c r="AB99" s="338"/>
      <c r="AC99" s="338"/>
      <c r="AD99" s="338"/>
      <c r="AE99" s="338"/>
      <c r="AF99" s="338"/>
      <c r="AG99" s="338"/>
      <c r="AH99" s="338"/>
      <c r="AI99" s="338"/>
      <c r="AJ99" s="338"/>
      <c r="AK99" s="338"/>
      <c r="AL99" s="338"/>
      <c r="AM99" s="338"/>
      <c r="AN99" s="338"/>
      <c r="AO99" s="338"/>
      <c r="AP99" s="338"/>
      <c r="AS99" s="165">
        <v>9</v>
      </c>
      <c r="AT99" s="165" t="s">
        <v>888</v>
      </c>
      <c r="AU99" s="165" t="s">
        <v>270</v>
      </c>
      <c r="AV99" s="165">
        <v>35.54175</v>
      </c>
      <c r="AW99" s="165">
        <v>21.074999999999999</v>
      </c>
      <c r="AX99" s="165">
        <v>1</v>
      </c>
      <c r="AY99" s="328">
        <v>14.256</v>
      </c>
      <c r="AZ99" s="328">
        <f t="shared" si="87"/>
        <v>0</v>
      </c>
    </row>
    <row r="100" spans="1:52" ht="27" customHeight="1">
      <c r="A100" s="300" t="s">
        <v>297</v>
      </c>
      <c r="B100" s="129" t="s">
        <v>278</v>
      </c>
      <c r="C100" s="196" t="s">
        <v>889</v>
      </c>
      <c r="D100" s="269" t="s">
        <v>270</v>
      </c>
      <c r="E100" s="189"/>
      <c r="F100" s="189"/>
      <c r="G100" s="189"/>
      <c r="H100" s="189"/>
      <c r="I100" s="189"/>
      <c r="J100" s="189"/>
      <c r="K100" s="189"/>
      <c r="L100" s="189"/>
      <c r="M100" s="311">
        <f t="shared" ref="M100" si="114">N100+N100*O100%+P100</f>
        <v>36.822895000000003</v>
      </c>
      <c r="N100" s="311">
        <v>22.339500000000001</v>
      </c>
      <c r="O100" s="311">
        <v>1</v>
      </c>
      <c r="P100" s="311">
        <v>14.26</v>
      </c>
      <c r="Q100" s="139">
        <f t="shared" si="98"/>
        <v>0</v>
      </c>
      <c r="R100" s="139">
        <f t="shared" si="99"/>
        <v>0</v>
      </c>
      <c r="S100" s="139">
        <f t="shared" si="100"/>
        <v>0</v>
      </c>
      <c r="T100" s="139">
        <f t="shared" si="101"/>
        <v>0</v>
      </c>
      <c r="U100" s="139">
        <f t="shared" si="110"/>
        <v>0</v>
      </c>
      <c r="V100" s="139">
        <f t="shared" si="111"/>
        <v>0</v>
      </c>
      <c r="W100" s="139">
        <f t="shared" si="112"/>
        <v>0</v>
      </c>
      <c r="X100" s="139">
        <f t="shared" si="113"/>
        <v>0</v>
      </c>
      <c r="Y100" s="192"/>
      <c r="Z100" s="338"/>
      <c r="AA100" s="338"/>
      <c r="AB100" s="338"/>
      <c r="AC100" s="338"/>
      <c r="AD100" s="338"/>
      <c r="AE100" s="338"/>
      <c r="AF100" s="338"/>
      <c r="AG100" s="338"/>
      <c r="AH100" s="338"/>
      <c r="AI100" s="338"/>
      <c r="AJ100" s="338"/>
      <c r="AK100" s="338"/>
      <c r="AL100" s="338"/>
      <c r="AM100" s="338"/>
      <c r="AN100" s="338"/>
      <c r="AO100" s="338"/>
      <c r="AP100" s="338"/>
      <c r="AS100" s="165">
        <v>11</v>
      </c>
      <c r="AT100" s="165" t="s">
        <v>890</v>
      </c>
      <c r="AU100" s="165" t="s">
        <v>231</v>
      </c>
      <c r="AV100" s="165">
        <v>379.23599999999999</v>
      </c>
      <c r="AW100" s="165">
        <v>280</v>
      </c>
      <c r="AX100" s="165">
        <v>2</v>
      </c>
      <c r="AY100" s="328">
        <v>93.635999999999996</v>
      </c>
      <c r="AZ100" s="328">
        <f t="shared" si="87"/>
        <v>342.41310499999997</v>
      </c>
    </row>
    <row r="101" spans="1:52" ht="30" customHeight="1">
      <c r="A101" s="300"/>
      <c r="B101" s="129">
        <v>10</v>
      </c>
      <c r="C101" s="309" t="s">
        <v>891</v>
      </c>
      <c r="D101" s="129" t="s">
        <v>270</v>
      </c>
      <c r="E101" s="151"/>
      <c r="F101" s="189"/>
      <c r="G101" s="189"/>
      <c r="H101" s="151"/>
      <c r="I101" s="189"/>
      <c r="J101" s="151"/>
      <c r="K101" s="189"/>
      <c r="L101" s="189"/>
      <c r="M101" s="311">
        <f>N101+N101*O101%+P101</f>
        <v>44.206500000000005</v>
      </c>
      <c r="N101" s="311">
        <f>9800*0.1*0.25*0.07+500*0.1*0.25</f>
        <v>29.650000000000002</v>
      </c>
      <c r="O101" s="311">
        <v>1</v>
      </c>
      <c r="P101" s="311">
        <v>14.26</v>
      </c>
      <c r="Q101" s="139">
        <f t="shared" si="98"/>
        <v>0</v>
      </c>
      <c r="R101" s="139">
        <f t="shared" si="99"/>
        <v>0</v>
      </c>
      <c r="S101" s="139">
        <f t="shared" si="100"/>
        <v>0</v>
      </c>
      <c r="T101" s="139">
        <f t="shared" si="101"/>
        <v>0</v>
      </c>
      <c r="U101" s="139">
        <f t="shared" si="110"/>
        <v>0</v>
      </c>
      <c r="V101" s="139">
        <f t="shared" si="111"/>
        <v>0</v>
      </c>
      <c r="W101" s="139">
        <f t="shared" si="112"/>
        <v>0</v>
      </c>
      <c r="X101" s="139">
        <f t="shared" si="113"/>
        <v>0</v>
      </c>
      <c r="Y101" s="192"/>
      <c r="Z101" s="338"/>
      <c r="AA101" s="338"/>
      <c r="AB101" s="338"/>
      <c r="AC101" s="338"/>
      <c r="AD101" s="338"/>
      <c r="AE101" s="338"/>
      <c r="AF101" s="338"/>
      <c r="AG101" s="338"/>
      <c r="AH101" s="338"/>
      <c r="AI101" s="338"/>
      <c r="AJ101" s="338"/>
      <c r="AK101" s="338"/>
      <c r="AL101" s="338"/>
      <c r="AM101" s="338"/>
      <c r="AN101" s="338"/>
      <c r="AO101" s="338"/>
      <c r="AP101" s="338"/>
      <c r="AS101" s="165">
        <v>10</v>
      </c>
      <c r="AT101" s="165" t="s">
        <v>892</v>
      </c>
      <c r="AU101" s="165" t="s">
        <v>270</v>
      </c>
      <c r="AV101" s="165">
        <v>44.202500000000001</v>
      </c>
      <c r="AW101" s="165">
        <v>29.65</v>
      </c>
      <c r="AX101" s="165">
        <v>1</v>
      </c>
      <c r="AY101" s="328">
        <v>14.256</v>
      </c>
      <c r="AZ101" s="328">
        <f t="shared" si="87"/>
        <v>-4.0000000000048885E-3</v>
      </c>
    </row>
    <row r="102" spans="1:52" ht="27" customHeight="1">
      <c r="A102" s="300"/>
      <c r="B102" s="129">
        <v>11</v>
      </c>
      <c r="C102" s="196" t="s">
        <v>893</v>
      </c>
      <c r="D102" s="129" t="s">
        <v>231</v>
      </c>
      <c r="E102" s="189"/>
      <c r="F102" s="189"/>
      <c r="G102" s="189"/>
      <c r="H102" s="189"/>
      <c r="I102" s="189"/>
      <c r="J102" s="189"/>
      <c r="K102" s="189"/>
      <c r="L102" s="189"/>
      <c r="M102" s="311">
        <f>N102+N102*O102%+P102</f>
        <v>379.23599999999999</v>
      </c>
      <c r="N102" s="311">
        <v>280</v>
      </c>
      <c r="O102" s="311">
        <v>2</v>
      </c>
      <c r="P102" s="311">
        <v>93.635999999999996</v>
      </c>
      <c r="Q102" s="139">
        <f t="shared" si="98"/>
        <v>0</v>
      </c>
      <c r="R102" s="139">
        <f t="shared" si="99"/>
        <v>0</v>
      </c>
      <c r="S102" s="139">
        <f t="shared" si="100"/>
        <v>0</v>
      </c>
      <c r="T102" s="139">
        <f t="shared" si="101"/>
        <v>0</v>
      </c>
      <c r="U102" s="139">
        <f t="shared" si="110"/>
        <v>0</v>
      </c>
      <c r="V102" s="139">
        <f t="shared" si="111"/>
        <v>0</v>
      </c>
      <c r="W102" s="139">
        <f t="shared" si="112"/>
        <v>0</v>
      </c>
      <c r="X102" s="139">
        <f t="shared" si="113"/>
        <v>0</v>
      </c>
      <c r="Y102" s="192"/>
      <c r="Z102" s="338"/>
      <c r="AA102" s="338"/>
      <c r="AB102" s="338"/>
      <c r="AC102" s="338"/>
      <c r="AD102" s="338"/>
      <c r="AE102" s="338"/>
      <c r="AF102" s="338"/>
      <c r="AG102" s="338"/>
      <c r="AH102" s="338"/>
      <c r="AI102" s="338"/>
      <c r="AJ102" s="338"/>
      <c r="AK102" s="338"/>
      <c r="AL102" s="338"/>
      <c r="AM102" s="338"/>
      <c r="AN102" s="338"/>
      <c r="AO102" s="338"/>
      <c r="AP102" s="338"/>
      <c r="AS102" s="165">
        <v>11</v>
      </c>
      <c r="AT102" s="165" t="s">
        <v>890</v>
      </c>
      <c r="AU102" s="165" t="s">
        <v>231</v>
      </c>
      <c r="AV102" s="165">
        <v>379.23599999999999</v>
      </c>
      <c r="AW102" s="165">
        <v>280</v>
      </c>
      <c r="AX102" s="165">
        <v>2</v>
      </c>
      <c r="AY102" s="328">
        <v>93.635999999999996</v>
      </c>
      <c r="AZ102" s="328">
        <f t="shared" si="87"/>
        <v>0</v>
      </c>
    </row>
    <row r="103" spans="1:52" ht="27" customHeight="1">
      <c r="A103" s="300" t="s">
        <v>894</v>
      </c>
      <c r="B103" s="129" t="s">
        <v>278</v>
      </c>
      <c r="C103" s="196" t="s">
        <v>895</v>
      </c>
      <c r="D103" s="347" t="s">
        <v>235</v>
      </c>
      <c r="E103" s="189"/>
      <c r="F103" s="189"/>
      <c r="G103" s="189"/>
      <c r="H103" s="189"/>
      <c r="I103" s="189"/>
      <c r="J103" s="189"/>
      <c r="K103" s="189"/>
      <c r="L103" s="189"/>
      <c r="M103" s="311">
        <f t="shared" ref="M103" si="115">N103+N103*O103%+P103</f>
        <v>40.853999999999999</v>
      </c>
      <c r="N103" s="311">
        <v>31.8</v>
      </c>
      <c r="O103" s="311">
        <v>3</v>
      </c>
      <c r="P103" s="311">
        <v>8.1</v>
      </c>
      <c r="Q103" s="139">
        <f t="shared" ref="Q103" si="116">E103*$M103</f>
        <v>0</v>
      </c>
      <c r="R103" s="139">
        <f t="shared" ref="R103" si="117">F103*$M103</f>
        <v>0</v>
      </c>
      <c r="S103" s="139">
        <f t="shared" ref="S103" si="118">G103*$M103</f>
        <v>0</v>
      </c>
      <c r="T103" s="139">
        <f t="shared" ref="T103" si="119">H103*$M103</f>
        <v>0</v>
      </c>
      <c r="U103" s="139">
        <f t="shared" si="110"/>
        <v>0</v>
      </c>
      <c r="V103" s="139">
        <f t="shared" si="111"/>
        <v>0</v>
      </c>
      <c r="W103" s="139">
        <f t="shared" si="112"/>
        <v>0</v>
      </c>
      <c r="X103" s="139">
        <f t="shared" si="113"/>
        <v>0</v>
      </c>
      <c r="Y103" s="192"/>
      <c r="Z103" s="338"/>
      <c r="AA103" s="338"/>
      <c r="AB103" s="338"/>
      <c r="AC103" s="338"/>
      <c r="AD103" s="338"/>
      <c r="AE103" s="338"/>
      <c r="AF103" s="338"/>
      <c r="AG103" s="338"/>
      <c r="AH103" s="338"/>
      <c r="AI103" s="338"/>
      <c r="AJ103" s="338"/>
      <c r="AK103" s="338"/>
      <c r="AL103" s="338"/>
      <c r="AM103" s="338"/>
      <c r="AN103" s="338"/>
      <c r="AO103" s="338"/>
      <c r="AP103" s="338"/>
      <c r="AS103" s="165">
        <v>11</v>
      </c>
      <c r="AT103" s="165" t="s">
        <v>890</v>
      </c>
      <c r="AU103" s="165" t="s">
        <v>231</v>
      </c>
      <c r="AV103" s="165">
        <v>379.23599999999999</v>
      </c>
      <c r="AW103" s="165">
        <v>280</v>
      </c>
      <c r="AX103" s="165">
        <v>2</v>
      </c>
      <c r="AY103" s="328">
        <v>93.635999999999996</v>
      </c>
      <c r="AZ103" s="328">
        <f t="shared" si="87"/>
        <v>338.38200000000001</v>
      </c>
    </row>
    <row r="104" spans="1:52" ht="27" customHeight="1">
      <c r="A104" s="300" t="s">
        <v>894</v>
      </c>
      <c r="B104" s="129" t="s">
        <v>278</v>
      </c>
      <c r="C104" s="196" t="s">
        <v>896</v>
      </c>
      <c r="D104" s="347" t="s">
        <v>235</v>
      </c>
      <c r="E104" s="189"/>
      <c r="F104" s="189"/>
      <c r="G104" s="189"/>
      <c r="H104" s="189"/>
      <c r="I104" s="189"/>
      <c r="J104" s="189"/>
      <c r="K104" s="189"/>
      <c r="L104" s="189"/>
      <c r="M104" s="311">
        <f t="shared" ref="M104" si="120">N104+N104*O104%+P104</f>
        <v>64.772000000000006</v>
      </c>
      <c r="N104" s="311">
        <v>52.4</v>
      </c>
      <c r="O104" s="311">
        <v>3</v>
      </c>
      <c r="P104" s="311">
        <v>10.8</v>
      </c>
      <c r="Q104" s="139">
        <f t="shared" ref="Q104" si="121">E104*$M104</f>
        <v>0</v>
      </c>
      <c r="R104" s="139">
        <f t="shared" ref="R104" si="122">F104*$M104</f>
        <v>0</v>
      </c>
      <c r="S104" s="139">
        <f t="shared" ref="S104" si="123">G104*$M104</f>
        <v>0</v>
      </c>
      <c r="T104" s="139">
        <f t="shared" ref="T104" si="124">H104*$M104</f>
        <v>0</v>
      </c>
      <c r="U104" s="139">
        <f t="shared" si="110"/>
        <v>0</v>
      </c>
      <c r="V104" s="139">
        <f t="shared" si="111"/>
        <v>0</v>
      </c>
      <c r="W104" s="139">
        <f t="shared" si="112"/>
        <v>0</v>
      </c>
      <c r="X104" s="139">
        <f t="shared" si="113"/>
        <v>0</v>
      </c>
      <c r="Y104" s="192"/>
      <c r="Z104" s="338"/>
      <c r="AA104" s="338"/>
      <c r="AB104" s="338"/>
      <c r="AC104" s="338"/>
      <c r="AD104" s="338"/>
      <c r="AE104" s="338"/>
      <c r="AF104" s="338"/>
      <c r="AG104" s="338"/>
      <c r="AH104" s="338"/>
      <c r="AI104" s="338"/>
      <c r="AJ104" s="338"/>
      <c r="AK104" s="338"/>
      <c r="AL104" s="338"/>
      <c r="AM104" s="338"/>
      <c r="AN104" s="338"/>
      <c r="AO104" s="338"/>
      <c r="AP104" s="338"/>
      <c r="AS104" s="165">
        <v>11</v>
      </c>
      <c r="AT104" s="165" t="s">
        <v>890</v>
      </c>
      <c r="AU104" s="165" t="s">
        <v>231</v>
      </c>
      <c r="AV104" s="165">
        <v>379.23599999999999</v>
      </c>
      <c r="AW104" s="165">
        <v>280</v>
      </c>
      <c r="AX104" s="165">
        <v>2</v>
      </c>
      <c r="AY104" s="328">
        <v>93.635999999999996</v>
      </c>
      <c r="AZ104" s="328">
        <f t="shared" ref="AZ104" si="125">AV104-M104</f>
        <v>314.464</v>
      </c>
    </row>
    <row r="105" spans="1:52" ht="27" customHeight="1">
      <c r="A105" s="300" t="s">
        <v>894</v>
      </c>
      <c r="B105" s="129" t="s">
        <v>278</v>
      </c>
      <c r="C105" s="196" t="s">
        <v>897</v>
      </c>
      <c r="D105" s="347" t="s">
        <v>235</v>
      </c>
      <c r="E105" s="189"/>
      <c r="F105" s="189"/>
      <c r="G105" s="189"/>
      <c r="H105" s="189"/>
      <c r="I105" s="189"/>
      <c r="J105" s="189"/>
      <c r="K105" s="189"/>
      <c r="L105" s="189"/>
      <c r="M105" s="311">
        <f>N105+N105*O105%+P105</f>
        <v>90.175999999999988</v>
      </c>
      <c r="N105" s="311">
        <v>69.2</v>
      </c>
      <c r="O105" s="311">
        <v>3</v>
      </c>
      <c r="P105" s="311">
        <v>18.899999999999999</v>
      </c>
      <c r="Q105" s="139">
        <f>E105*$M105</f>
        <v>0</v>
      </c>
      <c r="R105" s="139">
        <f>F105*$M105</f>
        <v>0</v>
      </c>
      <c r="S105" s="139">
        <f>G105*$M105</f>
        <v>0</v>
      </c>
      <c r="T105" s="139">
        <f>H105*$M105</f>
        <v>0</v>
      </c>
      <c r="U105" s="139">
        <f t="shared" si="110"/>
        <v>0</v>
      </c>
      <c r="V105" s="139">
        <f t="shared" si="111"/>
        <v>0</v>
      </c>
      <c r="W105" s="139">
        <f t="shared" si="112"/>
        <v>0</v>
      </c>
      <c r="X105" s="139">
        <f t="shared" si="113"/>
        <v>0</v>
      </c>
      <c r="Y105" s="192"/>
      <c r="Z105" s="338"/>
      <c r="AA105" s="338"/>
      <c r="AB105" s="338"/>
      <c r="AC105" s="338"/>
      <c r="AD105" s="338"/>
      <c r="AE105" s="338"/>
      <c r="AF105" s="338"/>
      <c r="AG105" s="338"/>
      <c r="AH105" s="338"/>
      <c r="AI105" s="338"/>
      <c r="AJ105" s="338"/>
      <c r="AK105" s="338"/>
      <c r="AL105" s="338"/>
      <c r="AM105" s="338"/>
      <c r="AN105" s="338"/>
      <c r="AO105" s="338"/>
      <c r="AP105" s="338"/>
      <c r="AS105" s="165">
        <v>11</v>
      </c>
      <c r="AT105" s="165" t="s">
        <v>890</v>
      </c>
      <c r="AU105" s="165" t="s">
        <v>231</v>
      </c>
      <c r="AV105" s="165">
        <v>379.23599999999999</v>
      </c>
      <c r="AW105" s="165">
        <v>280</v>
      </c>
      <c r="AX105" s="165">
        <v>2</v>
      </c>
      <c r="AY105" s="328">
        <v>93.635999999999996</v>
      </c>
      <c r="AZ105" s="328">
        <f t="shared" ref="AZ105:AZ135" si="126">AV105-M105</f>
        <v>289.06</v>
      </c>
    </row>
    <row r="106" spans="1:52" ht="27" customHeight="1">
      <c r="A106" s="300" t="s">
        <v>297</v>
      </c>
      <c r="B106" s="129" t="s">
        <v>278</v>
      </c>
      <c r="C106" s="196" t="s">
        <v>898</v>
      </c>
      <c r="D106" s="347" t="s">
        <v>235</v>
      </c>
      <c r="E106" s="189"/>
      <c r="F106" s="189"/>
      <c r="G106" s="189"/>
      <c r="H106" s="189"/>
      <c r="I106" s="189"/>
      <c r="J106" s="189"/>
      <c r="K106" s="189"/>
      <c r="L106" s="189"/>
      <c r="M106" s="311">
        <f t="shared" ref="M106" si="127">N106+N106*O106%+P106</f>
        <v>106.916</v>
      </c>
      <c r="N106" s="311">
        <v>69.2</v>
      </c>
      <c r="O106" s="311">
        <v>3</v>
      </c>
      <c r="P106" s="311">
        <v>35.64</v>
      </c>
      <c r="Q106" s="139">
        <f t="shared" ref="Q106" si="128">E106*$M106</f>
        <v>0</v>
      </c>
      <c r="R106" s="139">
        <f t="shared" ref="R106" si="129">F106*$M106</f>
        <v>0</v>
      </c>
      <c r="S106" s="139">
        <f t="shared" ref="S106" si="130">G106*$M106</f>
        <v>0</v>
      </c>
      <c r="T106" s="139">
        <f t="shared" ref="T106" si="131">H106*$M106</f>
        <v>0</v>
      </c>
      <c r="U106" s="139">
        <f t="shared" si="110"/>
        <v>0</v>
      </c>
      <c r="V106" s="139">
        <f t="shared" si="111"/>
        <v>0</v>
      </c>
      <c r="W106" s="139">
        <f t="shared" si="112"/>
        <v>0</v>
      </c>
      <c r="X106" s="139">
        <f t="shared" si="113"/>
        <v>0</v>
      </c>
      <c r="Y106" s="192"/>
      <c r="Z106" s="338"/>
      <c r="AA106" s="338"/>
      <c r="AB106" s="338"/>
      <c r="AC106" s="338"/>
      <c r="AD106" s="338"/>
      <c r="AE106" s="338"/>
      <c r="AF106" s="338"/>
      <c r="AG106" s="338"/>
      <c r="AH106" s="338"/>
      <c r="AI106" s="338"/>
      <c r="AJ106" s="338"/>
      <c r="AK106" s="338"/>
      <c r="AL106" s="338"/>
      <c r="AM106" s="338"/>
      <c r="AN106" s="338"/>
      <c r="AO106" s="338"/>
      <c r="AP106" s="338"/>
      <c r="AS106" s="165">
        <v>11</v>
      </c>
      <c r="AT106" s="165" t="s">
        <v>890</v>
      </c>
      <c r="AU106" s="165" t="s">
        <v>231</v>
      </c>
      <c r="AV106" s="165">
        <v>379.23599999999999</v>
      </c>
      <c r="AW106" s="165">
        <v>280</v>
      </c>
      <c r="AX106" s="165">
        <v>2</v>
      </c>
      <c r="AY106" s="328">
        <v>93.635999999999996</v>
      </c>
      <c r="AZ106" s="328">
        <f t="shared" si="126"/>
        <v>272.32</v>
      </c>
    </row>
    <row r="107" spans="1:52" ht="27" customHeight="1">
      <c r="A107" s="300" t="s">
        <v>894</v>
      </c>
      <c r="B107" s="129" t="s">
        <v>278</v>
      </c>
      <c r="C107" s="196" t="s">
        <v>899</v>
      </c>
      <c r="D107" s="269" t="s">
        <v>270</v>
      </c>
      <c r="E107" s="189"/>
      <c r="F107" s="189"/>
      <c r="G107" s="189"/>
      <c r="H107" s="189"/>
      <c r="I107" s="189"/>
      <c r="J107" s="189"/>
      <c r="K107" s="189"/>
      <c r="L107" s="189"/>
      <c r="M107" s="311">
        <f t="shared" ref="M107" si="132">N107+N107*O107%+P107</f>
        <v>34.308500000000002</v>
      </c>
      <c r="N107" s="311">
        <v>19.850000000000001</v>
      </c>
      <c r="O107" s="311">
        <v>1</v>
      </c>
      <c r="P107" s="311">
        <v>14.26</v>
      </c>
      <c r="Q107" s="139">
        <f t="shared" ref="Q107" si="133">E107*$M107</f>
        <v>0</v>
      </c>
      <c r="R107" s="139">
        <f t="shared" ref="R107" si="134">F107*$M107</f>
        <v>0</v>
      </c>
      <c r="S107" s="139">
        <f t="shared" ref="S107" si="135">G107*$M107</f>
        <v>0</v>
      </c>
      <c r="T107" s="139">
        <f t="shared" ref="T107" si="136">H107*$M107</f>
        <v>0</v>
      </c>
      <c r="U107" s="139">
        <f t="shared" si="110"/>
        <v>0</v>
      </c>
      <c r="V107" s="139">
        <f t="shared" si="111"/>
        <v>0</v>
      </c>
      <c r="W107" s="139">
        <f t="shared" si="112"/>
        <v>0</v>
      </c>
      <c r="X107" s="139">
        <f t="shared" si="113"/>
        <v>0</v>
      </c>
      <c r="Y107" s="192"/>
      <c r="Z107" s="338"/>
      <c r="AA107" s="338"/>
      <c r="AB107" s="338"/>
      <c r="AC107" s="338"/>
      <c r="AD107" s="338"/>
      <c r="AE107" s="338"/>
      <c r="AF107" s="338"/>
      <c r="AG107" s="338"/>
      <c r="AH107" s="338"/>
      <c r="AI107" s="338"/>
      <c r="AJ107" s="338"/>
      <c r="AK107" s="338"/>
      <c r="AL107" s="338"/>
      <c r="AM107" s="338"/>
      <c r="AN107" s="338"/>
      <c r="AO107" s="338"/>
      <c r="AP107" s="338"/>
      <c r="AS107" s="165">
        <v>11</v>
      </c>
      <c r="AT107" s="165" t="s">
        <v>890</v>
      </c>
      <c r="AU107" s="165" t="s">
        <v>231</v>
      </c>
      <c r="AV107" s="165">
        <v>379.23599999999999</v>
      </c>
      <c r="AW107" s="165">
        <v>280</v>
      </c>
      <c r="AX107" s="165">
        <v>2</v>
      </c>
      <c r="AY107" s="328">
        <v>93.635999999999996</v>
      </c>
      <c r="AZ107" s="328">
        <f t="shared" si="126"/>
        <v>344.92750000000001</v>
      </c>
    </row>
    <row r="108" spans="1:52" ht="27" customHeight="1">
      <c r="A108" s="300" t="s">
        <v>894</v>
      </c>
      <c r="B108" s="129" t="s">
        <v>278</v>
      </c>
      <c r="C108" s="196" t="s">
        <v>900</v>
      </c>
      <c r="D108" s="269" t="s">
        <v>270</v>
      </c>
      <c r="E108" s="189"/>
      <c r="F108" s="189"/>
      <c r="G108" s="189"/>
      <c r="H108" s="189"/>
      <c r="I108" s="189"/>
      <c r="J108" s="189"/>
      <c r="K108" s="189"/>
      <c r="L108" s="189"/>
      <c r="M108" s="311">
        <f>N108+N108*O108%+P108</f>
        <v>44.337800000000001</v>
      </c>
      <c r="N108" s="311">
        <v>29.78</v>
      </c>
      <c r="O108" s="311">
        <v>1</v>
      </c>
      <c r="P108" s="311">
        <v>14.26</v>
      </c>
      <c r="Q108" s="139">
        <f t="shared" ref="Q108" si="137">E108*$M108</f>
        <v>0</v>
      </c>
      <c r="R108" s="139">
        <f t="shared" ref="R108:R133" si="138">F108*$M108</f>
        <v>0</v>
      </c>
      <c r="S108" s="139">
        <f t="shared" ref="S108:S133" si="139">G108*$M108</f>
        <v>0</v>
      </c>
      <c r="T108" s="139">
        <f t="shared" ref="T108:T133" si="140">H108*$M108</f>
        <v>0</v>
      </c>
      <c r="U108" s="139">
        <f t="shared" si="110"/>
        <v>0</v>
      </c>
      <c r="V108" s="139">
        <f t="shared" si="111"/>
        <v>0</v>
      </c>
      <c r="W108" s="139">
        <f t="shared" si="112"/>
        <v>0</v>
      </c>
      <c r="X108" s="139">
        <f t="shared" si="113"/>
        <v>0</v>
      </c>
      <c r="Y108" s="192"/>
      <c r="Z108" s="338"/>
      <c r="AA108" s="338"/>
      <c r="AB108" s="338"/>
      <c r="AC108" s="338"/>
      <c r="AD108" s="338"/>
      <c r="AE108" s="338"/>
      <c r="AF108" s="338"/>
      <c r="AG108" s="338"/>
      <c r="AH108" s="338"/>
      <c r="AI108" s="338"/>
      <c r="AJ108" s="338"/>
      <c r="AK108" s="338"/>
      <c r="AL108" s="338"/>
      <c r="AM108" s="338"/>
      <c r="AN108" s="338"/>
      <c r="AO108" s="338"/>
      <c r="AP108" s="338"/>
      <c r="AS108" s="165">
        <v>11</v>
      </c>
      <c r="AT108" s="165" t="s">
        <v>890</v>
      </c>
      <c r="AU108" s="165" t="s">
        <v>231</v>
      </c>
      <c r="AV108" s="165">
        <v>379.23599999999999</v>
      </c>
      <c r="AW108" s="165">
        <v>280</v>
      </c>
      <c r="AX108" s="165">
        <v>2</v>
      </c>
      <c r="AY108" s="328">
        <v>93.635999999999996</v>
      </c>
      <c r="AZ108" s="328">
        <f t="shared" si="126"/>
        <v>334.89819999999997</v>
      </c>
    </row>
    <row r="109" spans="1:52" ht="27" customHeight="1">
      <c r="A109" s="300" t="s">
        <v>894</v>
      </c>
      <c r="B109" s="129" t="s">
        <v>278</v>
      </c>
      <c r="C109" s="196" t="s">
        <v>901</v>
      </c>
      <c r="D109" s="269" t="s">
        <v>270</v>
      </c>
      <c r="E109" s="189"/>
      <c r="F109" s="189"/>
      <c r="G109" s="189"/>
      <c r="H109" s="189"/>
      <c r="I109" s="189"/>
      <c r="J109" s="189"/>
      <c r="K109" s="189"/>
      <c r="L109" s="189"/>
      <c r="M109" s="311">
        <f t="shared" ref="M109" si="141">N109+N109*O109%+P109</f>
        <v>28.298999999999999</v>
      </c>
      <c r="N109" s="311">
        <v>13.9</v>
      </c>
      <c r="O109" s="311">
        <v>1</v>
      </c>
      <c r="P109" s="311">
        <v>14.26</v>
      </c>
      <c r="Q109" s="139">
        <f t="shared" ref="Q109:Q133" si="142">E109*$M109</f>
        <v>0</v>
      </c>
      <c r="R109" s="139">
        <f t="shared" si="138"/>
        <v>0</v>
      </c>
      <c r="S109" s="139">
        <f t="shared" si="139"/>
        <v>0</v>
      </c>
      <c r="T109" s="139">
        <f t="shared" si="140"/>
        <v>0</v>
      </c>
      <c r="U109" s="139">
        <f t="shared" si="110"/>
        <v>0</v>
      </c>
      <c r="V109" s="139">
        <f t="shared" si="111"/>
        <v>0</v>
      </c>
      <c r="W109" s="139">
        <f t="shared" si="112"/>
        <v>0</v>
      </c>
      <c r="X109" s="139">
        <f t="shared" si="113"/>
        <v>0</v>
      </c>
      <c r="Y109" s="192"/>
      <c r="Z109" s="338"/>
      <c r="AA109" s="338"/>
      <c r="AB109" s="338"/>
      <c r="AC109" s="338"/>
      <c r="AD109" s="338"/>
      <c r="AE109" s="338"/>
      <c r="AF109" s="338"/>
      <c r="AG109" s="338"/>
      <c r="AH109" s="338"/>
      <c r="AI109" s="338"/>
      <c r="AJ109" s="338"/>
      <c r="AK109" s="338"/>
      <c r="AL109" s="338"/>
      <c r="AM109" s="338"/>
      <c r="AN109" s="338"/>
      <c r="AO109" s="338"/>
      <c r="AP109" s="338"/>
      <c r="AS109" s="165">
        <v>11</v>
      </c>
      <c r="AT109" s="165" t="s">
        <v>890</v>
      </c>
      <c r="AU109" s="165" t="s">
        <v>231</v>
      </c>
      <c r="AV109" s="165">
        <v>379.23599999999999</v>
      </c>
      <c r="AW109" s="165">
        <v>280</v>
      </c>
      <c r="AX109" s="165">
        <v>2</v>
      </c>
      <c r="AY109" s="328">
        <v>93.635999999999996</v>
      </c>
      <c r="AZ109" s="328">
        <f t="shared" si="126"/>
        <v>350.93700000000001</v>
      </c>
    </row>
    <row r="110" spans="1:52" ht="33" customHeight="1">
      <c r="A110" s="300"/>
      <c r="B110" s="129"/>
      <c r="C110" s="266" t="s">
        <v>703</v>
      </c>
      <c r="D110" s="129"/>
      <c r="E110" s="151"/>
      <c r="F110" s="189"/>
      <c r="G110" s="189"/>
      <c r="H110" s="151"/>
      <c r="I110" s="189"/>
      <c r="J110" s="151"/>
      <c r="K110" s="189"/>
      <c r="L110" s="189"/>
      <c r="M110" s="311">
        <f t="shared" ref="M110:M133" si="143">N110+N110*O110%+P110</f>
        <v>0</v>
      </c>
      <c r="N110" s="311"/>
      <c r="O110" s="311"/>
      <c r="P110" s="311"/>
      <c r="Q110" s="139">
        <f t="shared" si="142"/>
        <v>0</v>
      </c>
      <c r="R110" s="139">
        <f t="shared" si="138"/>
        <v>0</v>
      </c>
      <c r="S110" s="139">
        <f t="shared" si="139"/>
        <v>0</v>
      </c>
      <c r="T110" s="139">
        <f t="shared" si="140"/>
        <v>0</v>
      </c>
      <c r="U110" s="139">
        <f t="shared" si="110"/>
        <v>0</v>
      </c>
      <c r="V110" s="139">
        <f t="shared" si="111"/>
        <v>0</v>
      </c>
      <c r="W110" s="139">
        <f t="shared" si="112"/>
        <v>0</v>
      </c>
      <c r="X110" s="139">
        <f t="shared" si="113"/>
        <v>0</v>
      </c>
      <c r="Y110" s="192"/>
      <c r="Z110" s="338"/>
      <c r="AA110" s="338"/>
      <c r="AB110" s="338"/>
      <c r="AC110" s="338"/>
      <c r="AD110" s="338"/>
      <c r="AE110" s="338"/>
      <c r="AF110" s="338"/>
      <c r="AG110" s="338"/>
      <c r="AH110" s="338"/>
      <c r="AI110" s="338"/>
      <c r="AJ110" s="338"/>
      <c r="AK110" s="338"/>
      <c r="AL110" s="338"/>
      <c r="AM110" s="338"/>
      <c r="AN110" s="338"/>
      <c r="AO110" s="338"/>
      <c r="AP110" s="338"/>
      <c r="AS110" s="165"/>
      <c r="AT110" s="165" t="s">
        <v>703</v>
      </c>
      <c r="AU110" s="165"/>
      <c r="AV110" s="165">
        <v>0</v>
      </c>
      <c r="AW110" s="165"/>
      <c r="AX110" s="165"/>
      <c r="AY110" s="328"/>
      <c r="AZ110" s="328">
        <f t="shared" si="126"/>
        <v>0</v>
      </c>
    </row>
    <row r="111" spans="1:52" ht="33" customHeight="1">
      <c r="A111" s="300"/>
      <c r="B111" s="129">
        <v>1</v>
      </c>
      <c r="C111" s="196" t="s">
        <v>707</v>
      </c>
      <c r="D111" s="129" t="s">
        <v>231</v>
      </c>
      <c r="E111" s="189"/>
      <c r="F111" s="189"/>
      <c r="G111" s="189"/>
      <c r="H111" s="189"/>
      <c r="I111" s="189"/>
      <c r="J111" s="189"/>
      <c r="K111" s="189"/>
      <c r="L111" s="189"/>
      <c r="M111" s="311">
        <f t="shared" si="143"/>
        <v>58.5</v>
      </c>
      <c r="N111" s="311">
        <v>30</v>
      </c>
      <c r="O111" s="311">
        <v>5</v>
      </c>
      <c r="P111" s="311">
        <v>27</v>
      </c>
      <c r="Q111" s="139">
        <f t="shared" si="142"/>
        <v>0</v>
      </c>
      <c r="R111" s="139">
        <f t="shared" si="138"/>
        <v>0</v>
      </c>
      <c r="S111" s="139">
        <f t="shared" si="139"/>
        <v>0</v>
      </c>
      <c r="T111" s="139">
        <f t="shared" si="140"/>
        <v>0</v>
      </c>
      <c r="U111" s="139">
        <f t="shared" si="110"/>
        <v>0</v>
      </c>
      <c r="V111" s="139">
        <f t="shared" si="111"/>
        <v>0</v>
      </c>
      <c r="W111" s="139">
        <f t="shared" si="112"/>
        <v>0</v>
      </c>
      <c r="X111" s="139">
        <f t="shared" si="113"/>
        <v>0</v>
      </c>
      <c r="Y111" s="192"/>
      <c r="Z111" s="338"/>
      <c r="AA111" s="338"/>
      <c r="AB111" s="338"/>
      <c r="AC111" s="338"/>
      <c r="AD111" s="338"/>
      <c r="AE111" s="338"/>
      <c r="AF111" s="338"/>
      <c r="AG111" s="338"/>
      <c r="AH111" s="338"/>
      <c r="AI111" s="338"/>
      <c r="AJ111" s="338"/>
      <c r="AK111" s="338"/>
      <c r="AL111" s="338"/>
      <c r="AM111" s="338"/>
      <c r="AN111" s="338"/>
      <c r="AO111" s="338"/>
      <c r="AP111" s="338"/>
      <c r="AS111" s="165">
        <v>1</v>
      </c>
      <c r="AT111" s="165" t="s">
        <v>707</v>
      </c>
      <c r="AU111" s="165" t="s">
        <v>231</v>
      </c>
      <c r="AV111" s="165">
        <v>58.5</v>
      </c>
      <c r="AW111" s="165">
        <v>30</v>
      </c>
      <c r="AX111" s="165">
        <v>5</v>
      </c>
      <c r="AY111" s="328">
        <v>27</v>
      </c>
      <c r="AZ111" s="328">
        <f t="shared" si="126"/>
        <v>0</v>
      </c>
    </row>
    <row r="112" spans="1:52" ht="33" customHeight="1">
      <c r="A112" s="300"/>
      <c r="B112" s="129">
        <v>2</v>
      </c>
      <c r="C112" s="196" t="s">
        <v>902</v>
      </c>
      <c r="D112" s="129" t="s">
        <v>231</v>
      </c>
      <c r="E112" s="151"/>
      <c r="F112" s="189"/>
      <c r="G112" s="189"/>
      <c r="H112" s="151"/>
      <c r="I112" s="189"/>
      <c r="J112" s="151"/>
      <c r="K112" s="189"/>
      <c r="L112" s="189"/>
      <c r="M112" s="311">
        <f t="shared" si="143"/>
        <v>562.92240000000004</v>
      </c>
      <c r="N112" s="311">
        <v>280</v>
      </c>
      <c r="O112" s="311">
        <v>2</v>
      </c>
      <c r="P112" s="311">
        <v>277.32240000000002</v>
      </c>
      <c r="Q112" s="139">
        <f t="shared" si="142"/>
        <v>0</v>
      </c>
      <c r="R112" s="139">
        <f t="shared" si="138"/>
        <v>0</v>
      </c>
      <c r="S112" s="139">
        <f t="shared" si="139"/>
        <v>0</v>
      </c>
      <c r="T112" s="139">
        <f t="shared" si="140"/>
        <v>0</v>
      </c>
      <c r="U112" s="139">
        <f t="shared" si="110"/>
        <v>0</v>
      </c>
      <c r="V112" s="139">
        <f t="shared" si="111"/>
        <v>0</v>
      </c>
      <c r="W112" s="139">
        <f t="shared" si="112"/>
        <v>0</v>
      </c>
      <c r="X112" s="139">
        <f t="shared" si="113"/>
        <v>0</v>
      </c>
      <c r="Y112" s="349"/>
      <c r="Z112" s="338"/>
      <c r="AA112" s="338"/>
      <c r="AB112" s="338"/>
      <c r="AC112" s="338"/>
      <c r="AD112" s="338"/>
      <c r="AE112" s="338"/>
      <c r="AF112" s="338"/>
      <c r="AG112" s="338"/>
      <c r="AH112" s="338"/>
      <c r="AI112" s="338"/>
      <c r="AJ112" s="338"/>
      <c r="AK112" s="338"/>
      <c r="AL112" s="338"/>
      <c r="AM112" s="338"/>
      <c r="AN112" s="338"/>
      <c r="AO112" s="338"/>
      <c r="AP112" s="338"/>
      <c r="AS112" s="165">
        <v>2</v>
      </c>
      <c r="AT112" s="165" t="s">
        <v>902</v>
      </c>
      <c r="AU112" s="165" t="s">
        <v>231</v>
      </c>
      <c r="AV112" s="165">
        <v>562.92240000000004</v>
      </c>
      <c r="AW112" s="165">
        <v>280</v>
      </c>
      <c r="AX112" s="165">
        <v>2</v>
      </c>
      <c r="AY112" s="328">
        <v>277.32240000000002</v>
      </c>
      <c r="AZ112" s="328">
        <f t="shared" si="126"/>
        <v>0</v>
      </c>
    </row>
    <row r="113" spans="1:52" ht="33" customHeight="1">
      <c r="A113" s="300"/>
      <c r="B113" s="129">
        <v>3</v>
      </c>
      <c r="C113" s="196" t="s">
        <v>903</v>
      </c>
      <c r="D113" s="129" t="s">
        <v>231</v>
      </c>
      <c r="E113" s="189"/>
      <c r="F113" s="189"/>
      <c r="G113" s="189"/>
      <c r="H113" s="189"/>
      <c r="I113" s="189"/>
      <c r="J113" s="189"/>
      <c r="K113" s="189"/>
      <c r="L113" s="189"/>
      <c r="M113" s="311">
        <f t="shared" si="143"/>
        <v>379.24</v>
      </c>
      <c r="N113" s="311">
        <v>280</v>
      </c>
      <c r="O113" s="311">
        <v>2</v>
      </c>
      <c r="P113" s="311">
        <v>93.64</v>
      </c>
      <c r="Q113" s="139">
        <f t="shared" si="142"/>
        <v>0</v>
      </c>
      <c r="R113" s="139">
        <f t="shared" si="138"/>
        <v>0</v>
      </c>
      <c r="S113" s="139">
        <f t="shared" si="139"/>
        <v>0</v>
      </c>
      <c r="T113" s="139">
        <f t="shared" si="140"/>
        <v>0</v>
      </c>
      <c r="U113" s="139">
        <f t="shared" si="110"/>
        <v>0</v>
      </c>
      <c r="V113" s="139">
        <f t="shared" si="111"/>
        <v>0</v>
      </c>
      <c r="W113" s="139">
        <f t="shared" si="112"/>
        <v>0</v>
      </c>
      <c r="X113" s="139">
        <f t="shared" si="113"/>
        <v>0</v>
      </c>
      <c r="Y113" s="349"/>
      <c r="Z113" s="338"/>
      <c r="AA113" s="338"/>
      <c r="AB113" s="338"/>
      <c r="AC113" s="338"/>
      <c r="AD113" s="338"/>
      <c r="AE113" s="338"/>
      <c r="AF113" s="338"/>
      <c r="AG113" s="338"/>
      <c r="AH113" s="338"/>
      <c r="AI113" s="338"/>
      <c r="AJ113" s="338"/>
      <c r="AK113" s="338"/>
      <c r="AL113" s="338"/>
      <c r="AM113" s="338"/>
      <c r="AN113" s="338"/>
      <c r="AO113" s="338"/>
      <c r="AP113" s="338"/>
      <c r="AS113" s="165">
        <v>3</v>
      </c>
      <c r="AT113" s="165" t="s">
        <v>903</v>
      </c>
      <c r="AU113" s="165" t="s">
        <v>231</v>
      </c>
      <c r="AV113" s="165">
        <v>379.24</v>
      </c>
      <c r="AW113" s="165">
        <v>280</v>
      </c>
      <c r="AX113" s="165">
        <v>2</v>
      </c>
      <c r="AY113" s="328">
        <v>93.64</v>
      </c>
      <c r="AZ113" s="328">
        <f t="shared" si="126"/>
        <v>0</v>
      </c>
    </row>
    <row r="114" spans="1:52" ht="33" customHeight="1">
      <c r="A114" s="300"/>
      <c r="B114" s="129">
        <v>4</v>
      </c>
      <c r="C114" s="196" t="s">
        <v>904</v>
      </c>
      <c r="D114" s="129" t="s">
        <v>231</v>
      </c>
      <c r="E114" s="151"/>
      <c r="F114" s="189"/>
      <c r="G114" s="189"/>
      <c r="H114" s="151"/>
      <c r="I114" s="189"/>
      <c r="J114" s="151"/>
      <c r="K114" s="189"/>
      <c r="L114" s="189"/>
      <c r="M114" s="311">
        <f t="shared" si="143"/>
        <v>322.89999999999998</v>
      </c>
      <c r="N114" s="311">
        <v>250</v>
      </c>
      <c r="O114" s="311">
        <v>5</v>
      </c>
      <c r="P114" s="311">
        <v>60.4</v>
      </c>
      <c r="Q114" s="139">
        <f t="shared" si="142"/>
        <v>0</v>
      </c>
      <c r="R114" s="139">
        <f t="shared" si="138"/>
        <v>0</v>
      </c>
      <c r="S114" s="139">
        <f t="shared" si="139"/>
        <v>0</v>
      </c>
      <c r="T114" s="139">
        <f t="shared" si="140"/>
        <v>0</v>
      </c>
      <c r="U114" s="139">
        <f t="shared" si="110"/>
        <v>0</v>
      </c>
      <c r="V114" s="139">
        <f t="shared" si="111"/>
        <v>0</v>
      </c>
      <c r="W114" s="139">
        <f t="shared" si="112"/>
        <v>0</v>
      </c>
      <c r="X114" s="139">
        <f t="shared" si="113"/>
        <v>0</v>
      </c>
      <c r="Y114" s="192"/>
      <c r="Z114" s="338"/>
      <c r="AA114" s="338"/>
      <c r="AB114" s="338"/>
      <c r="AC114" s="338"/>
      <c r="AD114" s="338"/>
      <c r="AE114" s="338"/>
      <c r="AF114" s="338"/>
      <c r="AG114" s="338"/>
      <c r="AH114" s="338"/>
      <c r="AI114" s="338"/>
      <c r="AJ114" s="338"/>
      <c r="AK114" s="338"/>
      <c r="AL114" s="338"/>
      <c r="AM114" s="338"/>
      <c r="AN114" s="338"/>
      <c r="AO114" s="338"/>
      <c r="AP114" s="338"/>
      <c r="AS114" s="165">
        <v>4</v>
      </c>
      <c r="AT114" s="165" t="s">
        <v>904</v>
      </c>
      <c r="AU114" s="165" t="s">
        <v>231</v>
      </c>
      <c r="AV114" s="165">
        <v>322.89999999999998</v>
      </c>
      <c r="AW114" s="165">
        <v>250</v>
      </c>
      <c r="AX114" s="165">
        <v>5</v>
      </c>
      <c r="AY114" s="328">
        <v>60.4</v>
      </c>
      <c r="AZ114" s="328">
        <f t="shared" si="126"/>
        <v>0</v>
      </c>
    </row>
    <row r="115" spans="1:52" ht="33" customHeight="1">
      <c r="A115" s="300"/>
      <c r="B115" s="129">
        <v>5</v>
      </c>
      <c r="C115" s="196" t="s">
        <v>905</v>
      </c>
      <c r="D115" s="129" t="s">
        <v>235</v>
      </c>
      <c r="E115" s="189"/>
      <c r="F115" s="189"/>
      <c r="G115" s="189"/>
      <c r="H115" s="189"/>
      <c r="I115" s="189"/>
      <c r="J115" s="189"/>
      <c r="K115" s="189"/>
      <c r="L115" s="189"/>
      <c r="M115" s="311">
        <f t="shared" si="143"/>
        <v>57</v>
      </c>
      <c r="N115" s="311">
        <v>20</v>
      </c>
      <c r="O115" s="311">
        <v>10</v>
      </c>
      <c r="P115" s="311">
        <v>35</v>
      </c>
      <c r="Q115" s="139">
        <f t="shared" si="142"/>
        <v>0</v>
      </c>
      <c r="R115" s="139">
        <f t="shared" si="138"/>
        <v>0</v>
      </c>
      <c r="S115" s="139">
        <f t="shared" si="139"/>
        <v>0</v>
      </c>
      <c r="T115" s="139">
        <f t="shared" si="140"/>
        <v>0</v>
      </c>
      <c r="U115" s="139">
        <f t="shared" si="110"/>
        <v>0</v>
      </c>
      <c r="V115" s="139">
        <f t="shared" si="111"/>
        <v>0</v>
      </c>
      <c r="W115" s="139">
        <f t="shared" si="112"/>
        <v>0</v>
      </c>
      <c r="X115" s="139">
        <f t="shared" si="113"/>
        <v>0</v>
      </c>
      <c r="Y115" s="192"/>
      <c r="Z115" s="338"/>
      <c r="AA115" s="338"/>
      <c r="AB115" s="338"/>
      <c r="AC115" s="338"/>
      <c r="AD115" s="338"/>
      <c r="AE115" s="338"/>
      <c r="AF115" s="338"/>
      <c r="AG115" s="338"/>
      <c r="AH115" s="338"/>
      <c r="AI115" s="338"/>
      <c r="AJ115" s="338"/>
      <c r="AK115" s="338"/>
      <c r="AL115" s="338"/>
      <c r="AM115" s="338"/>
      <c r="AN115" s="338"/>
      <c r="AO115" s="338"/>
      <c r="AP115" s="338"/>
      <c r="AS115" s="165">
        <v>5</v>
      </c>
      <c r="AT115" s="165" t="s">
        <v>905</v>
      </c>
      <c r="AU115" s="165" t="s">
        <v>235</v>
      </c>
      <c r="AV115" s="165">
        <v>57</v>
      </c>
      <c r="AW115" s="165">
        <v>20</v>
      </c>
      <c r="AX115" s="165">
        <v>10</v>
      </c>
      <c r="AY115" s="328">
        <v>35</v>
      </c>
      <c r="AZ115" s="328">
        <f t="shared" si="126"/>
        <v>0</v>
      </c>
    </row>
    <row r="116" spans="1:52" ht="33" customHeight="1">
      <c r="A116" s="300"/>
      <c r="B116" s="129">
        <v>6</v>
      </c>
      <c r="C116" s="196" t="s">
        <v>906</v>
      </c>
      <c r="D116" s="129" t="s">
        <v>231</v>
      </c>
      <c r="E116" s="151"/>
      <c r="F116" s="189"/>
      <c r="G116" s="189"/>
      <c r="H116" s="151"/>
      <c r="I116" s="189"/>
      <c r="J116" s="151"/>
      <c r="K116" s="189"/>
      <c r="L116" s="189"/>
      <c r="M116" s="311">
        <f t="shared" si="143"/>
        <v>21.43271</v>
      </c>
      <c r="N116" s="311">
        <f>N17</f>
        <v>2.2087100000000004</v>
      </c>
      <c r="O116" s="311">
        <v>0</v>
      </c>
      <c r="P116" s="311">
        <v>19.224</v>
      </c>
      <c r="Q116" s="139">
        <f t="shared" si="142"/>
        <v>0</v>
      </c>
      <c r="R116" s="139">
        <f t="shared" si="138"/>
        <v>0</v>
      </c>
      <c r="S116" s="139">
        <f t="shared" si="139"/>
        <v>0</v>
      </c>
      <c r="T116" s="139">
        <f t="shared" si="140"/>
        <v>0</v>
      </c>
      <c r="U116" s="139">
        <f t="shared" si="110"/>
        <v>0</v>
      </c>
      <c r="V116" s="139">
        <f t="shared" si="111"/>
        <v>0</v>
      </c>
      <c r="W116" s="139">
        <f t="shared" si="112"/>
        <v>0</v>
      </c>
      <c r="X116" s="139">
        <f t="shared" si="113"/>
        <v>0</v>
      </c>
      <c r="Y116" s="192" t="s">
        <v>244</v>
      </c>
      <c r="Z116" s="338">
        <f>Q116</f>
        <v>0</v>
      </c>
      <c r="AA116" s="338">
        <f t="shared" ref="AA116" si="144">R116</f>
        <v>0</v>
      </c>
      <c r="AB116" s="338">
        <f t="shared" ref="AB116:AG116" si="145">S116</f>
        <v>0</v>
      </c>
      <c r="AC116" s="338">
        <f t="shared" si="145"/>
        <v>0</v>
      </c>
      <c r="AD116" s="338">
        <f t="shared" si="145"/>
        <v>0</v>
      </c>
      <c r="AE116" s="338">
        <f t="shared" si="145"/>
        <v>0</v>
      </c>
      <c r="AF116" s="338">
        <f t="shared" si="145"/>
        <v>0</v>
      </c>
      <c r="AG116" s="338">
        <f t="shared" si="145"/>
        <v>0</v>
      </c>
      <c r="AH116" s="338"/>
      <c r="AI116" s="338">
        <f>E116*$N116*(1+$O116%)</f>
        <v>0</v>
      </c>
      <c r="AJ116" s="338">
        <f t="shared" ref="AJ116" si="146">F116*$N116*(1+$O116%)</f>
        <v>0</v>
      </c>
      <c r="AK116" s="338">
        <f t="shared" ref="AK116:AP116" si="147">G116*$N116*(1+$O116%)</f>
        <v>0</v>
      </c>
      <c r="AL116" s="338">
        <f t="shared" si="147"/>
        <v>0</v>
      </c>
      <c r="AM116" s="338">
        <f t="shared" si="147"/>
        <v>0</v>
      </c>
      <c r="AN116" s="338">
        <f t="shared" si="147"/>
        <v>0</v>
      </c>
      <c r="AO116" s="338">
        <f t="shared" si="147"/>
        <v>0</v>
      </c>
      <c r="AP116" s="338">
        <f t="shared" si="147"/>
        <v>0</v>
      </c>
      <c r="AS116" s="165">
        <v>6</v>
      </c>
      <c r="AT116" s="165" t="s">
        <v>906</v>
      </c>
      <c r="AU116" s="165" t="s">
        <v>231</v>
      </c>
      <c r="AV116" s="165">
        <v>21.859439999999999</v>
      </c>
      <c r="AW116" s="165">
        <v>2.63544</v>
      </c>
      <c r="AX116" s="165">
        <v>0</v>
      </c>
      <c r="AY116" s="328">
        <v>19.224</v>
      </c>
      <c r="AZ116" s="328">
        <f t="shared" si="126"/>
        <v>0.42672999999999917</v>
      </c>
    </row>
    <row r="117" spans="1:52" ht="33" customHeight="1">
      <c r="A117" s="300"/>
      <c r="B117" s="129"/>
      <c r="C117" s="266" t="s">
        <v>708</v>
      </c>
      <c r="D117" s="129"/>
      <c r="E117" s="189"/>
      <c r="F117" s="189"/>
      <c r="G117" s="189"/>
      <c r="H117" s="189"/>
      <c r="I117" s="189"/>
      <c r="J117" s="189"/>
      <c r="K117" s="189"/>
      <c r="L117" s="189"/>
      <c r="M117" s="311">
        <f t="shared" si="143"/>
        <v>0</v>
      </c>
      <c r="N117" s="311"/>
      <c r="O117" s="311"/>
      <c r="P117" s="311"/>
      <c r="Q117" s="139">
        <f t="shared" si="142"/>
        <v>0</v>
      </c>
      <c r="R117" s="139">
        <f t="shared" si="138"/>
        <v>0</v>
      </c>
      <c r="S117" s="139">
        <f t="shared" si="139"/>
        <v>0</v>
      </c>
      <c r="T117" s="139">
        <f t="shared" si="140"/>
        <v>0</v>
      </c>
      <c r="U117" s="139">
        <f t="shared" si="110"/>
        <v>0</v>
      </c>
      <c r="V117" s="139">
        <f t="shared" si="111"/>
        <v>0</v>
      </c>
      <c r="W117" s="139">
        <f t="shared" si="112"/>
        <v>0</v>
      </c>
      <c r="X117" s="139">
        <f t="shared" si="113"/>
        <v>0</v>
      </c>
      <c r="Y117" s="192"/>
      <c r="Z117" s="338"/>
      <c r="AA117" s="338"/>
      <c r="AB117" s="338"/>
      <c r="AC117" s="338"/>
      <c r="AD117" s="338"/>
      <c r="AE117" s="338"/>
      <c r="AF117" s="338"/>
      <c r="AG117" s="338"/>
      <c r="AH117" s="338"/>
      <c r="AI117" s="338"/>
      <c r="AJ117" s="338"/>
      <c r="AK117" s="338"/>
      <c r="AL117" s="338"/>
      <c r="AM117" s="338"/>
      <c r="AN117" s="338"/>
      <c r="AO117" s="338"/>
      <c r="AP117" s="338"/>
      <c r="AS117" s="165"/>
      <c r="AT117" s="165" t="s">
        <v>708</v>
      </c>
      <c r="AU117" s="165"/>
      <c r="AV117" s="165">
        <v>0</v>
      </c>
      <c r="AW117" s="165"/>
      <c r="AX117" s="165"/>
      <c r="AY117" s="328"/>
      <c r="AZ117" s="328">
        <f t="shared" si="126"/>
        <v>0</v>
      </c>
    </row>
    <row r="118" spans="1:52" ht="33" customHeight="1">
      <c r="A118" s="300"/>
      <c r="B118" s="129">
        <v>1</v>
      </c>
      <c r="C118" s="196" t="s">
        <v>907</v>
      </c>
      <c r="D118" s="129" t="s">
        <v>231</v>
      </c>
      <c r="E118" s="151"/>
      <c r="F118" s="189"/>
      <c r="G118" s="189"/>
      <c r="H118" s="151"/>
      <c r="I118" s="189"/>
      <c r="J118" s="151"/>
      <c r="K118" s="189"/>
      <c r="L118" s="189"/>
      <c r="M118" s="311">
        <f t="shared" si="143"/>
        <v>549.9</v>
      </c>
      <c r="N118" s="311">
        <v>450</v>
      </c>
      <c r="O118" s="311">
        <v>3</v>
      </c>
      <c r="P118" s="311">
        <v>86.4</v>
      </c>
      <c r="Q118" s="139">
        <f t="shared" si="142"/>
        <v>0</v>
      </c>
      <c r="R118" s="139">
        <f t="shared" si="138"/>
        <v>0</v>
      </c>
      <c r="S118" s="139">
        <f t="shared" si="139"/>
        <v>0</v>
      </c>
      <c r="T118" s="139">
        <f t="shared" si="140"/>
        <v>0</v>
      </c>
      <c r="U118" s="139">
        <f t="shared" si="110"/>
        <v>0</v>
      </c>
      <c r="V118" s="139">
        <f t="shared" si="111"/>
        <v>0</v>
      </c>
      <c r="W118" s="139">
        <f t="shared" si="112"/>
        <v>0</v>
      </c>
      <c r="X118" s="139">
        <f t="shared" si="113"/>
        <v>0</v>
      </c>
      <c r="Y118" s="192"/>
      <c r="Z118" s="338"/>
      <c r="AA118" s="338"/>
      <c r="AB118" s="338"/>
      <c r="AC118" s="338"/>
      <c r="AD118" s="338"/>
      <c r="AE118" s="338"/>
      <c r="AF118" s="338"/>
      <c r="AG118" s="338"/>
      <c r="AH118" s="338"/>
      <c r="AI118" s="338"/>
      <c r="AJ118" s="338"/>
      <c r="AK118" s="338"/>
      <c r="AL118" s="338"/>
      <c r="AM118" s="338"/>
      <c r="AN118" s="338"/>
      <c r="AO118" s="338"/>
      <c r="AP118" s="338"/>
      <c r="AS118" s="165">
        <v>1</v>
      </c>
      <c r="AT118" s="165" t="s">
        <v>907</v>
      </c>
      <c r="AU118" s="165" t="s">
        <v>231</v>
      </c>
      <c r="AV118" s="165">
        <v>549.9</v>
      </c>
      <c r="AW118" s="165">
        <v>450</v>
      </c>
      <c r="AX118" s="165">
        <v>3</v>
      </c>
      <c r="AY118" s="328">
        <v>86.4</v>
      </c>
      <c r="AZ118" s="328">
        <f t="shared" si="126"/>
        <v>0</v>
      </c>
    </row>
    <row r="119" spans="1:52" ht="33" customHeight="1">
      <c r="A119" s="300"/>
      <c r="B119" s="129">
        <v>2</v>
      </c>
      <c r="C119" s="196" t="s">
        <v>908</v>
      </c>
      <c r="D119" s="129" t="s">
        <v>231</v>
      </c>
      <c r="E119" s="189"/>
      <c r="F119" s="189"/>
      <c r="G119" s="189"/>
      <c r="H119" s="189"/>
      <c r="I119" s="189"/>
      <c r="J119" s="189"/>
      <c r="K119" s="189"/>
      <c r="L119" s="189"/>
      <c r="M119" s="311">
        <f t="shared" si="143"/>
        <v>179.10000000000002</v>
      </c>
      <c r="N119" s="311">
        <v>90</v>
      </c>
      <c r="O119" s="311">
        <v>3</v>
      </c>
      <c r="P119" s="311">
        <v>86.4</v>
      </c>
      <c r="Q119" s="139">
        <f t="shared" si="142"/>
        <v>0</v>
      </c>
      <c r="R119" s="139">
        <f t="shared" si="138"/>
        <v>0</v>
      </c>
      <c r="S119" s="139">
        <f t="shared" si="139"/>
        <v>0</v>
      </c>
      <c r="T119" s="139">
        <f t="shared" si="140"/>
        <v>0</v>
      </c>
      <c r="U119" s="139">
        <f t="shared" si="110"/>
        <v>0</v>
      </c>
      <c r="V119" s="139">
        <f t="shared" si="111"/>
        <v>0</v>
      </c>
      <c r="W119" s="139">
        <f t="shared" si="112"/>
        <v>0</v>
      </c>
      <c r="X119" s="139">
        <f t="shared" si="113"/>
        <v>0</v>
      </c>
      <c r="Y119" s="192"/>
      <c r="Z119" s="338"/>
      <c r="AA119" s="338"/>
      <c r="AB119" s="338"/>
      <c r="AC119" s="338"/>
      <c r="AD119" s="338"/>
      <c r="AE119" s="338"/>
      <c r="AF119" s="338"/>
      <c r="AG119" s="338"/>
      <c r="AH119" s="338"/>
      <c r="AI119" s="338"/>
      <c r="AJ119" s="338"/>
      <c r="AK119" s="338"/>
      <c r="AL119" s="338"/>
      <c r="AM119" s="338"/>
      <c r="AN119" s="338"/>
      <c r="AO119" s="338"/>
      <c r="AP119" s="338"/>
      <c r="AS119" s="165">
        <v>2</v>
      </c>
      <c r="AT119" s="165" t="s">
        <v>908</v>
      </c>
      <c r="AU119" s="165" t="s">
        <v>231</v>
      </c>
      <c r="AV119" s="165">
        <v>179.1</v>
      </c>
      <c r="AW119" s="165">
        <v>90</v>
      </c>
      <c r="AX119" s="165">
        <v>3</v>
      </c>
      <c r="AY119" s="328">
        <v>86.4</v>
      </c>
      <c r="AZ119" s="328">
        <f t="shared" si="126"/>
        <v>0</v>
      </c>
    </row>
    <row r="120" spans="1:52" ht="33" customHeight="1">
      <c r="A120" s="300"/>
      <c r="B120" s="129">
        <v>3</v>
      </c>
      <c r="C120" s="196" t="s">
        <v>909</v>
      </c>
      <c r="D120" s="129" t="s">
        <v>231</v>
      </c>
      <c r="E120" s="151"/>
      <c r="F120" s="189"/>
      <c r="G120" s="189"/>
      <c r="H120" s="151"/>
      <c r="I120" s="189"/>
      <c r="J120" s="151"/>
      <c r="K120" s="189"/>
      <c r="L120" s="189"/>
      <c r="M120" s="311">
        <f t="shared" si="143"/>
        <v>1111.25</v>
      </c>
      <c r="N120" s="311">
        <v>995</v>
      </c>
      <c r="O120" s="311">
        <v>3</v>
      </c>
      <c r="P120" s="311">
        <v>86.4</v>
      </c>
      <c r="Q120" s="139">
        <f t="shared" si="142"/>
        <v>0</v>
      </c>
      <c r="R120" s="139">
        <f t="shared" si="138"/>
        <v>0</v>
      </c>
      <c r="S120" s="139">
        <f t="shared" si="139"/>
        <v>0</v>
      </c>
      <c r="T120" s="139">
        <f t="shared" si="140"/>
        <v>0</v>
      </c>
      <c r="U120" s="139">
        <f t="shared" si="110"/>
        <v>0</v>
      </c>
      <c r="V120" s="139">
        <f t="shared" si="111"/>
        <v>0</v>
      </c>
      <c r="W120" s="139">
        <f t="shared" si="112"/>
        <v>0</v>
      </c>
      <c r="X120" s="139">
        <f t="shared" si="113"/>
        <v>0</v>
      </c>
      <c r="Y120" s="192"/>
      <c r="Z120" s="338"/>
      <c r="AA120" s="338"/>
      <c r="AB120" s="338"/>
      <c r="AC120" s="338"/>
      <c r="AD120" s="338"/>
      <c r="AE120" s="338"/>
      <c r="AF120" s="338"/>
      <c r="AG120" s="338"/>
      <c r="AH120" s="338"/>
      <c r="AI120" s="338"/>
      <c r="AJ120" s="338"/>
      <c r="AK120" s="338"/>
      <c r="AL120" s="338"/>
      <c r="AM120" s="338"/>
      <c r="AN120" s="338"/>
      <c r="AO120" s="338"/>
      <c r="AP120" s="338"/>
      <c r="AS120" s="165">
        <v>3</v>
      </c>
      <c r="AT120" s="165" t="s">
        <v>909</v>
      </c>
      <c r="AU120" s="165" t="s">
        <v>231</v>
      </c>
      <c r="AV120" s="165">
        <v>1111.25</v>
      </c>
      <c r="AW120" s="165">
        <v>995</v>
      </c>
      <c r="AX120" s="165">
        <v>3</v>
      </c>
      <c r="AY120" s="328">
        <v>86.4</v>
      </c>
      <c r="AZ120" s="328">
        <f t="shared" si="126"/>
        <v>0</v>
      </c>
    </row>
    <row r="121" spans="1:52" ht="33" customHeight="1">
      <c r="A121" s="300"/>
      <c r="B121" s="129">
        <v>4</v>
      </c>
      <c r="C121" s="196" t="s">
        <v>910</v>
      </c>
      <c r="D121" s="129" t="s">
        <v>231</v>
      </c>
      <c r="E121" s="189"/>
      <c r="F121" s="189"/>
      <c r="G121" s="189"/>
      <c r="H121" s="189"/>
      <c r="I121" s="189"/>
      <c r="J121" s="189"/>
      <c r="K121" s="189"/>
      <c r="L121" s="189"/>
      <c r="M121" s="311">
        <f t="shared" si="143"/>
        <v>562.92240000000004</v>
      </c>
      <c r="N121" s="311">
        <v>280</v>
      </c>
      <c r="O121" s="311">
        <v>2</v>
      </c>
      <c r="P121" s="311">
        <v>277.32240000000002</v>
      </c>
      <c r="Q121" s="139">
        <f t="shared" si="142"/>
        <v>0</v>
      </c>
      <c r="R121" s="139">
        <f t="shared" si="138"/>
        <v>0</v>
      </c>
      <c r="S121" s="139">
        <f t="shared" si="139"/>
        <v>0</v>
      </c>
      <c r="T121" s="139">
        <f t="shared" si="140"/>
        <v>0</v>
      </c>
      <c r="U121" s="139">
        <f t="shared" si="110"/>
        <v>0</v>
      </c>
      <c r="V121" s="139">
        <f t="shared" si="111"/>
        <v>0</v>
      </c>
      <c r="W121" s="139">
        <f t="shared" si="112"/>
        <v>0</v>
      </c>
      <c r="X121" s="139">
        <f t="shared" si="113"/>
        <v>0</v>
      </c>
      <c r="Y121" s="192"/>
      <c r="Z121" s="338"/>
      <c r="AA121" s="338"/>
      <c r="AB121" s="338"/>
      <c r="AC121" s="338"/>
      <c r="AD121" s="338"/>
      <c r="AE121" s="338"/>
      <c r="AF121" s="338"/>
      <c r="AG121" s="338"/>
      <c r="AH121" s="338"/>
      <c r="AI121" s="338"/>
      <c r="AJ121" s="338"/>
      <c r="AK121" s="338"/>
      <c r="AL121" s="338"/>
      <c r="AM121" s="338"/>
      <c r="AN121" s="338"/>
      <c r="AO121" s="338"/>
      <c r="AP121" s="338"/>
      <c r="AS121" s="165">
        <v>4</v>
      </c>
      <c r="AT121" s="165" t="s">
        <v>910</v>
      </c>
      <c r="AU121" s="165" t="s">
        <v>231</v>
      </c>
      <c r="AV121" s="165">
        <v>562.92240000000004</v>
      </c>
      <c r="AW121" s="165">
        <v>280</v>
      </c>
      <c r="AX121" s="165">
        <v>2</v>
      </c>
      <c r="AY121" s="328">
        <v>277.32240000000002</v>
      </c>
      <c r="AZ121" s="328">
        <f t="shared" si="126"/>
        <v>0</v>
      </c>
    </row>
    <row r="122" spans="1:52" ht="32.25" customHeight="1">
      <c r="A122" s="300"/>
      <c r="B122" s="129">
        <v>5</v>
      </c>
      <c r="C122" s="196" t="s">
        <v>911</v>
      </c>
      <c r="D122" s="129" t="s">
        <v>231</v>
      </c>
      <c r="E122" s="151"/>
      <c r="F122" s="189"/>
      <c r="G122" s="189"/>
      <c r="H122" s="151"/>
      <c r="I122" s="189"/>
      <c r="J122" s="151"/>
      <c r="K122" s="189"/>
      <c r="L122" s="189"/>
      <c r="M122" s="311">
        <f t="shared" si="143"/>
        <v>562.92000000000007</v>
      </c>
      <c r="N122" s="311">
        <v>280</v>
      </c>
      <c r="O122" s="311">
        <v>2</v>
      </c>
      <c r="P122" s="311">
        <v>277.32</v>
      </c>
      <c r="Q122" s="139">
        <f t="shared" si="142"/>
        <v>0</v>
      </c>
      <c r="R122" s="139">
        <f t="shared" si="138"/>
        <v>0</v>
      </c>
      <c r="S122" s="139">
        <f t="shared" si="139"/>
        <v>0</v>
      </c>
      <c r="T122" s="139">
        <f t="shared" si="140"/>
        <v>0</v>
      </c>
      <c r="U122" s="139">
        <f t="shared" si="110"/>
        <v>0</v>
      </c>
      <c r="V122" s="139">
        <f t="shared" si="111"/>
        <v>0</v>
      </c>
      <c r="W122" s="139">
        <f t="shared" si="112"/>
        <v>0</v>
      </c>
      <c r="X122" s="139">
        <f t="shared" si="113"/>
        <v>0</v>
      </c>
      <c r="Y122" s="192" t="s">
        <v>705</v>
      </c>
      <c r="Z122" s="338"/>
      <c r="AA122" s="338"/>
      <c r="AB122" s="338"/>
      <c r="AC122" s="338"/>
      <c r="AD122" s="338"/>
      <c r="AE122" s="338"/>
      <c r="AF122" s="338"/>
      <c r="AG122" s="338"/>
      <c r="AH122" s="338"/>
      <c r="AI122" s="338"/>
      <c r="AJ122" s="338"/>
      <c r="AK122" s="338"/>
      <c r="AL122" s="338"/>
      <c r="AM122" s="338"/>
      <c r="AN122" s="338"/>
      <c r="AO122" s="338"/>
      <c r="AP122" s="338"/>
      <c r="AS122" s="165">
        <v>5</v>
      </c>
      <c r="AT122" s="165" t="s">
        <v>911</v>
      </c>
      <c r="AU122" s="165" t="s">
        <v>231</v>
      </c>
      <c r="AV122" s="165">
        <v>562.91999999999996</v>
      </c>
      <c r="AW122" s="165">
        <v>280</v>
      </c>
      <c r="AX122" s="165">
        <v>2</v>
      </c>
      <c r="AY122" s="328">
        <v>277.32</v>
      </c>
      <c r="AZ122" s="328">
        <f t="shared" si="126"/>
        <v>0</v>
      </c>
    </row>
    <row r="123" spans="1:52" ht="34.5" customHeight="1">
      <c r="A123" s="300"/>
      <c r="B123" s="129">
        <v>6</v>
      </c>
      <c r="C123" s="196" t="s">
        <v>912</v>
      </c>
      <c r="D123" s="129" t="s">
        <v>235</v>
      </c>
      <c r="E123" s="189"/>
      <c r="F123" s="189"/>
      <c r="G123" s="189"/>
      <c r="H123" s="189"/>
      <c r="I123" s="189"/>
      <c r="J123" s="189"/>
      <c r="K123" s="189"/>
      <c r="L123" s="189"/>
      <c r="M123" s="311">
        <f t="shared" si="143"/>
        <v>128.71200000000002</v>
      </c>
      <c r="N123" s="311">
        <v>80.400000000000006</v>
      </c>
      <c r="O123" s="311">
        <v>3</v>
      </c>
      <c r="P123" s="311">
        <v>45.9</v>
      </c>
      <c r="Q123" s="139">
        <f t="shared" si="142"/>
        <v>0</v>
      </c>
      <c r="R123" s="139">
        <f t="shared" si="138"/>
        <v>0</v>
      </c>
      <c r="S123" s="139">
        <f t="shared" si="139"/>
        <v>0</v>
      </c>
      <c r="T123" s="139">
        <f t="shared" si="140"/>
        <v>0</v>
      </c>
      <c r="U123" s="139">
        <f t="shared" si="110"/>
        <v>0</v>
      </c>
      <c r="V123" s="139">
        <f t="shared" si="111"/>
        <v>0</v>
      </c>
      <c r="W123" s="139">
        <f t="shared" si="112"/>
        <v>0</v>
      </c>
      <c r="X123" s="139">
        <f t="shared" si="113"/>
        <v>0</v>
      </c>
      <c r="Y123" s="192"/>
      <c r="Z123" s="338"/>
      <c r="AA123" s="338"/>
      <c r="AB123" s="338"/>
      <c r="AC123" s="338"/>
      <c r="AD123" s="338"/>
      <c r="AE123" s="338"/>
      <c r="AF123" s="338"/>
      <c r="AG123" s="338"/>
      <c r="AH123" s="338"/>
      <c r="AI123" s="338"/>
      <c r="AJ123" s="338"/>
      <c r="AK123" s="338"/>
      <c r="AL123" s="338"/>
      <c r="AM123" s="338"/>
      <c r="AN123" s="338"/>
      <c r="AO123" s="338"/>
      <c r="AP123" s="338"/>
      <c r="AS123" s="165">
        <v>6</v>
      </c>
      <c r="AT123" s="165" t="s">
        <v>912</v>
      </c>
      <c r="AU123" s="165" t="s">
        <v>235</v>
      </c>
      <c r="AV123" s="165">
        <v>128.71199999999999</v>
      </c>
      <c r="AW123" s="165">
        <v>80.400000000000006</v>
      </c>
      <c r="AX123" s="165">
        <v>3</v>
      </c>
      <c r="AY123" s="328">
        <v>45.9</v>
      </c>
      <c r="AZ123" s="328">
        <f t="shared" si="126"/>
        <v>0</v>
      </c>
    </row>
    <row r="124" spans="1:52" ht="34.5" customHeight="1">
      <c r="A124" s="300"/>
      <c r="B124" s="129">
        <v>7</v>
      </c>
      <c r="C124" s="196" t="s">
        <v>913</v>
      </c>
      <c r="D124" s="129" t="s">
        <v>270</v>
      </c>
      <c r="E124" s="151"/>
      <c r="F124" s="189"/>
      <c r="G124" s="189"/>
      <c r="H124" s="151"/>
      <c r="I124" s="189"/>
      <c r="J124" s="151"/>
      <c r="K124" s="189"/>
      <c r="L124" s="189"/>
      <c r="M124" s="311">
        <f t="shared" si="143"/>
        <v>54.353000000000002</v>
      </c>
      <c r="N124" s="311">
        <f>9800*0.25*0.2*0.03+500*0.25*0.2</f>
        <v>39.700000000000003</v>
      </c>
      <c r="O124" s="311">
        <v>1</v>
      </c>
      <c r="P124" s="311">
        <v>14.256</v>
      </c>
      <c r="Q124" s="139">
        <f t="shared" si="142"/>
        <v>0</v>
      </c>
      <c r="R124" s="139">
        <f t="shared" si="138"/>
        <v>0</v>
      </c>
      <c r="S124" s="139">
        <f t="shared" si="139"/>
        <v>0</v>
      </c>
      <c r="T124" s="139">
        <f t="shared" si="140"/>
        <v>0</v>
      </c>
      <c r="U124" s="139">
        <f t="shared" si="110"/>
        <v>0</v>
      </c>
      <c r="V124" s="139">
        <f t="shared" si="111"/>
        <v>0</v>
      </c>
      <c r="W124" s="139">
        <f t="shared" si="112"/>
        <v>0</v>
      </c>
      <c r="X124" s="139">
        <f t="shared" si="113"/>
        <v>0</v>
      </c>
      <c r="Y124" s="192"/>
      <c r="Z124" s="338"/>
      <c r="AA124" s="338"/>
      <c r="AB124" s="338"/>
      <c r="AC124" s="338"/>
      <c r="AD124" s="338"/>
      <c r="AE124" s="338"/>
      <c r="AF124" s="338"/>
      <c r="AG124" s="338"/>
      <c r="AH124" s="338"/>
      <c r="AI124" s="338"/>
      <c r="AJ124" s="338"/>
      <c r="AK124" s="338"/>
      <c r="AL124" s="338"/>
      <c r="AM124" s="338"/>
      <c r="AN124" s="338"/>
      <c r="AO124" s="338"/>
      <c r="AP124" s="338"/>
      <c r="AS124" s="165">
        <v>7</v>
      </c>
      <c r="AT124" s="165" t="s">
        <v>913</v>
      </c>
      <c r="AU124" s="165" t="s">
        <v>270</v>
      </c>
      <c r="AV124" s="165">
        <v>54.353000000000002</v>
      </c>
      <c r="AW124" s="165">
        <v>39.700000000000003</v>
      </c>
      <c r="AX124" s="165">
        <v>1</v>
      </c>
      <c r="AY124" s="328">
        <v>14.256</v>
      </c>
      <c r="AZ124" s="328">
        <f t="shared" si="126"/>
        <v>0</v>
      </c>
    </row>
    <row r="125" spans="1:52" ht="34.5" customHeight="1">
      <c r="A125" s="300"/>
      <c r="B125" s="129">
        <v>8</v>
      </c>
      <c r="C125" s="196" t="s">
        <v>914</v>
      </c>
      <c r="D125" s="129" t="s">
        <v>231</v>
      </c>
      <c r="E125" s="189"/>
      <c r="F125" s="189"/>
      <c r="G125" s="189"/>
      <c r="H125" s="189"/>
      <c r="I125" s="189"/>
      <c r="J125" s="189"/>
      <c r="K125" s="189"/>
      <c r="L125" s="189"/>
      <c r="M125" s="311">
        <f t="shared" si="143"/>
        <v>562.92000000000007</v>
      </c>
      <c r="N125" s="311">
        <v>280</v>
      </c>
      <c r="O125" s="311">
        <v>2</v>
      </c>
      <c r="P125" s="311">
        <v>277.32</v>
      </c>
      <c r="Q125" s="139">
        <f t="shared" si="142"/>
        <v>0</v>
      </c>
      <c r="R125" s="139">
        <f t="shared" si="138"/>
        <v>0</v>
      </c>
      <c r="S125" s="139">
        <f t="shared" si="139"/>
        <v>0</v>
      </c>
      <c r="T125" s="139">
        <f t="shared" si="140"/>
        <v>0</v>
      </c>
      <c r="U125" s="139">
        <f t="shared" si="110"/>
        <v>0</v>
      </c>
      <c r="V125" s="139">
        <f t="shared" si="111"/>
        <v>0</v>
      </c>
      <c r="W125" s="139">
        <f t="shared" si="112"/>
        <v>0</v>
      </c>
      <c r="X125" s="139">
        <f t="shared" si="113"/>
        <v>0</v>
      </c>
      <c r="Y125" s="192"/>
      <c r="Z125" s="338"/>
      <c r="AA125" s="338"/>
      <c r="AB125" s="338"/>
      <c r="AC125" s="338"/>
      <c r="AD125" s="338"/>
      <c r="AE125" s="338"/>
      <c r="AF125" s="338"/>
      <c r="AG125" s="338"/>
      <c r="AH125" s="338"/>
      <c r="AI125" s="338"/>
      <c r="AJ125" s="338"/>
      <c r="AK125" s="338"/>
      <c r="AL125" s="338"/>
      <c r="AM125" s="338"/>
      <c r="AN125" s="338"/>
      <c r="AO125" s="338"/>
      <c r="AP125" s="338"/>
      <c r="AS125" s="165">
        <v>8</v>
      </c>
      <c r="AT125" s="165" t="s">
        <v>914</v>
      </c>
      <c r="AU125" s="165" t="s">
        <v>231</v>
      </c>
      <c r="AV125" s="165">
        <v>562.91999999999996</v>
      </c>
      <c r="AW125" s="165">
        <v>280</v>
      </c>
      <c r="AX125" s="165">
        <v>2</v>
      </c>
      <c r="AY125" s="328">
        <v>277.32</v>
      </c>
      <c r="AZ125" s="328">
        <f t="shared" si="126"/>
        <v>0</v>
      </c>
    </row>
    <row r="126" spans="1:52" ht="34.5" customHeight="1">
      <c r="A126" s="300"/>
      <c r="B126" s="129"/>
      <c r="C126" s="266" t="s">
        <v>718</v>
      </c>
      <c r="D126" s="129"/>
      <c r="E126" s="151"/>
      <c r="F126" s="189"/>
      <c r="G126" s="189"/>
      <c r="H126" s="151"/>
      <c r="I126" s="189"/>
      <c r="J126" s="151"/>
      <c r="K126" s="189"/>
      <c r="L126" s="189"/>
      <c r="M126" s="311">
        <f t="shared" si="143"/>
        <v>0</v>
      </c>
      <c r="N126" s="311"/>
      <c r="O126" s="311"/>
      <c r="P126" s="311"/>
      <c r="Q126" s="139">
        <f t="shared" si="142"/>
        <v>0</v>
      </c>
      <c r="R126" s="139">
        <f t="shared" si="138"/>
        <v>0</v>
      </c>
      <c r="S126" s="139">
        <f t="shared" si="139"/>
        <v>0</v>
      </c>
      <c r="T126" s="139">
        <f t="shared" si="140"/>
        <v>0</v>
      </c>
      <c r="U126" s="139">
        <f t="shared" si="110"/>
        <v>0</v>
      </c>
      <c r="V126" s="139">
        <f t="shared" si="111"/>
        <v>0</v>
      </c>
      <c r="W126" s="139">
        <f t="shared" si="112"/>
        <v>0</v>
      </c>
      <c r="X126" s="139">
        <f t="shared" si="113"/>
        <v>0</v>
      </c>
      <c r="Y126" s="192"/>
      <c r="Z126" s="338"/>
      <c r="AA126" s="338"/>
      <c r="AB126" s="338"/>
      <c r="AC126" s="338"/>
      <c r="AD126" s="338"/>
      <c r="AE126" s="338"/>
      <c r="AF126" s="338"/>
      <c r="AG126" s="338"/>
      <c r="AH126" s="338"/>
      <c r="AI126" s="338"/>
      <c r="AJ126" s="338"/>
      <c r="AK126" s="338"/>
      <c r="AL126" s="338"/>
      <c r="AM126" s="338"/>
      <c r="AN126" s="338"/>
      <c r="AO126" s="338"/>
      <c r="AP126" s="338"/>
      <c r="AS126" s="165"/>
      <c r="AT126" s="165" t="s">
        <v>718</v>
      </c>
      <c r="AU126" s="165"/>
      <c r="AV126" s="165">
        <v>0</v>
      </c>
      <c r="AW126" s="165"/>
      <c r="AX126" s="165"/>
      <c r="AY126" s="328"/>
      <c r="AZ126" s="328">
        <f t="shared" si="126"/>
        <v>0</v>
      </c>
    </row>
    <row r="127" spans="1:52" ht="34.5" customHeight="1">
      <c r="A127" s="300"/>
      <c r="B127" s="129">
        <v>1</v>
      </c>
      <c r="C127" s="196" t="s">
        <v>915</v>
      </c>
      <c r="D127" s="129" t="s">
        <v>231</v>
      </c>
      <c r="E127" s="189"/>
      <c r="F127" s="189"/>
      <c r="G127" s="189"/>
      <c r="H127" s="189"/>
      <c r="I127" s="189"/>
      <c r="J127" s="189"/>
      <c r="K127" s="189"/>
      <c r="L127" s="189"/>
      <c r="M127" s="311">
        <f t="shared" si="143"/>
        <v>138.54411111111111</v>
      </c>
      <c r="N127" s="311">
        <f>N41</f>
        <v>69.444444444444443</v>
      </c>
      <c r="O127" s="311">
        <v>10.5</v>
      </c>
      <c r="P127" s="311">
        <v>61.808</v>
      </c>
      <c r="Q127" s="139">
        <f t="shared" si="142"/>
        <v>0</v>
      </c>
      <c r="R127" s="139">
        <f t="shared" si="138"/>
        <v>0</v>
      </c>
      <c r="S127" s="139">
        <f t="shared" si="139"/>
        <v>0</v>
      </c>
      <c r="T127" s="139">
        <f t="shared" si="140"/>
        <v>0</v>
      </c>
      <c r="U127" s="139">
        <f t="shared" si="110"/>
        <v>0</v>
      </c>
      <c r="V127" s="139">
        <f t="shared" si="111"/>
        <v>0</v>
      </c>
      <c r="W127" s="139">
        <f t="shared" si="112"/>
        <v>0</v>
      </c>
      <c r="X127" s="139">
        <f t="shared" si="113"/>
        <v>0</v>
      </c>
      <c r="Y127" s="192" t="s">
        <v>244</v>
      </c>
      <c r="Z127" s="338">
        <f t="shared" ref="Z127" si="148">Q127</f>
        <v>0</v>
      </c>
      <c r="AA127" s="338">
        <f t="shared" ref="AA127" si="149">R127</f>
        <v>0</v>
      </c>
      <c r="AB127" s="338">
        <f t="shared" ref="AB127" si="150">S127</f>
        <v>0</v>
      </c>
      <c r="AC127" s="338">
        <f t="shared" ref="AC127" si="151">T127</f>
        <v>0</v>
      </c>
      <c r="AD127" s="338">
        <f t="shared" ref="AD127" si="152">U127</f>
        <v>0</v>
      </c>
      <c r="AE127" s="338">
        <f t="shared" ref="AE127" si="153">V127</f>
        <v>0</v>
      </c>
      <c r="AF127" s="338">
        <f t="shared" ref="AF127" si="154">W127</f>
        <v>0</v>
      </c>
      <c r="AG127" s="338">
        <f t="shared" ref="AG127" si="155">X127</f>
        <v>0</v>
      </c>
      <c r="AH127" s="338"/>
      <c r="AI127" s="338">
        <f t="shared" ref="AI127" si="156">E127*$N127*(1+$O127%)</f>
        <v>0</v>
      </c>
      <c r="AJ127" s="338">
        <f t="shared" ref="AJ127" si="157">F127*$N127*(1+$O127%)</f>
        <v>0</v>
      </c>
      <c r="AK127" s="338">
        <f t="shared" ref="AK127" si="158">G127*$N127*(1+$O127%)</f>
        <v>0</v>
      </c>
      <c r="AL127" s="338">
        <f t="shared" ref="AL127" si="159">H127*$N127*(1+$O127%)</f>
        <v>0</v>
      </c>
      <c r="AM127" s="338">
        <f t="shared" ref="AM127" si="160">I127*$N127*(1+$O127%)</f>
        <v>0</v>
      </c>
      <c r="AN127" s="338">
        <f t="shared" ref="AN127" si="161">J127*$N127*(1+$O127%)</f>
        <v>0</v>
      </c>
      <c r="AO127" s="338">
        <f t="shared" ref="AO127" si="162">K127*$N127*(1+$O127%)</f>
        <v>0</v>
      </c>
      <c r="AP127" s="338">
        <f t="shared" ref="AP127" si="163">L127*$N127*(1+$O127%)</f>
        <v>0</v>
      </c>
      <c r="AS127" s="165">
        <v>1</v>
      </c>
      <c r="AT127" s="165" t="s">
        <v>915</v>
      </c>
      <c r="AU127" s="165" t="s">
        <v>231</v>
      </c>
      <c r="AV127" s="165">
        <v>138.54411111111099</v>
      </c>
      <c r="AW127" s="165">
        <v>69.4444444444444</v>
      </c>
      <c r="AX127" s="165">
        <v>10.5</v>
      </c>
      <c r="AY127" s="328">
        <v>61.808</v>
      </c>
      <c r="AZ127" s="328">
        <f t="shared" si="126"/>
        <v>0</v>
      </c>
    </row>
    <row r="128" spans="1:52" ht="34.5" customHeight="1">
      <c r="A128" s="300"/>
      <c r="B128" s="129">
        <v>2</v>
      </c>
      <c r="C128" s="196" t="s">
        <v>916</v>
      </c>
      <c r="D128" s="129" t="s">
        <v>231</v>
      </c>
      <c r="E128" s="151"/>
      <c r="F128" s="189"/>
      <c r="G128" s="189"/>
      <c r="H128" s="151"/>
      <c r="I128" s="189"/>
      <c r="J128" s="151"/>
      <c r="K128" s="189"/>
      <c r="L128" s="189"/>
      <c r="M128" s="311">
        <f t="shared" si="143"/>
        <v>138.54411111111111</v>
      </c>
      <c r="N128" s="311">
        <f t="shared" ref="N128" si="164">N127</f>
        <v>69.444444444444443</v>
      </c>
      <c r="O128" s="311">
        <v>10.5</v>
      </c>
      <c r="P128" s="311">
        <v>61.808</v>
      </c>
      <c r="Q128" s="139">
        <f t="shared" si="142"/>
        <v>0</v>
      </c>
      <c r="R128" s="139">
        <f t="shared" si="138"/>
        <v>0</v>
      </c>
      <c r="S128" s="139">
        <f t="shared" si="139"/>
        <v>0</v>
      </c>
      <c r="T128" s="139">
        <f t="shared" si="140"/>
        <v>0</v>
      </c>
      <c r="U128" s="139">
        <f t="shared" si="110"/>
        <v>0</v>
      </c>
      <c r="V128" s="139">
        <f t="shared" si="111"/>
        <v>0</v>
      </c>
      <c r="W128" s="139">
        <f t="shared" si="112"/>
        <v>0</v>
      </c>
      <c r="X128" s="139">
        <f t="shared" si="113"/>
        <v>0</v>
      </c>
      <c r="Y128" s="192" t="s">
        <v>244</v>
      </c>
      <c r="Z128" s="338">
        <f t="shared" ref="Z128:AG133" si="165">Q128</f>
        <v>0</v>
      </c>
      <c r="AA128" s="338">
        <f t="shared" si="165"/>
        <v>0</v>
      </c>
      <c r="AB128" s="338">
        <f t="shared" si="165"/>
        <v>0</v>
      </c>
      <c r="AC128" s="338">
        <f t="shared" si="165"/>
        <v>0</v>
      </c>
      <c r="AD128" s="338">
        <f t="shared" si="165"/>
        <v>0</v>
      </c>
      <c r="AE128" s="338">
        <f t="shared" si="165"/>
        <v>0</v>
      </c>
      <c r="AF128" s="338">
        <f t="shared" si="165"/>
        <v>0</v>
      </c>
      <c r="AG128" s="338">
        <f t="shared" si="165"/>
        <v>0</v>
      </c>
      <c r="AH128" s="338"/>
      <c r="AI128" s="338">
        <f t="shared" ref="AI128:AP133" si="166">E128*$N128*(1+$O128%)</f>
        <v>0</v>
      </c>
      <c r="AJ128" s="338">
        <f t="shared" si="166"/>
        <v>0</v>
      </c>
      <c r="AK128" s="338">
        <f t="shared" si="166"/>
        <v>0</v>
      </c>
      <c r="AL128" s="338">
        <f t="shared" si="166"/>
        <v>0</v>
      </c>
      <c r="AM128" s="338">
        <f t="shared" si="166"/>
        <v>0</v>
      </c>
      <c r="AN128" s="338">
        <f t="shared" si="166"/>
        <v>0</v>
      </c>
      <c r="AO128" s="338">
        <f t="shared" si="166"/>
        <v>0</v>
      </c>
      <c r="AP128" s="338">
        <f t="shared" si="166"/>
        <v>0</v>
      </c>
      <c r="AS128" s="165">
        <v>2</v>
      </c>
      <c r="AT128" s="165" t="s">
        <v>916</v>
      </c>
      <c r="AU128" s="165" t="s">
        <v>231</v>
      </c>
      <c r="AV128" s="165">
        <v>138.54411111111099</v>
      </c>
      <c r="AW128" s="165">
        <v>69.4444444444444</v>
      </c>
      <c r="AX128" s="165">
        <v>10.5</v>
      </c>
      <c r="AY128" s="328">
        <v>61.808</v>
      </c>
      <c r="AZ128" s="328">
        <f t="shared" si="126"/>
        <v>0</v>
      </c>
    </row>
    <row r="129" spans="1:52" ht="48" customHeight="1">
      <c r="A129" s="300"/>
      <c r="B129" s="304" t="s">
        <v>233</v>
      </c>
      <c r="C129" s="332" t="s">
        <v>917</v>
      </c>
      <c r="D129" s="306" t="s">
        <v>231</v>
      </c>
      <c r="E129" s="189"/>
      <c r="F129" s="189"/>
      <c r="G129" s="189"/>
      <c r="H129" s="189"/>
      <c r="I129" s="189"/>
      <c r="J129" s="189"/>
      <c r="K129" s="189"/>
      <c r="L129" s="189"/>
      <c r="M129" s="311">
        <f t="shared" si="143"/>
        <v>161.54611111111112</v>
      </c>
      <c r="N129" s="311">
        <f>N128</f>
        <v>69.444444444444443</v>
      </c>
      <c r="O129" s="312">
        <v>10.5</v>
      </c>
      <c r="P129" s="312">
        <v>84.81</v>
      </c>
      <c r="Q129" s="139">
        <f t="shared" si="142"/>
        <v>0</v>
      </c>
      <c r="R129" s="139">
        <f t="shared" si="138"/>
        <v>0</v>
      </c>
      <c r="S129" s="139">
        <f t="shared" si="139"/>
        <v>0</v>
      </c>
      <c r="T129" s="139">
        <f t="shared" si="140"/>
        <v>0</v>
      </c>
      <c r="U129" s="139">
        <f t="shared" si="110"/>
        <v>0</v>
      </c>
      <c r="V129" s="139">
        <f t="shared" si="111"/>
        <v>0</v>
      </c>
      <c r="W129" s="139">
        <f t="shared" si="112"/>
        <v>0</v>
      </c>
      <c r="X129" s="139">
        <f t="shared" si="113"/>
        <v>0</v>
      </c>
      <c r="Y129" s="192" t="s">
        <v>244</v>
      </c>
      <c r="Z129" s="338">
        <f t="shared" si="165"/>
        <v>0</v>
      </c>
      <c r="AA129" s="338">
        <f t="shared" si="165"/>
        <v>0</v>
      </c>
      <c r="AB129" s="338">
        <f t="shared" si="165"/>
        <v>0</v>
      </c>
      <c r="AC129" s="338">
        <f t="shared" si="165"/>
        <v>0</v>
      </c>
      <c r="AD129" s="338">
        <f t="shared" si="165"/>
        <v>0</v>
      </c>
      <c r="AE129" s="338">
        <f t="shared" si="165"/>
        <v>0</v>
      </c>
      <c r="AF129" s="338">
        <f t="shared" si="165"/>
        <v>0</v>
      </c>
      <c r="AG129" s="338">
        <f t="shared" si="165"/>
        <v>0</v>
      </c>
      <c r="AH129" s="338"/>
      <c r="AI129" s="338">
        <f t="shared" si="166"/>
        <v>0</v>
      </c>
      <c r="AJ129" s="338">
        <f t="shared" si="166"/>
        <v>0</v>
      </c>
      <c r="AK129" s="338">
        <f t="shared" si="166"/>
        <v>0</v>
      </c>
      <c r="AL129" s="338">
        <f t="shared" si="166"/>
        <v>0</v>
      </c>
      <c r="AM129" s="338">
        <f t="shared" si="166"/>
        <v>0</v>
      </c>
      <c r="AN129" s="338">
        <f t="shared" si="166"/>
        <v>0</v>
      </c>
      <c r="AO129" s="338">
        <f t="shared" si="166"/>
        <v>0</v>
      </c>
      <c r="AP129" s="338">
        <f t="shared" si="166"/>
        <v>0</v>
      </c>
      <c r="AS129" s="165" t="s">
        <v>233</v>
      </c>
      <c r="AT129" s="165" t="s">
        <v>917</v>
      </c>
      <c r="AU129" s="165" t="s">
        <v>231</v>
      </c>
      <c r="AV129" s="165">
        <v>161.546111111111</v>
      </c>
      <c r="AW129" s="165">
        <v>69.4444444444444</v>
      </c>
      <c r="AX129" s="165">
        <v>10.5</v>
      </c>
      <c r="AY129" s="328">
        <v>84.81</v>
      </c>
      <c r="AZ129" s="328">
        <f t="shared" si="126"/>
        <v>0</v>
      </c>
    </row>
    <row r="130" spans="1:52" ht="90" customHeight="1">
      <c r="A130" s="300"/>
      <c r="B130" s="304" t="s">
        <v>233</v>
      </c>
      <c r="C130" s="332" t="s">
        <v>918</v>
      </c>
      <c r="D130" s="306" t="s">
        <v>231</v>
      </c>
      <c r="E130" s="151"/>
      <c r="F130" s="189"/>
      <c r="G130" s="189"/>
      <c r="H130" s="151"/>
      <c r="I130" s="189"/>
      <c r="J130" s="151"/>
      <c r="K130" s="189"/>
      <c r="L130" s="189"/>
      <c r="M130" s="311">
        <f t="shared" si="143"/>
        <v>167.54611111111112</v>
      </c>
      <c r="N130" s="311">
        <f>N129</f>
        <v>69.444444444444443</v>
      </c>
      <c r="O130" s="312">
        <v>10.5</v>
      </c>
      <c r="P130" s="312">
        <v>90.81</v>
      </c>
      <c r="Q130" s="139">
        <f t="shared" si="142"/>
        <v>0</v>
      </c>
      <c r="R130" s="139">
        <f t="shared" si="138"/>
        <v>0</v>
      </c>
      <c r="S130" s="139">
        <f t="shared" si="139"/>
        <v>0</v>
      </c>
      <c r="T130" s="139">
        <f t="shared" si="140"/>
        <v>0</v>
      </c>
      <c r="U130" s="139">
        <f t="shared" ref="U130:U161" si="167">I130*$M130</f>
        <v>0</v>
      </c>
      <c r="V130" s="139">
        <f t="shared" ref="V130:V161" si="168">J130*$M130</f>
        <v>0</v>
      </c>
      <c r="W130" s="139">
        <f t="shared" ref="W130:W161" si="169">K130*$M130</f>
        <v>0</v>
      </c>
      <c r="X130" s="139">
        <f t="shared" ref="X130:X161" si="170">L130*$M130</f>
        <v>0</v>
      </c>
      <c r="Y130" s="192" t="s">
        <v>244</v>
      </c>
      <c r="Z130" s="338">
        <f t="shared" si="165"/>
        <v>0</v>
      </c>
      <c r="AA130" s="338">
        <f t="shared" si="165"/>
        <v>0</v>
      </c>
      <c r="AB130" s="338">
        <f t="shared" si="165"/>
        <v>0</v>
      </c>
      <c r="AC130" s="338">
        <f t="shared" si="165"/>
        <v>0</v>
      </c>
      <c r="AD130" s="338">
        <f t="shared" si="165"/>
        <v>0</v>
      </c>
      <c r="AE130" s="338">
        <f t="shared" si="165"/>
        <v>0</v>
      </c>
      <c r="AF130" s="338">
        <f t="shared" si="165"/>
        <v>0</v>
      </c>
      <c r="AG130" s="338">
        <f t="shared" si="165"/>
        <v>0</v>
      </c>
      <c r="AH130" s="338"/>
      <c r="AI130" s="338">
        <f t="shared" si="166"/>
        <v>0</v>
      </c>
      <c r="AJ130" s="338">
        <f t="shared" si="166"/>
        <v>0</v>
      </c>
      <c r="AK130" s="338">
        <f t="shared" si="166"/>
        <v>0</v>
      </c>
      <c r="AL130" s="338">
        <f t="shared" si="166"/>
        <v>0</v>
      </c>
      <c r="AM130" s="338">
        <f t="shared" si="166"/>
        <v>0</v>
      </c>
      <c r="AN130" s="338">
        <f t="shared" si="166"/>
        <v>0</v>
      </c>
      <c r="AO130" s="338">
        <f t="shared" si="166"/>
        <v>0</v>
      </c>
      <c r="AP130" s="338">
        <f t="shared" si="166"/>
        <v>0</v>
      </c>
      <c r="AS130" s="165" t="s">
        <v>233</v>
      </c>
      <c r="AT130" s="165" t="s">
        <v>918</v>
      </c>
      <c r="AU130" s="165" t="s">
        <v>231</v>
      </c>
      <c r="AV130" s="165">
        <v>167.546111111111</v>
      </c>
      <c r="AW130" s="165">
        <v>69.4444444444444</v>
      </c>
      <c r="AX130" s="165">
        <v>10.5</v>
      </c>
      <c r="AY130" s="328">
        <v>90.81</v>
      </c>
      <c r="AZ130" s="328">
        <f t="shared" si="126"/>
        <v>0</v>
      </c>
    </row>
    <row r="131" spans="1:52" ht="46.5" customHeight="1">
      <c r="A131" s="300"/>
      <c r="B131" s="304" t="s">
        <v>233</v>
      </c>
      <c r="C131" s="332" t="s">
        <v>919</v>
      </c>
      <c r="D131" s="306" t="s">
        <v>231</v>
      </c>
      <c r="E131" s="189"/>
      <c r="F131" s="189"/>
      <c r="G131" s="189"/>
      <c r="H131" s="189"/>
      <c r="I131" s="189"/>
      <c r="J131" s="189"/>
      <c r="K131" s="189"/>
      <c r="L131" s="189"/>
      <c r="M131" s="311">
        <f t="shared" si="143"/>
        <v>153.22611111111109</v>
      </c>
      <c r="N131" s="311">
        <f>N130</f>
        <v>69.444444444444443</v>
      </c>
      <c r="O131" s="312">
        <v>10.5</v>
      </c>
      <c r="P131" s="312">
        <v>76.489999999999995</v>
      </c>
      <c r="Q131" s="139">
        <f t="shared" si="142"/>
        <v>0</v>
      </c>
      <c r="R131" s="139">
        <f t="shared" si="138"/>
        <v>0</v>
      </c>
      <c r="S131" s="139">
        <f t="shared" si="139"/>
        <v>0</v>
      </c>
      <c r="T131" s="139">
        <f t="shared" si="140"/>
        <v>0</v>
      </c>
      <c r="U131" s="139">
        <f t="shared" si="167"/>
        <v>0</v>
      </c>
      <c r="V131" s="139">
        <f t="shared" si="168"/>
        <v>0</v>
      </c>
      <c r="W131" s="139">
        <f t="shared" si="169"/>
        <v>0</v>
      </c>
      <c r="X131" s="139">
        <f t="shared" si="170"/>
        <v>0</v>
      </c>
      <c r="Y131" s="192" t="s">
        <v>244</v>
      </c>
      <c r="Z131" s="338">
        <f t="shared" si="165"/>
        <v>0</v>
      </c>
      <c r="AA131" s="338">
        <f t="shared" si="165"/>
        <v>0</v>
      </c>
      <c r="AB131" s="338">
        <f t="shared" si="165"/>
        <v>0</v>
      </c>
      <c r="AC131" s="338">
        <f t="shared" si="165"/>
        <v>0</v>
      </c>
      <c r="AD131" s="338">
        <f t="shared" si="165"/>
        <v>0</v>
      </c>
      <c r="AE131" s="338">
        <f t="shared" si="165"/>
        <v>0</v>
      </c>
      <c r="AF131" s="338">
        <f t="shared" si="165"/>
        <v>0</v>
      </c>
      <c r="AG131" s="338">
        <f t="shared" si="165"/>
        <v>0</v>
      </c>
      <c r="AH131" s="338"/>
      <c r="AI131" s="338">
        <f t="shared" si="166"/>
        <v>0</v>
      </c>
      <c r="AJ131" s="338">
        <f t="shared" si="166"/>
        <v>0</v>
      </c>
      <c r="AK131" s="338">
        <f t="shared" si="166"/>
        <v>0</v>
      </c>
      <c r="AL131" s="338">
        <f t="shared" si="166"/>
        <v>0</v>
      </c>
      <c r="AM131" s="338">
        <f t="shared" si="166"/>
        <v>0</v>
      </c>
      <c r="AN131" s="338">
        <f t="shared" si="166"/>
        <v>0</v>
      </c>
      <c r="AO131" s="338">
        <f t="shared" si="166"/>
        <v>0</v>
      </c>
      <c r="AP131" s="338">
        <f t="shared" si="166"/>
        <v>0</v>
      </c>
      <c r="AS131" s="165" t="s">
        <v>233</v>
      </c>
      <c r="AT131" s="165" t="s">
        <v>919</v>
      </c>
      <c r="AU131" s="165" t="s">
        <v>231</v>
      </c>
      <c r="AV131" s="165">
        <v>153.22611111111101</v>
      </c>
      <c r="AW131" s="165">
        <v>69.4444444444444</v>
      </c>
      <c r="AX131" s="165">
        <v>10.5</v>
      </c>
      <c r="AY131" s="328">
        <v>76.489999999999995</v>
      </c>
      <c r="AZ131" s="328">
        <f t="shared" si="126"/>
        <v>0</v>
      </c>
    </row>
    <row r="132" spans="1:52" ht="75.75" customHeight="1">
      <c r="A132" s="300"/>
      <c r="B132" s="304" t="s">
        <v>233</v>
      </c>
      <c r="C132" s="332" t="s">
        <v>920</v>
      </c>
      <c r="D132" s="306" t="s">
        <v>231</v>
      </c>
      <c r="E132" s="151"/>
      <c r="F132" s="189"/>
      <c r="G132" s="189"/>
      <c r="H132" s="151"/>
      <c r="I132" s="189"/>
      <c r="J132" s="151"/>
      <c r="K132" s="189"/>
      <c r="L132" s="189"/>
      <c r="M132" s="311">
        <f t="shared" si="143"/>
        <v>159.22611111111109</v>
      </c>
      <c r="N132" s="311">
        <f>N131</f>
        <v>69.444444444444443</v>
      </c>
      <c r="O132" s="312">
        <v>10.5</v>
      </c>
      <c r="P132" s="312">
        <v>82.49</v>
      </c>
      <c r="Q132" s="139">
        <f t="shared" si="142"/>
        <v>0</v>
      </c>
      <c r="R132" s="139">
        <f t="shared" si="138"/>
        <v>0</v>
      </c>
      <c r="S132" s="139">
        <f t="shared" si="139"/>
        <v>0</v>
      </c>
      <c r="T132" s="139">
        <f t="shared" si="140"/>
        <v>0</v>
      </c>
      <c r="U132" s="139">
        <f t="shared" si="167"/>
        <v>0</v>
      </c>
      <c r="V132" s="139">
        <f t="shared" si="168"/>
        <v>0</v>
      </c>
      <c r="W132" s="139">
        <f t="shared" si="169"/>
        <v>0</v>
      </c>
      <c r="X132" s="139">
        <f t="shared" si="170"/>
        <v>0</v>
      </c>
      <c r="Y132" s="192" t="s">
        <v>244</v>
      </c>
      <c r="Z132" s="338">
        <f t="shared" si="165"/>
        <v>0</v>
      </c>
      <c r="AA132" s="338">
        <f t="shared" si="165"/>
        <v>0</v>
      </c>
      <c r="AB132" s="338">
        <f t="shared" si="165"/>
        <v>0</v>
      </c>
      <c r="AC132" s="338">
        <f t="shared" si="165"/>
        <v>0</v>
      </c>
      <c r="AD132" s="338">
        <f t="shared" si="165"/>
        <v>0</v>
      </c>
      <c r="AE132" s="338">
        <f t="shared" si="165"/>
        <v>0</v>
      </c>
      <c r="AF132" s="338">
        <f t="shared" si="165"/>
        <v>0</v>
      </c>
      <c r="AG132" s="338">
        <f t="shared" si="165"/>
        <v>0</v>
      </c>
      <c r="AH132" s="338"/>
      <c r="AI132" s="338">
        <f t="shared" si="166"/>
        <v>0</v>
      </c>
      <c r="AJ132" s="338">
        <f t="shared" si="166"/>
        <v>0</v>
      </c>
      <c r="AK132" s="338">
        <f t="shared" si="166"/>
        <v>0</v>
      </c>
      <c r="AL132" s="338">
        <f t="shared" si="166"/>
        <v>0</v>
      </c>
      <c r="AM132" s="338">
        <f t="shared" si="166"/>
        <v>0</v>
      </c>
      <c r="AN132" s="338">
        <f t="shared" si="166"/>
        <v>0</v>
      </c>
      <c r="AO132" s="338">
        <f t="shared" si="166"/>
        <v>0</v>
      </c>
      <c r="AP132" s="338">
        <f t="shared" si="166"/>
        <v>0</v>
      </c>
      <c r="AS132" s="165" t="s">
        <v>233</v>
      </c>
      <c r="AT132" s="165" t="s">
        <v>921</v>
      </c>
      <c r="AU132" s="165" t="s">
        <v>231</v>
      </c>
      <c r="AV132" s="165">
        <v>159.22611111111101</v>
      </c>
      <c r="AW132" s="165">
        <v>69.4444444444444</v>
      </c>
      <c r="AX132" s="165">
        <v>10.5</v>
      </c>
      <c r="AY132" s="328">
        <v>82.49</v>
      </c>
      <c r="AZ132" s="328">
        <f t="shared" si="126"/>
        <v>0</v>
      </c>
    </row>
    <row r="133" spans="1:52" ht="66.75" customHeight="1">
      <c r="A133" s="300"/>
      <c r="B133" s="304" t="s">
        <v>233</v>
      </c>
      <c r="C133" s="332" t="s">
        <v>922</v>
      </c>
      <c r="D133" s="306" t="s">
        <v>231</v>
      </c>
      <c r="E133" s="189"/>
      <c r="F133" s="189"/>
      <c r="G133" s="189"/>
      <c r="H133" s="189"/>
      <c r="I133" s="189"/>
      <c r="J133" s="189"/>
      <c r="K133" s="189"/>
      <c r="L133" s="189"/>
      <c r="M133" s="311">
        <f t="shared" si="143"/>
        <v>206.4361111111111</v>
      </c>
      <c r="N133" s="311">
        <f>N132</f>
        <v>69.444444444444443</v>
      </c>
      <c r="O133" s="312">
        <v>10.5</v>
      </c>
      <c r="P133" s="312">
        <v>129.69999999999999</v>
      </c>
      <c r="Q133" s="139">
        <f t="shared" si="142"/>
        <v>0</v>
      </c>
      <c r="R133" s="139">
        <f t="shared" si="138"/>
        <v>0</v>
      </c>
      <c r="S133" s="139">
        <f t="shared" si="139"/>
        <v>0</v>
      </c>
      <c r="T133" s="139">
        <f t="shared" si="140"/>
        <v>0</v>
      </c>
      <c r="U133" s="139">
        <f t="shared" si="167"/>
        <v>0</v>
      </c>
      <c r="V133" s="139">
        <f t="shared" si="168"/>
        <v>0</v>
      </c>
      <c r="W133" s="139">
        <f t="shared" si="169"/>
        <v>0</v>
      </c>
      <c r="X133" s="139">
        <f t="shared" si="170"/>
        <v>0</v>
      </c>
      <c r="Y133" s="192" t="s">
        <v>244</v>
      </c>
      <c r="Z133" s="338">
        <f t="shared" si="165"/>
        <v>0</v>
      </c>
      <c r="AA133" s="338">
        <f t="shared" si="165"/>
        <v>0</v>
      </c>
      <c r="AB133" s="338">
        <f t="shared" si="165"/>
        <v>0</v>
      </c>
      <c r="AC133" s="338">
        <f t="shared" si="165"/>
        <v>0</v>
      </c>
      <c r="AD133" s="338">
        <f t="shared" si="165"/>
        <v>0</v>
      </c>
      <c r="AE133" s="338">
        <f t="shared" si="165"/>
        <v>0</v>
      </c>
      <c r="AF133" s="338">
        <f t="shared" si="165"/>
        <v>0</v>
      </c>
      <c r="AG133" s="338">
        <f t="shared" si="165"/>
        <v>0</v>
      </c>
      <c r="AH133" s="338"/>
      <c r="AI133" s="338">
        <f t="shared" si="166"/>
        <v>0</v>
      </c>
      <c r="AJ133" s="338">
        <f t="shared" si="166"/>
        <v>0</v>
      </c>
      <c r="AK133" s="338">
        <f t="shared" si="166"/>
        <v>0</v>
      </c>
      <c r="AL133" s="338">
        <f t="shared" si="166"/>
        <v>0</v>
      </c>
      <c r="AM133" s="338">
        <f t="shared" si="166"/>
        <v>0</v>
      </c>
      <c r="AN133" s="338">
        <f t="shared" si="166"/>
        <v>0</v>
      </c>
      <c r="AO133" s="338">
        <f t="shared" si="166"/>
        <v>0</v>
      </c>
      <c r="AP133" s="338">
        <f t="shared" si="166"/>
        <v>0</v>
      </c>
      <c r="AS133" s="165" t="s">
        <v>233</v>
      </c>
      <c r="AT133" s="165" t="s">
        <v>922</v>
      </c>
      <c r="AU133" s="165" t="s">
        <v>231</v>
      </c>
      <c r="AV133" s="165">
        <v>206.43611111111099</v>
      </c>
      <c r="AW133" s="165">
        <v>69.4444444444444</v>
      </c>
      <c r="AX133" s="165">
        <v>10.5</v>
      </c>
      <c r="AY133" s="328">
        <v>129.69999999999999</v>
      </c>
      <c r="AZ133" s="328">
        <f t="shared" si="126"/>
        <v>0</v>
      </c>
    </row>
    <row r="134" spans="1:52" ht="34.5" customHeight="1">
      <c r="A134" s="300" t="s">
        <v>277</v>
      </c>
      <c r="B134" s="129" t="s">
        <v>278</v>
      </c>
      <c r="C134" s="196" t="s">
        <v>725</v>
      </c>
      <c r="D134" s="129" t="s">
        <v>231</v>
      </c>
      <c r="E134" s="151"/>
      <c r="F134" s="189"/>
      <c r="G134" s="189"/>
      <c r="H134" s="151"/>
      <c r="I134" s="189"/>
      <c r="J134" s="151"/>
      <c r="K134" s="189"/>
      <c r="L134" s="189"/>
      <c r="M134" s="311">
        <f t="shared" ref="M134" si="171">N134+N134*O134%+P134</f>
        <v>14</v>
      </c>
      <c r="N134" s="311">
        <v>8</v>
      </c>
      <c r="O134" s="311"/>
      <c r="P134" s="311">
        <v>6</v>
      </c>
      <c r="Q134" s="139">
        <f t="shared" ref="Q134" si="172">E134*$M134</f>
        <v>0</v>
      </c>
      <c r="R134" s="139">
        <f t="shared" ref="R134" si="173">F134*$M134</f>
        <v>0</v>
      </c>
      <c r="S134" s="139">
        <f t="shared" ref="S134" si="174">G134*$M134</f>
        <v>0</v>
      </c>
      <c r="T134" s="139">
        <f t="shared" ref="T134" si="175">H134*$M134</f>
        <v>0</v>
      </c>
      <c r="U134" s="139">
        <f t="shared" si="167"/>
        <v>0</v>
      </c>
      <c r="V134" s="139">
        <f t="shared" si="168"/>
        <v>0</v>
      </c>
      <c r="W134" s="139">
        <f t="shared" si="169"/>
        <v>0</v>
      </c>
      <c r="X134" s="139">
        <f t="shared" si="170"/>
        <v>0</v>
      </c>
      <c r="Y134" s="192"/>
      <c r="Z134" s="338"/>
      <c r="AA134" s="338"/>
      <c r="AB134" s="338"/>
      <c r="AC134" s="338"/>
      <c r="AD134" s="338"/>
      <c r="AE134" s="338"/>
      <c r="AF134" s="338"/>
      <c r="AG134" s="338"/>
      <c r="AH134" s="338"/>
      <c r="AI134" s="338"/>
      <c r="AJ134" s="338"/>
      <c r="AK134" s="338"/>
      <c r="AL134" s="338"/>
      <c r="AM134" s="338"/>
      <c r="AN134" s="338"/>
      <c r="AO134" s="338"/>
      <c r="AP134" s="338"/>
      <c r="AY134" s="316"/>
      <c r="AZ134" s="328">
        <f t="shared" si="126"/>
        <v>-14</v>
      </c>
    </row>
    <row r="135" spans="1:52" ht="34.5" customHeight="1">
      <c r="A135" s="300"/>
      <c r="B135" s="129" t="s">
        <v>233</v>
      </c>
      <c r="C135" s="196" t="s">
        <v>726</v>
      </c>
      <c r="D135" s="129" t="s">
        <v>231</v>
      </c>
      <c r="E135" s="189"/>
      <c r="F135" s="189"/>
      <c r="G135" s="189"/>
      <c r="H135" s="189"/>
      <c r="I135" s="189"/>
      <c r="J135" s="189"/>
      <c r="K135" s="189"/>
      <c r="L135" s="189"/>
      <c r="M135" s="311">
        <f t="shared" ref="M135:M157" si="176">N135+N135*O135%+P135</f>
        <v>373.416</v>
      </c>
      <c r="N135" s="311">
        <v>260</v>
      </c>
      <c r="O135" s="311">
        <v>2</v>
      </c>
      <c r="P135" s="311">
        <v>108.21599999999999</v>
      </c>
      <c r="Q135" s="139">
        <f t="shared" ref="Q135:Q157" si="177">E135*$M135</f>
        <v>0</v>
      </c>
      <c r="R135" s="139">
        <f t="shared" ref="R135:R157" si="178">F135*$M135</f>
        <v>0</v>
      </c>
      <c r="S135" s="139">
        <f t="shared" ref="S135:S157" si="179">G135*$M135</f>
        <v>0</v>
      </c>
      <c r="T135" s="139">
        <f t="shared" ref="T135:T157" si="180">H135*$M135</f>
        <v>0</v>
      </c>
      <c r="U135" s="139">
        <f t="shared" si="167"/>
        <v>0</v>
      </c>
      <c r="V135" s="139">
        <f t="shared" si="168"/>
        <v>0</v>
      </c>
      <c r="W135" s="139">
        <f t="shared" si="169"/>
        <v>0</v>
      </c>
      <c r="X135" s="139">
        <f t="shared" si="170"/>
        <v>0</v>
      </c>
      <c r="Y135" s="192"/>
      <c r="Z135" s="338"/>
      <c r="AA135" s="338"/>
      <c r="AB135" s="338"/>
      <c r="AC135" s="338"/>
      <c r="AD135" s="338"/>
      <c r="AE135" s="338"/>
      <c r="AF135" s="338"/>
      <c r="AG135" s="338"/>
      <c r="AH135" s="338"/>
      <c r="AI135" s="338"/>
      <c r="AJ135" s="338"/>
      <c r="AK135" s="338"/>
      <c r="AL135" s="338"/>
      <c r="AM135" s="338"/>
      <c r="AN135" s="338"/>
      <c r="AO135" s="338"/>
      <c r="AP135" s="338"/>
      <c r="AS135" s="165" t="s">
        <v>233</v>
      </c>
      <c r="AT135" s="165" t="s">
        <v>726</v>
      </c>
      <c r="AU135" s="165" t="s">
        <v>231</v>
      </c>
      <c r="AV135" s="165">
        <v>373.416</v>
      </c>
      <c r="AW135" s="165">
        <v>260</v>
      </c>
      <c r="AX135" s="165">
        <v>2</v>
      </c>
      <c r="AY135" s="328">
        <v>108.21599999999999</v>
      </c>
      <c r="AZ135" s="328">
        <f t="shared" si="126"/>
        <v>0</v>
      </c>
    </row>
    <row r="136" spans="1:52" ht="31.5" customHeight="1">
      <c r="A136" s="300"/>
      <c r="B136" s="129">
        <v>3</v>
      </c>
      <c r="C136" s="196" t="s">
        <v>727</v>
      </c>
      <c r="D136" s="129" t="s">
        <v>231</v>
      </c>
      <c r="E136" s="151"/>
      <c r="F136" s="189"/>
      <c r="G136" s="189"/>
      <c r="H136" s="151"/>
      <c r="I136" s="189"/>
      <c r="J136" s="151"/>
      <c r="K136" s="189"/>
      <c r="L136" s="189"/>
      <c r="M136" s="311">
        <f t="shared" si="176"/>
        <v>385.5</v>
      </c>
      <c r="N136" s="311">
        <v>105</v>
      </c>
      <c r="O136" s="311">
        <v>10</v>
      </c>
      <c r="P136" s="311">
        <v>270</v>
      </c>
      <c r="Q136" s="139">
        <f t="shared" si="177"/>
        <v>0</v>
      </c>
      <c r="R136" s="139">
        <f t="shared" si="178"/>
        <v>0</v>
      </c>
      <c r="S136" s="139">
        <f t="shared" si="179"/>
        <v>0</v>
      </c>
      <c r="T136" s="139">
        <f t="shared" si="180"/>
        <v>0</v>
      </c>
      <c r="U136" s="139">
        <f t="shared" si="167"/>
        <v>0</v>
      </c>
      <c r="V136" s="139">
        <f t="shared" si="168"/>
        <v>0</v>
      </c>
      <c r="W136" s="139">
        <f t="shared" si="169"/>
        <v>0</v>
      </c>
      <c r="X136" s="139">
        <f t="shared" si="170"/>
        <v>0</v>
      </c>
      <c r="Y136" s="192"/>
      <c r="Z136" s="338"/>
      <c r="AA136" s="338"/>
      <c r="AB136" s="338"/>
      <c r="AC136" s="338"/>
      <c r="AD136" s="338"/>
      <c r="AE136" s="338"/>
      <c r="AF136" s="338"/>
      <c r="AG136" s="338"/>
      <c r="AH136" s="338"/>
      <c r="AI136" s="338"/>
      <c r="AJ136" s="338"/>
      <c r="AK136" s="338"/>
      <c r="AL136" s="338"/>
      <c r="AM136" s="338"/>
      <c r="AN136" s="338"/>
      <c r="AO136" s="338"/>
      <c r="AP136" s="338"/>
      <c r="AS136" s="165">
        <v>3</v>
      </c>
      <c r="AT136" s="165" t="s">
        <v>727</v>
      </c>
      <c r="AU136" s="165" t="s">
        <v>231</v>
      </c>
      <c r="AV136" s="165">
        <v>385.5</v>
      </c>
      <c r="AW136" s="165">
        <v>105</v>
      </c>
      <c r="AX136" s="165">
        <v>10</v>
      </c>
      <c r="AY136" s="328">
        <v>270</v>
      </c>
      <c r="AZ136" s="328">
        <f t="shared" ref="AZ136" si="181">AV136-M136</f>
        <v>0</v>
      </c>
    </row>
    <row r="137" spans="1:52" ht="31.5" customHeight="1">
      <c r="A137" s="300"/>
      <c r="B137" s="129" t="s">
        <v>233</v>
      </c>
      <c r="C137" s="196" t="s">
        <v>728</v>
      </c>
      <c r="D137" s="129" t="s">
        <v>231</v>
      </c>
      <c r="E137" s="189"/>
      <c r="F137" s="189"/>
      <c r="G137" s="189"/>
      <c r="H137" s="189"/>
      <c r="I137" s="189"/>
      <c r="J137" s="189"/>
      <c r="K137" s="189"/>
      <c r="L137" s="189"/>
      <c r="M137" s="311">
        <f t="shared" si="176"/>
        <v>441.6</v>
      </c>
      <c r="N137" s="311">
        <v>156</v>
      </c>
      <c r="O137" s="311">
        <v>10</v>
      </c>
      <c r="P137" s="311">
        <v>270</v>
      </c>
      <c r="Q137" s="139">
        <f t="shared" si="177"/>
        <v>0</v>
      </c>
      <c r="R137" s="139">
        <f t="shared" si="178"/>
        <v>0</v>
      </c>
      <c r="S137" s="139">
        <f t="shared" si="179"/>
        <v>0</v>
      </c>
      <c r="T137" s="139">
        <f t="shared" si="180"/>
        <v>0</v>
      </c>
      <c r="U137" s="139">
        <f t="shared" si="167"/>
        <v>0</v>
      </c>
      <c r="V137" s="139">
        <f t="shared" si="168"/>
        <v>0</v>
      </c>
      <c r="W137" s="139">
        <f t="shared" si="169"/>
        <v>0</v>
      </c>
      <c r="X137" s="139">
        <f t="shared" si="170"/>
        <v>0</v>
      </c>
      <c r="Y137" s="192"/>
      <c r="Z137" s="338"/>
      <c r="AA137" s="338"/>
      <c r="AB137" s="338"/>
      <c r="AC137" s="338"/>
      <c r="AD137" s="338"/>
      <c r="AE137" s="338"/>
      <c r="AF137" s="338"/>
      <c r="AG137" s="338"/>
      <c r="AH137" s="338"/>
      <c r="AI137" s="338"/>
      <c r="AJ137" s="338"/>
      <c r="AK137" s="338"/>
      <c r="AL137" s="338"/>
      <c r="AM137" s="338"/>
      <c r="AN137" s="338"/>
      <c r="AO137" s="338"/>
      <c r="AP137" s="338"/>
      <c r="AS137" s="165" t="s">
        <v>233</v>
      </c>
      <c r="AT137" s="165" t="s">
        <v>728</v>
      </c>
      <c r="AU137" s="165" t="s">
        <v>231</v>
      </c>
      <c r="AV137" s="165">
        <v>441.6</v>
      </c>
      <c r="AW137" s="165">
        <v>156</v>
      </c>
      <c r="AX137" s="165">
        <v>10</v>
      </c>
      <c r="AY137" s="328">
        <v>270</v>
      </c>
      <c r="AZ137" s="328">
        <f t="shared" ref="AZ137:AZ167" si="182">AV137-M137</f>
        <v>0</v>
      </c>
    </row>
    <row r="138" spans="1:52" ht="31.5" customHeight="1">
      <c r="A138" s="300"/>
      <c r="B138" s="129" t="s">
        <v>233</v>
      </c>
      <c r="C138" s="196" t="s">
        <v>729</v>
      </c>
      <c r="D138" s="129" t="s">
        <v>231</v>
      </c>
      <c r="E138" s="151"/>
      <c r="F138" s="189"/>
      <c r="G138" s="189"/>
      <c r="H138" s="151"/>
      <c r="I138" s="189"/>
      <c r="J138" s="151"/>
      <c r="K138" s="189"/>
      <c r="L138" s="189"/>
      <c r="M138" s="311">
        <f t="shared" si="176"/>
        <v>322.60000000000002</v>
      </c>
      <c r="N138" s="311">
        <v>200</v>
      </c>
      <c r="O138" s="311">
        <v>10</v>
      </c>
      <c r="P138" s="311">
        <v>102.6</v>
      </c>
      <c r="Q138" s="139">
        <f t="shared" si="177"/>
        <v>0</v>
      </c>
      <c r="R138" s="139">
        <f t="shared" si="178"/>
        <v>0</v>
      </c>
      <c r="S138" s="139">
        <f t="shared" si="179"/>
        <v>0</v>
      </c>
      <c r="T138" s="139">
        <f t="shared" si="180"/>
        <v>0</v>
      </c>
      <c r="U138" s="139">
        <f t="shared" si="167"/>
        <v>0</v>
      </c>
      <c r="V138" s="139">
        <f t="shared" si="168"/>
        <v>0</v>
      </c>
      <c r="W138" s="139">
        <f t="shared" si="169"/>
        <v>0</v>
      </c>
      <c r="X138" s="139">
        <f t="shared" si="170"/>
        <v>0</v>
      </c>
      <c r="Y138" s="192"/>
      <c r="Z138" s="338"/>
      <c r="AA138" s="338"/>
      <c r="AB138" s="338"/>
      <c r="AC138" s="338"/>
      <c r="AD138" s="338"/>
      <c r="AE138" s="338"/>
      <c r="AF138" s="338"/>
      <c r="AG138" s="338"/>
      <c r="AH138" s="338"/>
      <c r="AI138" s="338"/>
      <c r="AJ138" s="338"/>
      <c r="AK138" s="338"/>
      <c r="AL138" s="338"/>
      <c r="AM138" s="338"/>
      <c r="AN138" s="338"/>
      <c r="AO138" s="338"/>
      <c r="AP138" s="338"/>
      <c r="AS138" s="165" t="s">
        <v>233</v>
      </c>
      <c r="AT138" s="165" t="s">
        <v>729</v>
      </c>
      <c r="AU138" s="165" t="s">
        <v>231</v>
      </c>
      <c r="AV138" s="165">
        <v>322.60000000000002</v>
      </c>
      <c r="AW138" s="165">
        <v>200</v>
      </c>
      <c r="AX138" s="165">
        <v>10</v>
      </c>
      <c r="AY138" s="328">
        <v>102.6</v>
      </c>
      <c r="AZ138" s="328">
        <f t="shared" si="182"/>
        <v>0</v>
      </c>
    </row>
    <row r="139" spans="1:52" ht="31.5" customHeight="1">
      <c r="A139" s="300"/>
      <c r="B139" s="129">
        <v>4</v>
      </c>
      <c r="C139" s="196" t="s">
        <v>730</v>
      </c>
      <c r="D139" s="129" t="s">
        <v>231</v>
      </c>
      <c r="E139" s="189"/>
      <c r="F139" s="189"/>
      <c r="G139" s="189"/>
      <c r="H139" s="189"/>
      <c r="I139" s="189"/>
      <c r="J139" s="189"/>
      <c r="K139" s="189"/>
      <c r="L139" s="189"/>
      <c r="M139" s="311">
        <f t="shared" si="176"/>
        <v>147.45600000000002</v>
      </c>
      <c r="N139" s="311">
        <v>60</v>
      </c>
      <c r="O139" s="311">
        <v>5</v>
      </c>
      <c r="P139" s="311">
        <v>84.456000000000003</v>
      </c>
      <c r="Q139" s="139">
        <f t="shared" si="177"/>
        <v>0</v>
      </c>
      <c r="R139" s="139">
        <f t="shared" si="178"/>
        <v>0</v>
      </c>
      <c r="S139" s="139">
        <f t="shared" si="179"/>
        <v>0</v>
      </c>
      <c r="T139" s="139">
        <f t="shared" si="180"/>
        <v>0</v>
      </c>
      <c r="U139" s="139">
        <f t="shared" si="167"/>
        <v>0</v>
      </c>
      <c r="V139" s="139">
        <f t="shared" si="168"/>
        <v>0</v>
      </c>
      <c r="W139" s="139">
        <f t="shared" si="169"/>
        <v>0</v>
      </c>
      <c r="X139" s="139">
        <f t="shared" si="170"/>
        <v>0</v>
      </c>
      <c r="Y139" s="192"/>
      <c r="Z139" s="338"/>
      <c r="AA139" s="338"/>
      <c r="AB139" s="338"/>
      <c r="AC139" s="338"/>
      <c r="AD139" s="338"/>
      <c r="AE139" s="338"/>
      <c r="AF139" s="338"/>
      <c r="AG139" s="338"/>
      <c r="AH139" s="338"/>
      <c r="AI139" s="338"/>
      <c r="AJ139" s="338"/>
      <c r="AK139" s="338"/>
      <c r="AL139" s="338"/>
      <c r="AM139" s="338"/>
      <c r="AN139" s="338"/>
      <c r="AO139" s="338"/>
      <c r="AP139" s="338"/>
      <c r="AS139" s="165">
        <v>4</v>
      </c>
      <c r="AT139" s="165" t="s">
        <v>730</v>
      </c>
      <c r="AU139" s="165" t="s">
        <v>231</v>
      </c>
      <c r="AV139" s="165">
        <v>147.45599999999999</v>
      </c>
      <c r="AW139" s="165">
        <v>60</v>
      </c>
      <c r="AX139" s="165">
        <v>5</v>
      </c>
      <c r="AY139" s="328">
        <v>84.456000000000003</v>
      </c>
      <c r="AZ139" s="328">
        <f t="shared" si="182"/>
        <v>0</v>
      </c>
    </row>
    <row r="140" spans="1:52" ht="31.5" customHeight="1">
      <c r="A140" s="300"/>
      <c r="B140" s="129">
        <v>5</v>
      </c>
      <c r="C140" s="196" t="s">
        <v>731</v>
      </c>
      <c r="D140" s="129" t="s">
        <v>231</v>
      </c>
      <c r="E140" s="151"/>
      <c r="F140" s="189"/>
      <c r="G140" s="189"/>
      <c r="H140" s="151"/>
      <c r="I140" s="189"/>
      <c r="J140" s="151"/>
      <c r="K140" s="189"/>
      <c r="L140" s="189"/>
      <c r="M140" s="311">
        <f t="shared" si="176"/>
        <v>21.43271</v>
      </c>
      <c r="N140" s="311">
        <f>N17</f>
        <v>2.2087100000000004</v>
      </c>
      <c r="O140" s="311">
        <v>0</v>
      </c>
      <c r="P140" s="311">
        <v>19.224</v>
      </c>
      <c r="Q140" s="139">
        <f t="shared" si="177"/>
        <v>0</v>
      </c>
      <c r="R140" s="139">
        <f t="shared" si="178"/>
        <v>0</v>
      </c>
      <c r="S140" s="139">
        <f t="shared" si="179"/>
        <v>0</v>
      </c>
      <c r="T140" s="139">
        <f t="shared" si="180"/>
        <v>0</v>
      </c>
      <c r="U140" s="139">
        <f t="shared" si="167"/>
        <v>0</v>
      </c>
      <c r="V140" s="139">
        <f t="shared" si="168"/>
        <v>0</v>
      </c>
      <c r="W140" s="139">
        <f t="shared" si="169"/>
        <v>0</v>
      </c>
      <c r="X140" s="139">
        <f t="shared" si="170"/>
        <v>0</v>
      </c>
      <c r="Y140" s="192" t="s">
        <v>244</v>
      </c>
      <c r="Z140" s="338">
        <f>Q140</f>
        <v>0</v>
      </c>
      <c r="AA140" s="338">
        <f t="shared" ref="AA140" si="183">R140</f>
        <v>0</v>
      </c>
      <c r="AB140" s="338">
        <f t="shared" ref="AB140:AG140" si="184">S140</f>
        <v>0</v>
      </c>
      <c r="AC140" s="338">
        <f t="shared" si="184"/>
        <v>0</v>
      </c>
      <c r="AD140" s="338">
        <f t="shared" si="184"/>
        <v>0</v>
      </c>
      <c r="AE140" s="338">
        <f t="shared" si="184"/>
        <v>0</v>
      </c>
      <c r="AF140" s="338">
        <f t="shared" si="184"/>
        <v>0</v>
      </c>
      <c r="AG140" s="338">
        <f t="shared" si="184"/>
        <v>0</v>
      </c>
      <c r="AH140" s="338"/>
      <c r="AI140" s="338">
        <f>E140*$N140*(1+$O140%)</f>
        <v>0</v>
      </c>
      <c r="AJ140" s="338">
        <f t="shared" ref="AJ140" si="185">F140*$N140*(1+$O140%)</f>
        <v>0</v>
      </c>
      <c r="AK140" s="338">
        <f t="shared" ref="AK140:AP140" si="186">G140*$N140*(1+$O140%)</f>
        <v>0</v>
      </c>
      <c r="AL140" s="338">
        <f t="shared" si="186"/>
        <v>0</v>
      </c>
      <c r="AM140" s="338">
        <f t="shared" si="186"/>
        <v>0</v>
      </c>
      <c r="AN140" s="338">
        <f t="shared" si="186"/>
        <v>0</v>
      </c>
      <c r="AO140" s="338">
        <f t="shared" si="186"/>
        <v>0</v>
      </c>
      <c r="AP140" s="338">
        <f t="shared" si="186"/>
        <v>0</v>
      </c>
      <c r="AS140" s="165">
        <v>5</v>
      </c>
      <c r="AT140" s="165" t="s">
        <v>731</v>
      </c>
      <c r="AU140" s="165" t="s">
        <v>231</v>
      </c>
      <c r="AV140" s="165">
        <v>21.859439999999999</v>
      </c>
      <c r="AW140" s="165">
        <v>2.63544</v>
      </c>
      <c r="AX140" s="165">
        <v>0</v>
      </c>
      <c r="AY140" s="328">
        <v>19.224</v>
      </c>
      <c r="AZ140" s="328">
        <f t="shared" si="182"/>
        <v>0.42672999999999917</v>
      </c>
    </row>
    <row r="141" spans="1:52" ht="31.5" customHeight="1">
      <c r="A141" s="300"/>
      <c r="B141" s="129">
        <v>6</v>
      </c>
      <c r="C141" s="196" t="s">
        <v>732</v>
      </c>
      <c r="D141" s="129" t="s">
        <v>235</v>
      </c>
      <c r="E141" s="189"/>
      <c r="F141" s="189"/>
      <c r="G141" s="189"/>
      <c r="H141" s="189"/>
      <c r="I141" s="189"/>
      <c r="J141" s="189"/>
      <c r="K141" s="189"/>
      <c r="L141" s="189"/>
      <c r="M141" s="311">
        <f t="shared" si="176"/>
        <v>12.023</v>
      </c>
      <c r="N141" s="311">
        <v>3.5</v>
      </c>
      <c r="O141" s="311">
        <v>9</v>
      </c>
      <c r="P141" s="311">
        <v>8.2080000000000002</v>
      </c>
      <c r="Q141" s="139">
        <f t="shared" si="177"/>
        <v>0</v>
      </c>
      <c r="R141" s="139">
        <f t="shared" si="178"/>
        <v>0</v>
      </c>
      <c r="S141" s="139">
        <f t="shared" si="179"/>
        <v>0</v>
      </c>
      <c r="T141" s="139">
        <f t="shared" si="180"/>
        <v>0</v>
      </c>
      <c r="U141" s="139">
        <f t="shared" si="167"/>
        <v>0</v>
      </c>
      <c r="V141" s="139">
        <f t="shared" si="168"/>
        <v>0</v>
      </c>
      <c r="W141" s="139">
        <f t="shared" si="169"/>
        <v>0</v>
      </c>
      <c r="X141" s="139">
        <f t="shared" si="170"/>
        <v>0</v>
      </c>
      <c r="Y141" s="192"/>
      <c r="Z141" s="338"/>
      <c r="AA141" s="338"/>
      <c r="AB141" s="338"/>
      <c r="AC141" s="338"/>
      <c r="AD141" s="338"/>
      <c r="AE141" s="338"/>
      <c r="AF141" s="338"/>
      <c r="AG141" s="338"/>
      <c r="AH141" s="338"/>
      <c r="AI141" s="338"/>
      <c r="AJ141" s="338"/>
      <c r="AK141" s="338"/>
      <c r="AL141" s="338"/>
      <c r="AM141" s="338"/>
      <c r="AN141" s="338"/>
      <c r="AO141" s="338"/>
      <c r="AP141" s="338"/>
      <c r="AS141" s="165">
        <v>6</v>
      </c>
      <c r="AT141" s="165" t="s">
        <v>732</v>
      </c>
      <c r="AU141" s="165" t="s">
        <v>235</v>
      </c>
      <c r="AV141" s="165">
        <v>12.023</v>
      </c>
      <c r="AW141" s="165">
        <v>3.5</v>
      </c>
      <c r="AX141" s="165">
        <v>9</v>
      </c>
      <c r="AY141" s="328">
        <v>8.2080000000000002</v>
      </c>
      <c r="AZ141" s="328">
        <f t="shared" si="182"/>
        <v>0</v>
      </c>
    </row>
    <row r="142" spans="1:52" ht="31.5" customHeight="1">
      <c r="A142" s="300"/>
      <c r="B142" s="129">
        <v>7</v>
      </c>
      <c r="C142" s="196" t="s">
        <v>923</v>
      </c>
      <c r="D142" s="129" t="s">
        <v>235</v>
      </c>
      <c r="E142" s="151"/>
      <c r="F142" s="189"/>
      <c r="G142" s="189"/>
      <c r="H142" s="151"/>
      <c r="I142" s="189"/>
      <c r="J142" s="151"/>
      <c r="K142" s="189"/>
      <c r="L142" s="189"/>
      <c r="M142" s="311">
        <f t="shared" si="176"/>
        <v>15.25</v>
      </c>
      <c r="N142" s="311">
        <v>5</v>
      </c>
      <c r="O142" s="311">
        <v>9</v>
      </c>
      <c r="P142" s="311">
        <v>9.8000000000000007</v>
      </c>
      <c r="Q142" s="139">
        <f t="shared" si="177"/>
        <v>0</v>
      </c>
      <c r="R142" s="139">
        <f t="shared" si="178"/>
        <v>0</v>
      </c>
      <c r="S142" s="139">
        <f t="shared" si="179"/>
        <v>0</v>
      </c>
      <c r="T142" s="139">
        <f t="shared" si="180"/>
        <v>0</v>
      </c>
      <c r="U142" s="139">
        <f t="shared" si="167"/>
        <v>0</v>
      </c>
      <c r="V142" s="139">
        <f t="shared" si="168"/>
        <v>0</v>
      </c>
      <c r="W142" s="139">
        <f t="shared" si="169"/>
        <v>0</v>
      </c>
      <c r="X142" s="139">
        <f t="shared" si="170"/>
        <v>0</v>
      </c>
      <c r="Y142" s="192"/>
      <c r="Z142" s="338"/>
      <c r="AA142" s="338"/>
      <c r="AB142" s="338"/>
      <c r="AC142" s="338"/>
      <c r="AD142" s="338"/>
      <c r="AE142" s="338"/>
      <c r="AF142" s="338"/>
      <c r="AG142" s="338"/>
      <c r="AH142" s="338"/>
      <c r="AI142" s="338"/>
      <c r="AJ142" s="338"/>
      <c r="AK142" s="338"/>
      <c r="AL142" s="338"/>
      <c r="AM142" s="338"/>
      <c r="AN142" s="338"/>
      <c r="AO142" s="338"/>
      <c r="AP142" s="338"/>
      <c r="AS142" s="165">
        <v>7</v>
      </c>
      <c r="AT142" s="165" t="s">
        <v>923</v>
      </c>
      <c r="AU142" s="165" t="s">
        <v>235</v>
      </c>
      <c r="AV142" s="165">
        <v>15.25</v>
      </c>
      <c r="AW142" s="165">
        <v>5</v>
      </c>
      <c r="AX142" s="165">
        <v>9</v>
      </c>
      <c r="AY142" s="328">
        <v>9.8000000000000007</v>
      </c>
      <c r="AZ142" s="328">
        <f t="shared" si="182"/>
        <v>0</v>
      </c>
    </row>
    <row r="143" spans="1:52" ht="31.5" customHeight="1">
      <c r="A143" s="300"/>
      <c r="B143" s="129">
        <v>8</v>
      </c>
      <c r="C143" s="196" t="s">
        <v>733</v>
      </c>
      <c r="D143" s="129" t="s">
        <v>231</v>
      </c>
      <c r="E143" s="189"/>
      <c r="F143" s="189"/>
      <c r="G143" s="189"/>
      <c r="H143" s="189"/>
      <c r="I143" s="189"/>
      <c r="J143" s="189"/>
      <c r="K143" s="189"/>
      <c r="L143" s="189"/>
      <c r="M143" s="311">
        <f t="shared" si="176"/>
        <v>232.44</v>
      </c>
      <c r="N143" s="311">
        <v>120</v>
      </c>
      <c r="O143" s="311">
        <v>10</v>
      </c>
      <c r="P143" s="311">
        <v>100.44</v>
      </c>
      <c r="Q143" s="139">
        <f t="shared" si="177"/>
        <v>0</v>
      </c>
      <c r="R143" s="139">
        <f t="shared" si="178"/>
        <v>0</v>
      </c>
      <c r="S143" s="139">
        <f t="shared" si="179"/>
        <v>0</v>
      </c>
      <c r="T143" s="139">
        <f t="shared" si="180"/>
        <v>0</v>
      </c>
      <c r="U143" s="139">
        <f t="shared" si="167"/>
        <v>0</v>
      </c>
      <c r="V143" s="139">
        <f t="shared" si="168"/>
        <v>0</v>
      </c>
      <c r="W143" s="139">
        <f t="shared" si="169"/>
        <v>0</v>
      </c>
      <c r="X143" s="139">
        <f t="shared" si="170"/>
        <v>0</v>
      </c>
      <c r="Y143" s="192"/>
      <c r="Z143" s="338"/>
      <c r="AA143" s="338"/>
      <c r="AB143" s="338"/>
      <c r="AC143" s="338"/>
      <c r="AD143" s="338"/>
      <c r="AE143" s="338"/>
      <c r="AF143" s="338"/>
      <c r="AG143" s="338"/>
      <c r="AH143" s="338"/>
      <c r="AI143" s="338"/>
      <c r="AJ143" s="338"/>
      <c r="AK143" s="338"/>
      <c r="AL143" s="338"/>
      <c r="AM143" s="338"/>
      <c r="AN143" s="338"/>
      <c r="AO143" s="338"/>
      <c r="AP143" s="338"/>
      <c r="AS143" s="165">
        <v>8</v>
      </c>
      <c r="AT143" s="165" t="s">
        <v>733</v>
      </c>
      <c r="AU143" s="165" t="s">
        <v>231</v>
      </c>
      <c r="AV143" s="165">
        <v>232.44</v>
      </c>
      <c r="AW143" s="165">
        <v>120</v>
      </c>
      <c r="AX143" s="165">
        <v>10</v>
      </c>
      <c r="AY143" s="328">
        <v>100.44</v>
      </c>
      <c r="AZ143" s="328">
        <f t="shared" si="182"/>
        <v>0</v>
      </c>
    </row>
    <row r="144" spans="1:52" ht="30.75" customHeight="1">
      <c r="A144" s="300" t="s">
        <v>924</v>
      </c>
      <c r="B144" s="129" t="s">
        <v>278</v>
      </c>
      <c r="C144" s="196" t="s">
        <v>925</v>
      </c>
      <c r="D144" s="129" t="s">
        <v>231</v>
      </c>
      <c r="E144" s="151"/>
      <c r="F144" s="189"/>
      <c r="G144" s="189"/>
      <c r="H144" s="151"/>
      <c r="I144" s="189"/>
      <c r="J144" s="151"/>
      <c r="K144" s="189"/>
      <c r="L144" s="189"/>
      <c r="M144" s="311">
        <f t="shared" si="176"/>
        <v>379.24</v>
      </c>
      <c r="N144" s="311">
        <v>280</v>
      </c>
      <c r="O144" s="311">
        <v>2</v>
      </c>
      <c r="P144" s="311">
        <v>93.64</v>
      </c>
      <c r="Q144" s="139">
        <f t="shared" si="177"/>
        <v>0</v>
      </c>
      <c r="R144" s="139">
        <f t="shared" si="178"/>
        <v>0</v>
      </c>
      <c r="S144" s="139">
        <f t="shared" si="179"/>
        <v>0</v>
      </c>
      <c r="T144" s="139">
        <f t="shared" si="180"/>
        <v>0</v>
      </c>
      <c r="U144" s="139">
        <f t="shared" si="167"/>
        <v>0</v>
      </c>
      <c r="V144" s="139">
        <f t="shared" si="168"/>
        <v>0</v>
      </c>
      <c r="W144" s="139">
        <f t="shared" si="169"/>
        <v>0</v>
      </c>
      <c r="X144" s="139">
        <f t="shared" si="170"/>
        <v>0</v>
      </c>
      <c r="Y144" s="315"/>
      <c r="Z144" s="338"/>
      <c r="AA144" s="338"/>
      <c r="AB144" s="338"/>
      <c r="AC144" s="338"/>
      <c r="AD144" s="338"/>
      <c r="AE144" s="338"/>
      <c r="AF144" s="338"/>
      <c r="AG144" s="338"/>
      <c r="AH144" s="338"/>
      <c r="AI144" s="338"/>
      <c r="AJ144" s="338"/>
      <c r="AK144" s="338"/>
      <c r="AL144" s="338"/>
      <c r="AM144" s="338"/>
      <c r="AN144" s="338"/>
      <c r="AO144" s="338"/>
      <c r="AP144" s="338"/>
      <c r="AY144" s="316"/>
      <c r="AZ144" s="328">
        <f t="shared" si="182"/>
        <v>-379.24</v>
      </c>
    </row>
    <row r="145" spans="1:52" ht="30.75" customHeight="1">
      <c r="A145" s="300" t="s">
        <v>924</v>
      </c>
      <c r="B145" s="129" t="s">
        <v>278</v>
      </c>
      <c r="C145" s="192" t="s">
        <v>926</v>
      </c>
      <c r="D145" s="129" t="s">
        <v>235</v>
      </c>
      <c r="E145" s="189"/>
      <c r="F145" s="189"/>
      <c r="G145" s="189"/>
      <c r="H145" s="189"/>
      <c r="I145" s="189"/>
      <c r="J145" s="189"/>
      <c r="K145" s="189"/>
      <c r="L145" s="189"/>
      <c r="M145" s="311">
        <f t="shared" si="176"/>
        <v>136.4</v>
      </c>
      <c r="N145" s="311">
        <v>80</v>
      </c>
      <c r="O145" s="311">
        <v>3</v>
      </c>
      <c r="P145" s="311">
        <v>54</v>
      </c>
      <c r="Q145" s="139">
        <f t="shared" si="177"/>
        <v>0</v>
      </c>
      <c r="R145" s="139">
        <f t="shared" si="178"/>
        <v>0</v>
      </c>
      <c r="S145" s="139">
        <f t="shared" si="179"/>
        <v>0</v>
      </c>
      <c r="T145" s="139">
        <f t="shared" si="180"/>
        <v>0</v>
      </c>
      <c r="U145" s="139">
        <f t="shared" si="167"/>
        <v>0</v>
      </c>
      <c r="V145" s="139">
        <f t="shared" si="168"/>
        <v>0</v>
      </c>
      <c r="W145" s="139">
        <f t="shared" si="169"/>
        <v>0</v>
      </c>
      <c r="X145" s="139">
        <f t="shared" si="170"/>
        <v>0</v>
      </c>
      <c r="Y145" s="315"/>
      <c r="Z145" s="338"/>
      <c r="AA145" s="338"/>
      <c r="AB145" s="338"/>
      <c r="AC145" s="338"/>
      <c r="AD145" s="338"/>
      <c r="AE145" s="338"/>
      <c r="AF145" s="338"/>
      <c r="AG145" s="338"/>
      <c r="AH145" s="338"/>
      <c r="AI145" s="338"/>
      <c r="AJ145" s="338"/>
      <c r="AK145" s="338"/>
      <c r="AL145" s="338"/>
      <c r="AM145" s="338"/>
      <c r="AN145" s="338"/>
      <c r="AO145" s="338"/>
      <c r="AP145" s="338"/>
      <c r="AY145" s="316"/>
      <c r="AZ145" s="328">
        <f t="shared" si="182"/>
        <v>-136.4</v>
      </c>
    </row>
    <row r="146" spans="1:52" ht="30.75" customHeight="1">
      <c r="A146" s="300" t="s">
        <v>924</v>
      </c>
      <c r="B146" s="129" t="s">
        <v>278</v>
      </c>
      <c r="C146" s="192" t="s">
        <v>927</v>
      </c>
      <c r="D146" s="129" t="s">
        <v>235</v>
      </c>
      <c r="E146" s="151"/>
      <c r="F146" s="189"/>
      <c r="G146" s="189"/>
      <c r="H146" s="151"/>
      <c r="I146" s="189"/>
      <c r="J146" s="151"/>
      <c r="K146" s="189"/>
      <c r="L146" s="189"/>
      <c r="M146" s="311">
        <f t="shared" si="176"/>
        <v>396.87</v>
      </c>
      <c r="N146" s="311">
        <f>'附件4-8甲供材料清单'!K167</f>
        <v>363</v>
      </c>
      <c r="O146" s="311">
        <v>1</v>
      </c>
      <c r="P146" s="311">
        <v>30.24</v>
      </c>
      <c r="Q146" s="139">
        <f t="shared" si="177"/>
        <v>0</v>
      </c>
      <c r="R146" s="139">
        <f t="shared" si="178"/>
        <v>0</v>
      </c>
      <c r="S146" s="139">
        <f t="shared" si="179"/>
        <v>0</v>
      </c>
      <c r="T146" s="139">
        <f t="shared" si="180"/>
        <v>0</v>
      </c>
      <c r="U146" s="139">
        <f t="shared" si="167"/>
        <v>0</v>
      </c>
      <c r="V146" s="139">
        <f t="shared" si="168"/>
        <v>0</v>
      </c>
      <c r="W146" s="139">
        <f t="shared" si="169"/>
        <v>0</v>
      </c>
      <c r="X146" s="139">
        <f t="shared" si="170"/>
        <v>0</v>
      </c>
      <c r="Y146" s="315" t="s">
        <v>244</v>
      </c>
      <c r="Z146" s="338">
        <f t="shared" ref="Z146" si="187">Q146</f>
        <v>0</v>
      </c>
      <c r="AA146" s="338">
        <f t="shared" ref="AA146" si="188">R146</f>
        <v>0</v>
      </c>
      <c r="AB146" s="338">
        <f t="shared" ref="AB146:AG146" si="189">S146</f>
        <v>0</v>
      </c>
      <c r="AC146" s="338">
        <f t="shared" si="189"/>
        <v>0</v>
      </c>
      <c r="AD146" s="338">
        <f t="shared" si="189"/>
        <v>0</v>
      </c>
      <c r="AE146" s="338">
        <f t="shared" si="189"/>
        <v>0</v>
      </c>
      <c r="AF146" s="338">
        <f t="shared" si="189"/>
        <v>0</v>
      </c>
      <c r="AG146" s="338">
        <f t="shared" si="189"/>
        <v>0</v>
      </c>
      <c r="AH146" s="338"/>
      <c r="AI146" s="338">
        <f t="shared" ref="AI146" si="190">E146*$N146*(1+$O146%)</f>
        <v>0</v>
      </c>
      <c r="AJ146" s="338">
        <f t="shared" ref="AJ146" si="191">F146*$N146*(1+$O146%)</f>
        <v>0</v>
      </c>
      <c r="AK146" s="338">
        <f t="shared" ref="AK146:AP146" si="192">G146*$N146*(1+$O146%)</f>
        <v>0</v>
      </c>
      <c r="AL146" s="338">
        <f t="shared" si="192"/>
        <v>0</v>
      </c>
      <c r="AM146" s="338">
        <f t="shared" si="192"/>
        <v>0</v>
      </c>
      <c r="AN146" s="338">
        <f t="shared" si="192"/>
        <v>0</v>
      </c>
      <c r="AO146" s="338">
        <f t="shared" si="192"/>
        <v>0</v>
      </c>
      <c r="AP146" s="338">
        <f t="shared" si="192"/>
        <v>0</v>
      </c>
      <c r="AY146" s="316"/>
      <c r="AZ146" s="328">
        <f t="shared" si="182"/>
        <v>-396.87</v>
      </c>
    </row>
    <row r="147" spans="1:52" ht="31.5" customHeight="1">
      <c r="A147" s="300"/>
      <c r="B147" s="129"/>
      <c r="C147" s="266" t="s">
        <v>736</v>
      </c>
      <c r="D147" s="129"/>
      <c r="E147" s="189"/>
      <c r="F147" s="189"/>
      <c r="G147" s="189"/>
      <c r="H147" s="189"/>
      <c r="I147" s="189"/>
      <c r="J147" s="189"/>
      <c r="K147" s="189"/>
      <c r="L147" s="189"/>
      <c r="M147" s="311">
        <f t="shared" si="176"/>
        <v>0</v>
      </c>
      <c r="N147" s="311"/>
      <c r="O147" s="311"/>
      <c r="P147" s="311"/>
      <c r="Q147" s="139">
        <f t="shared" si="177"/>
        <v>0</v>
      </c>
      <c r="R147" s="139">
        <f t="shared" si="178"/>
        <v>0</v>
      </c>
      <c r="S147" s="139">
        <f t="shared" si="179"/>
        <v>0</v>
      </c>
      <c r="T147" s="139">
        <f t="shared" si="180"/>
        <v>0</v>
      </c>
      <c r="U147" s="139">
        <f t="shared" si="167"/>
        <v>0</v>
      </c>
      <c r="V147" s="139">
        <f t="shared" si="168"/>
        <v>0</v>
      </c>
      <c r="W147" s="139">
        <f t="shared" si="169"/>
        <v>0</v>
      </c>
      <c r="X147" s="139">
        <f t="shared" si="170"/>
        <v>0</v>
      </c>
      <c r="Y147" s="192"/>
      <c r="Z147" s="338"/>
      <c r="AA147" s="338"/>
      <c r="AB147" s="338"/>
      <c r="AC147" s="338"/>
      <c r="AD147" s="338"/>
      <c r="AE147" s="338"/>
      <c r="AF147" s="338"/>
      <c r="AG147" s="338"/>
      <c r="AH147" s="338"/>
      <c r="AI147" s="338"/>
      <c r="AJ147" s="338"/>
      <c r="AK147" s="338"/>
      <c r="AL147" s="338"/>
      <c r="AM147" s="338"/>
      <c r="AN147" s="338"/>
      <c r="AO147" s="338"/>
      <c r="AP147" s="338"/>
      <c r="AS147" s="165"/>
      <c r="AT147" s="165" t="s">
        <v>736</v>
      </c>
      <c r="AU147" s="165"/>
      <c r="AV147" s="165">
        <v>0</v>
      </c>
      <c r="AW147" s="165"/>
      <c r="AX147" s="165"/>
      <c r="AY147" s="328"/>
      <c r="AZ147" s="328">
        <f t="shared" si="182"/>
        <v>0</v>
      </c>
    </row>
    <row r="148" spans="1:52" ht="42" customHeight="1">
      <c r="A148" s="300"/>
      <c r="B148" s="129">
        <v>1</v>
      </c>
      <c r="C148" s="196" t="s">
        <v>737</v>
      </c>
      <c r="D148" s="129" t="s">
        <v>231</v>
      </c>
      <c r="E148" s="151"/>
      <c r="F148" s="189"/>
      <c r="G148" s="189"/>
      <c r="H148" s="151"/>
      <c r="I148" s="189"/>
      <c r="J148" s="151"/>
      <c r="K148" s="189"/>
      <c r="L148" s="189"/>
      <c r="M148" s="311">
        <f t="shared" si="176"/>
        <v>397.44</v>
      </c>
      <c r="N148" s="311">
        <v>0</v>
      </c>
      <c r="O148" s="311">
        <v>0</v>
      </c>
      <c r="P148" s="311">
        <v>397.44</v>
      </c>
      <c r="Q148" s="139">
        <f t="shared" si="177"/>
        <v>0</v>
      </c>
      <c r="R148" s="139">
        <f t="shared" si="178"/>
        <v>0</v>
      </c>
      <c r="S148" s="139">
        <f t="shared" si="179"/>
        <v>0</v>
      </c>
      <c r="T148" s="139">
        <f t="shared" si="180"/>
        <v>0</v>
      </c>
      <c r="U148" s="139">
        <f t="shared" si="167"/>
        <v>0</v>
      </c>
      <c r="V148" s="139">
        <f t="shared" si="168"/>
        <v>0</v>
      </c>
      <c r="W148" s="139">
        <f t="shared" si="169"/>
        <v>0</v>
      </c>
      <c r="X148" s="139">
        <f t="shared" si="170"/>
        <v>0</v>
      </c>
      <c r="Y148" s="192" t="s">
        <v>738</v>
      </c>
      <c r="Z148" s="338"/>
      <c r="AA148" s="338"/>
      <c r="AB148" s="338"/>
      <c r="AC148" s="338"/>
      <c r="AD148" s="338"/>
      <c r="AE148" s="338"/>
      <c r="AF148" s="338"/>
      <c r="AG148" s="338"/>
      <c r="AH148" s="338"/>
      <c r="AI148" s="338"/>
      <c r="AJ148" s="338"/>
      <c r="AK148" s="338"/>
      <c r="AL148" s="338"/>
      <c r="AM148" s="338"/>
      <c r="AN148" s="338"/>
      <c r="AO148" s="338"/>
      <c r="AP148" s="338"/>
      <c r="AS148" s="165">
        <v>1</v>
      </c>
      <c r="AT148" s="165" t="s">
        <v>737</v>
      </c>
      <c r="AU148" s="165" t="s">
        <v>231</v>
      </c>
      <c r="AV148" s="165">
        <v>397.44</v>
      </c>
      <c r="AW148" s="165">
        <v>0</v>
      </c>
      <c r="AX148" s="165">
        <v>0</v>
      </c>
      <c r="AY148" s="328">
        <v>397.44</v>
      </c>
      <c r="AZ148" s="328">
        <f t="shared" si="182"/>
        <v>0</v>
      </c>
    </row>
    <row r="149" spans="1:52" ht="22.5">
      <c r="A149" s="300"/>
      <c r="B149" s="129">
        <v>2</v>
      </c>
      <c r="C149" s="196" t="s">
        <v>739</v>
      </c>
      <c r="D149" s="129" t="s">
        <v>231</v>
      </c>
      <c r="E149" s="189"/>
      <c r="F149" s="189"/>
      <c r="G149" s="189"/>
      <c r="H149" s="189"/>
      <c r="I149" s="189"/>
      <c r="J149" s="189"/>
      <c r="K149" s="189"/>
      <c r="L149" s="189"/>
      <c r="M149" s="311">
        <f t="shared" si="176"/>
        <v>173.93611111111113</v>
      </c>
      <c r="N149" s="311">
        <f>N128</f>
        <v>69.444444444444443</v>
      </c>
      <c r="O149" s="311">
        <v>10.5</v>
      </c>
      <c r="P149" s="311">
        <v>97.2</v>
      </c>
      <c r="Q149" s="139">
        <f t="shared" si="177"/>
        <v>0</v>
      </c>
      <c r="R149" s="139">
        <f t="shared" si="178"/>
        <v>0</v>
      </c>
      <c r="S149" s="139">
        <f t="shared" si="179"/>
        <v>0</v>
      </c>
      <c r="T149" s="139">
        <f t="shared" si="180"/>
        <v>0</v>
      </c>
      <c r="U149" s="139">
        <f t="shared" si="167"/>
        <v>0</v>
      </c>
      <c r="V149" s="139">
        <f t="shared" si="168"/>
        <v>0</v>
      </c>
      <c r="W149" s="139">
        <f t="shared" si="169"/>
        <v>0</v>
      </c>
      <c r="X149" s="139">
        <f t="shared" si="170"/>
        <v>0</v>
      </c>
      <c r="Y149" s="192" t="s">
        <v>740</v>
      </c>
      <c r="Z149" s="338">
        <f>Q149</f>
        <v>0</v>
      </c>
      <c r="AA149" s="338">
        <f t="shared" ref="AA149" si="193">R149</f>
        <v>0</v>
      </c>
      <c r="AB149" s="338">
        <f t="shared" ref="AB149:AG150" si="194">S149</f>
        <v>0</v>
      </c>
      <c r="AC149" s="338">
        <f t="shared" si="194"/>
        <v>0</v>
      </c>
      <c r="AD149" s="338">
        <f t="shared" si="194"/>
        <v>0</v>
      </c>
      <c r="AE149" s="338">
        <f t="shared" si="194"/>
        <v>0</v>
      </c>
      <c r="AF149" s="338">
        <f t="shared" si="194"/>
        <v>0</v>
      </c>
      <c r="AG149" s="338">
        <f t="shared" si="194"/>
        <v>0</v>
      </c>
      <c r="AH149" s="338"/>
      <c r="AI149" s="338">
        <f>E149*$N149*(1+$O149%)</f>
        <v>0</v>
      </c>
      <c r="AJ149" s="338">
        <f t="shared" ref="AJ149" si="195">F149*$N149*(1+$O149%)</f>
        <v>0</v>
      </c>
      <c r="AK149" s="338">
        <f t="shared" ref="AK149:AP150" si="196">G149*$N149*(1+$O149%)</f>
        <v>0</v>
      </c>
      <c r="AL149" s="338">
        <f t="shared" si="196"/>
        <v>0</v>
      </c>
      <c r="AM149" s="338">
        <f t="shared" si="196"/>
        <v>0</v>
      </c>
      <c r="AN149" s="338">
        <f t="shared" si="196"/>
        <v>0</v>
      </c>
      <c r="AO149" s="338">
        <f t="shared" si="196"/>
        <v>0</v>
      </c>
      <c r="AP149" s="338">
        <f t="shared" si="196"/>
        <v>0</v>
      </c>
      <c r="AS149" s="165">
        <v>2</v>
      </c>
      <c r="AT149" s="165" t="s">
        <v>739</v>
      </c>
      <c r="AU149" s="165" t="s">
        <v>231</v>
      </c>
      <c r="AV149" s="165">
        <v>173.93611111111099</v>
      </c>
      <c r="AW149" s="165">
        <v>69.4444444444444</v>
      </c>
      <c r="AX149" s="165">
        <v>10.5</v>
      </c>
      <c r="AY149" s="328">
        <v>97.2</v>
      </c>
      <c r="AZ149" s="328">
        <f t="shared" si="182"/>
        <v>0</v>
      </c>
    </row>
    <row r="150" spans="1:52" ht="22.5">
      <c r="A150" s="300"/>
      <c r="B150" s="129">
        <v>3</v>
      </c>
      <c r="C150" s="196" t="s">
        <v>741</v>
      </c>
      <c r="D150" s="129" t="s">
        <v>231</v>
      </c>
      <c r="E150" s="151"/>
      <c r="F150" s="189"/>
      <c r="G150" s="189"/>
      <c r="H150" s="151"/>
      <c r="I150" s="189"/>
      <c r="J150" s="151"/>
      <c r="K150" s="189"/>
      <c r="L150" s="189"/>
      <c r="M150" s="311">
        <f t="shared" si="176"/>
        <v>173.93611111111113</v>
      </c>
      <c r="N150" s="311">
        <f>N149</f>
        <v>69.444444444444443</v>
      </c>
      <c r="O150" s="311">
        <v>10.5</v>
      </c>
      <c r="P150" s="311">
        <v>97.2</v>
      </c>
      <c r="Q150" s="139">
        <f t="shared" si="177"/>
        <v>0</v>
      </c>
      <c r="R150" s="139">
        <f t="shared" si="178"/>
        <v>0</v>
      </c>
      <c r="S150" s="139">
        <f t="shared" si="179"/>
        <v>0</v>
      </c>
      <c r="T150" s="139">
        <f t="shared" si="180"/>
        <v>0</v>
      </c>
      <c r="U150" s="139">
        <f t="shared" si="167"/>
        <v>0</v>
      </c>
      <c r="V150" s="139">
        <f t="shared" si="168"/>
        <v>0</v>
      </c>
      <c r="W150" s="139">
        <f t="shared" si="169"/>
        <v>0</v>
      </c>
      <c r="X150" s="139">
        <f t="shared" si="170"/>
        <v>0</v>
      </c>
      <c r="Y150" s="192" t="s">
        <v>740</v>
      </c>
      <c r="Z150" s="338">
        <f>Q150</f>
        <v>0</v>
      </c>
      <c r="AA150" s="338">
        <f>R150</f>
        <v>0</v>
      </c>
      <c r="AB150" s="338">
        <f t="shared" si="194"/>
        <v>0</v>
      </c>
      <c r="AC150" s="338">
        <f t="shared" si="194"/>
        <v>0</v>
      </c>
      <c r="AD150" s="338">
        <f t="shared" si="194"/>
        <v>0</v>
      </c>
      <c r="AE150" s="338">
        <f t="shared" si="194"/>
        <v>0</v>
      </c>
      <c r="AF150" s="338">
        <f t="shared" si="194"/>
        <v>0</v>
      </c>
      <c r="AG150" s="338">
        <f t="shared" si="194"/>
        <v>0</v>
      </c>
      <c r="AH150" s="338"/>
      <c r="AI150" s="338">
        <f>E150*$N150*(1+$O150%)</f>
        <v>0</v>
      </c>
      <c r="AJ150" s="338">
        <f>F150*$N150*(1+$O150%)</f>
        <v>0</v>
      </c>
      <c r="AK150" s="338">
        <f t="shared" si="196"/>
        <v>0</v>
      </c>
      <c r="AL150" s="338">
        <f t="shared" si="196"/>
        <v>0</v>
      </c>
      <c r="AM150" s="338">
        <f t="shared" si="196"/>
        <v>0</v>
      </c>
      <c r="AN150" s="338">
        <f t="shared" si="196"/>
        <v>0</v>
      </c>
      <c r="AO150" s="338">
        <f t="shared" si="196"/>
        <v>0</v>
      </c>
      <c r="AP150" s="338">
        <f t="shared" si="196"/>
        <v>0</v>
      </c>
      <c r="AS150" s="165">
        <v>3</v>
      </c>
      <c r="AT150" s="165" t="s">
        <v>741</v>
      </c>
      <c r="AU150" s="165" t="s">
        <v>231</v>
      </c>
      <c r="AV150" s="165">
        <v>173.93611111111099</v>
      </c>
      <c r="AW150" s="165">
        <v>69.4444444444444</v>
      </c>
      <c r="AX150" s="165">
        <v>10.5</v>
      </c>
      <c r="AY150" s="328">
        <v>97.2</v>
      </c>
      <c r="AZ150" s="328">
        <f t="shared" si="182"/>
        <v>0</v>
      </c>
    </row>
    <row r="151" spans="1:52" ht="22.5">
      <c r="A151" s="300"/>
      <c r="B151" s="129">
        <v>4</v>
      </c>
      <c r="C151" s="196" t="s">
        <v>335</v>
      </c>
      <c r="D151" s="129" t="s">
        <v>336</v>
      </c>
      <c r="E151" s="189"/>
      <c r="F151" s="189"/>
      <c r="G151" s="189"/>
      <c r="H151" s="189"/>
      <c r="I151" s="189"/>
      <c r="J151" s="189"/>
      <c r="K151" s="189"/>
      <c r="L151" s="189"/>
      <c r="M151" s="311">
        <f t="shared" si="176"/>
        <v>440</v>
      </c>
      <c r="N151" s="311">
        <v>0</v>
      </c>
      <c r="O151" s="311">
        <v>0</v>
      </c>
      <c r="P151" s="311">
        <v>440</v>
      </c>
      <c r="Q151" s="139">
        <f t="shared" si="177"/>
        <v>0</v>
      </c>
      <c r="R151" s="139">
        <f t="shared" si="178"/>
        <v>0</v>
      </c>
      <c r="S151" s="139">
        <f t="shared" si="179"/>
        <v>0</v>
      </c>
      <c r="T151" s="139">
        <f t="shared" si="180"/>
        <v>0</v>
      </c>
      <c r="U151" s="139">
        <f t="shared" si="167"/>
        <v>0</v>
      </c>
      <c r="V151" s="139">
        <f t="shared" si="168"/>
        <v>0</v>
      </c>
      <c r="W151" s="139">
        <f t="shared" si="169"/>
        <v>0</v>
      </c>
      <c r="X151" s="139">
        <f t="shared" si="170"/>
        <v>0</v>
      </c>
      <c r="Y151" s="192" t="s">
        <v>742</v>
      </c>
      <c r="Z151" s="338"/>
      <c r="AA151" s="338"/>
      <c r="AB151" s="338"/>
      <c r="AC151" s="338"/>
      <c r="AD151" s="338"/>
      <c r="AE151" s="338"/>
      <c r="AF151" s="338"/>
      <c r="AG151" s="338"/>
      <c r="AH151" s="338"/>
      <c r="AI151" s="338"/>
      <c r="AJ151" s="338"/>
      <c r="AK151" s="338"/>
      <c r="AL151" s="338"/>
      <c r="AM151" s="338"/>
      <c r="AN151" s="338"/>
      <c r="AO151" s="338"/>
      <c r="AP151" s="338"/>
      <c r="AS151" s="165">
        <v>4</v>
      </c>
      <c r="AT151" s="165" t="s">
        <v>335</v>
      </c>
      <c r="AU151" s="165" t="s">
        <v>336</v>
      </c>
      <c r="AV151" s="165">
        <v>440</v>
      </c>
      <c r="AW151" s="165">
        <v>0</v>
      </c>
      <c r="AX151" s="165">
        <v>0</v>
      </c>
      <c r="AY151" s="328">
        <v>440</v>
      </c>
      <c r="AZ151" s="328">
        <f t="shared" si="182"/>
        <v>0</v>
      </c>
    </row>
    <row r="152" spans="1:52" ht="22.5">
      <c r="A152" s="300"/>
      <c r="B152" s="129">
        <v>5</v>
      </c>
      <c r="C152" s="196" t="s">
        <v>338</v>
      </c>
      <c r="D152" s="129" t="s">
        <v>231</v>
      </c>
      <c r="E152" s="151"/>
      <c r="F152" s="189"/>
      <c r="G152" s="189"/>
      <c r="H152" s="151"/>
      <c r="I152" s="189"/>
      <c r="J152" s="151"/>
      <c r="K152" s="189"/>
      <c r="L152" s="189"/>
      <c r="M152" s="311">
        <f t="shared" si="176"/>
        <v>18.5</v>
      </c>
      <c r="N152" s="311">
        <v>0</v>
      </c>
      <c r="O152" s="311">
        <v>0</v>
      </c>
      <c r="P152" s="311">
        <v>18.5</v>
      </c>
      <c r="Q152" s="139">
        <f t="shared" si="177"/>
        <v>0</v>
      </c>
      <c r="R152" s="139">
        <f t="shared" si="178"/>
        <v>0</v>
      </c>
      <c r="S152" s="139">
        <f t="shared" si="179"/>
        <v>0</v>
      </c>
      <c r="T152" s="139">
        <f t="shared" si="180"/>
        <v>0</v>
      </c>
      <c r="U152" s="139">
        <f t="shared" si="167"/>
        <v>0</v>
      </c>
      <c r="V152" s="139">
        <f t="shared" si="168"/>
        <v>0</v>
      </c>
      <c r="W152" s="139">
        <f t="shared" si="169"/>
        <v>0</v>
      </c>
      <c r="X152" s="139">
        <f t="shared" si="170"/>
        <v>0</v>
      </c>
      <c r="Y152" s="192" t="s">
        <v>742</v>
      </c>
      <c r="Z152" s="338"/>
      <c r="AA152" s="338"/>
      <c r="AB152" s="338"/>
      <c r="AC152" s="338"/>
      <c r="AD152" s="338"/>
      <c r="AE152" s="338"/>
      <c r="AF152" s="338"/>
      <c r="AG152" s="338"/>
      <c r="AH152" s="338"/>
      <c r="AI152" s="338"/>
      <c r="AJ152" s="338"/>
      <c r="AK152" s="338"/>
      <c r="AL152" s="338"/>
      <c r="AM152" s="338"/>
      <c r="AN152" s="338"/>
      <c r="AO152" s="338"/>
      <c r="AP152" s="338"/>
      <c r="AS152" s="165">
        <v>5</v>
      </c>
      <c r="AT152" s="165" t="s">
        <v>338</v>
      </c>
      <c r="AU152" s="165" t="s">
        <v>231</v>
      </c>
      <c r="AV152" s="165">
        <v>18.5</v>
      </c>
      <c r="AW152" s="165">
        <v>0</v>
      </c>
      <c r="AX152" s="165">
        <v>0</v>
      </c>
      <c r="AY152" s="328">
        <v>18.5</v>
      </c>
      <c r="AZ152" s="328">
        <f t="shared" si="182"/>
        <v>0</v>
      </c>
    </row>
    <row r="153" spans="1:52" ht="24" customHeight="1">
      <c r="A153" s="300"/>
      <c r="B153" s="129" t="s">
        <v>64</v>
      </c>
      <c r="C153" s="196" t="s">
        <v>743</v>
      </c>
      <c r="D153" s="129"/>
      <c r="E153" s="189"/>
      <c r="F153" s="189"/>
      <c r="G153" s="189"/>
      <c r="H153" s="189"/>
      <c r="I153" s="189"/>
      <c r="J153" s="189"/>
      <c r="K153" s="189"/>
      <c r="L153" s="189"/>
      <c r="M153" s="311">
        <f t="shared" si="176"/>
        <v>0</v>
      </c>
      <c r="N153" s="311"/>
      <c r="O153" s="311"/>
      <c r="P153" s="311"/>
      <c r="Q153" s="139">
        <f t="shared" si="177"/>
        <v>0</v>
      </c>
      <c r="R153" s="139">
        <f t="shared" si="178"/>
        <v>0</v>
      </c>
      <c r="S153" s="139">
        <f t="shared" si="179"/>
        <v>0</v>
      </c>
      <c r="T153" s="139">
        <f t="shared" si="180"/>
        <v>0</v>
      </c>
      <c r="U153" s="139">
        <f t="shared" si="167"/>
        <v>0</v>
      </c>
      <c r="V153" s="139">
        <f t="shared" si="168"/>
        <v>0</v>
      </c>
      <c r="W153" s="139">
        <f t="shared" si="169"/>
        <v>0</v>
      </c>
      <c r="X153" s="139">
        <f t="shared" si="170"/>
        <v>0</v>
      </c>
      <c r="Y153" s="192"/>
      <c r="Z153" s="338"/>
      <c r="AA153" s="338"/>
      <c r="AB153" s="338"/>
      <c r="AC153" s="338"/>
      <c r="AD153" s="338"/>
      <c r="AE153" s="338"/>
      <c r="AF153" s="338"/>
      <c r="AG153" s="338"/>
      <c r="AH153" s="338"/>
      <c r="AI153" s="338"/>
      <c r="AJ153" s="338"/>
      <c r="AK153" s="338"/>
      <c r="AL153" s="338"/>
      <c r="AM153" s="338"/>
      <c r="AN153" s="338"/>
      <c r="AO153" s="338"/>
      <c r="AP153" s="338"/>
      <c r="AS153" s="165" t="s">
        <v>64</v>
      </c>
      <c r="AT153" s="165" t="s">
        <v>743</v>
      </c>
      <c r="AU153" s="165"/>
      <c r="AV153" s="165">
        <v>0</v>
      </c>
      <c r="AW153" s="165"/>
      <c r="AX153" s="165"/>
      <c r="AY153" s="328"/>
      <c r="AZ153" s="328">
        <f t="shared" si="182"/>
        <v>0</v>
      </c>
    </row>
    <row r="154" spans="1:52">
      <c r="A154" s="300"/>
      <c r="B154" s="129">
        <v>1</v>
      </c>
      <c r="C154" s="196" t="s">
        <v>744</v>
      </c>
      <c r="D154" s="129" t="s">
        <v>320</v>
      </c>
      <c r="E154" s="151"/>
      <c r="F154" s="189"/>
      <c r="G154" s="189"/>
      <c r="H154" s="151"/>
      <c r="I154" s="189"/>
      <c r="J154" s="151"/>
      <c r="K154" s="189"/>
      <c r="L154" s="189"/>
      <c r="M154" s="311">
        <f t="shared" si="176"/>
        <v>12.473199999999999</v>
      </c>
      <c r="N154" s="311">
        <f>'附件4-8甲供材料清单'!K93</f>
        <v>5.72</v>
      </c>
      <c r="O154" s="311">
        <v>1</v>
      </c>
      <c r="P154" s="311">
        <v>6.6959999999999997</v>
      </c>
      <c r="Q154" s="139">
        <f t="shared" si="177"/>
        <v>0</v>
      </c>
      <c r="R154" s="139">
        <f t="shared" si="178"/>
        <v>0</v>
      </c>
      <c r="S154" s="139">
        <f t="shared" si="179"/>
        <v>0</v>
      </c>
      <c r="T154" s="139">
        <f t="shared" si="180"/>
        <v>0</v>
      </c>
      <c r="U154" s="139">
        <f t="shared" si="167"/>
        <v>0</v>
      </c>
      <c r="V154" s="139">
        <f t="shared" si="168"/>
        <v>0</v>
      </c>
      <c r="W154" s="139">
        <f t="shared" si="169"/>
        <v>0</v>
      </c>
      <c r="X154" s="139">
        <f t="shared" si="170"/>
        <v>0</v>
      </c>
      <c r="Y154" s="192" t="s">
        <v>244</v>
      </c>
      <c r="Z154" s="338">
        <f t="shared" ref="Z154" si="197">Q154</f>
        <v>0</v>
      </c>
      <c r="AA154" s="338">
        <f t="shared" ref="AA154" si="198">R154</f>
        <v>0</v>
      </c>
      <c r="AB154" s="338">
        <f t="shared" ref="AB154" si="199">S154</f>
        <v>0</v>
      </c>
      <c r="AC154" s="338">
        <f t="shared" ref="AC154" si="200">T154</f>
        <v>0</v>
      </c>
      <c r="AD154" s="338">
        <f t="shared" ref="AD154" si="201">U154</f>
        <v>0</v>
      </c>
      <c r="AE154" s="338">
        <f t="shared" ref="AE154" si="202">V154</f>
        <v>0</v>
      </c>
      <c r="AF154" s="338">
        <f t="shared" ref="AF154" si="203">W154</f>
        <v>0</v>
      </c>
      <c r="AG154" s="338">
        <f t="shared" ref="AG154" si="204">X154</f>
        <v>0</v>
      </c>
      <c r="AH154" s="338"/>
      <c r="AI154" s="338">
        <f t="shared" ref="AI154" si="205">E154*$N154*(1+$O154%)</f>
        <v>0</v>
      </c>
      <c r="AJ154" s="338">
        <f t="shared" ref="AJ154" si="206">F154*$N154*(1+$O154%)</f>
        <v>0</v>
      </c>
      <c r="AK154" s="338">
        <f t="shared" ref="AK154" si="207">G154*$N154*(1+$O154%)</f>
        <v>0</v>
      </c>
      <c r="AL154" s="338">
        <f t="shared" ref="AL154" si="208">H154*$N154*(1+$O154%)</f>
        <v>0</v>
      </c>
      <c r="AM154" s="338">
        <f t="shared" ref="AM154" si="209">I154*$N154*(1+$O154%)</f>
        <v>0</v>
      </c>
      <c r="AN154" s="338">
        <f t="shared" ref="AN154" si="210">J154*$N154*(1+$O154%)</f>
        <v>0</v>
      </c>
      <c r="AO154" s="338">
        <f t="shared" ref="AO154" si="211">K154*$N154*(1+$O154%)</f>
        <v>0</v>
      </c>
      <c r="AP154" s="338">
        <f t="shared" ref="AP154" si="212">L154*$N154*(1+$O154%)</f>
        <v>0</v>
      </c>
      <c r="AS154" s="165">
        <v>1</v>
      </c>
      <c r="AT154" s="165" t="s">
        <v>744</v>
      </c>
      <c r="AU154" s="165" t="s">
        <v>320</v>
      </c>
      <c r="AV154" s="165">
        <v>12.0389</v>
      </c>
      <c r="AW154" s="165" t="s">
        <v>457</v>
      </c>
      <c r="AX154" s="165">
        <v>1</v>
      </c>
      <c r="AY154" s="328">
        <v>6.6959999999999997</v>
      </c>
      <c r="AZ154" s="328">
        <f t="shared" si="182"/>
        <v>-0.43429999999999858</v>
      </c>
    </row>
    <row r="155" spans="1:52">
      <c r="A155" s="300"/>
      <c r="B155" s="129">
        <v>2</v>
      </c>
      <c r="C155" s="196" t="s">
        <v>745</v>
      </c>
      <c r="D155" s="129" t="s">
        <v>320</v>
      </c>
      <c r="E155" s="189"/>
      <c r="F155" s="189"/>
      <c r="G155" s="189"/>
      <c r="H155" s="189"/>
      <c r="I155" s="189"/>
      <c r="J155" s="189"/>
      <c r="K155" s="189"/>
      <c r="L155" s="189"/>
      <c r="M155" s="311">
        <f t="shared" si="176"/>
        <v>15.109299999999999</v>
      </c>
      <c r="N155" s="311">
        <f>'附件4-8甲供材料清单'!K94</f>
        <v>8.33</v>
      </c>
      <c r="O155" s="311">
        <v>1</v>
      </c>
      <c r="P155" s="311">
        <v>6.6959999999999997</v>
      </c>
      <c r="Q155" s="139">
        <f t="shared" si="177"/>
        <v>0</v>
      </c>
      <c r="R155" s="139">
        <f t="shared" si="178"/>
        <v>0</v>
      </c>
      <c r="S155" s="139">
        <f t="shared" si="179"/>
        <v>0</v>
      </c>
      <c r="T155" s="139">
        <f t="shared" si="180"/>
        <v>0</v>
      </c>
      <c r="U155" s="139">
        <f t="shared" si="167"/>
        <v>0</v>
      </c>
      <c r="V155" s="139">
        <f t="shared" si="168"/>
        <v>0</v>
      </c>
      <c r="W155" s="139">
        <f t="shared" si="169"/>
        <v>0</v>
      </c>
      <c r="X155" s="139">
        <f t="shared" si="170"/>
        <v>0</v>
      </c>
      <c r="Y155" s="192" t="s">
        <v>244</v>
      </c>
      <c r="Z155" s="338">
        <f t="shared" ref="Z155:Z170" si="213">Q155</f>
        <v>0</v>
      </c>
      <c r="AA155" s="338">
        <f t="shared" ref="AA155:AA170" si="214">R155</f>
        <v>0</v>
      </c>
      <c r="AB155" s="338">
        <f t="shared" ref="AB155:AB170" si="215">S155</f>
        <v>0</v>
      </c>
      <c r="AC155" s="338">
        <f t="shared" ref="AC155:AC170" si="216">T155</f>
        <v>0</v>
      </c>
      <c r="AD155" s="338">
        <f t="shared" ref="AD155:AD170" si="217">U155</f>
        <v>0</v>
      </c>
      <c r="AE155" s="338">
        <f t="shared" ref="AE155:AE170" si="218">V155</f>
        <v>0</v>
      </c>
      <c r="AF155" s="338">
        <f t="shared" ref="AF155:AF170" si="219">W155</f>
        <v>0</v>
      </c>
      <c r="AG155" s="338">
        <f t="shared" ref="AG155:AG170" si="220">X155</f>
        <v>0</v>
      </c>
      <c r="AH155" s="338"/>
      <c r="AI155" s="338">
        <f t="shared" ref="AI155:AI170" si="221">E155*$N155*(1+$O155%)</f>
        <v>0</v>
      </c>
      <c r="AJ155" s="338">
        <f t="shared" ref="AJ155:AJ170" si="222">F155*$N155*(1+$O155%)</f>
        <v>0</v>
      </c>
      <c r="AK155" s="338">
        <f t="shared" ref="AK155:AK170" si="223">G155*$N155*(1+$O155%)</f>
        <v>0</v>
      </c>
      <c r="AL155" s="338">
        <f t="shared" ref="AL155:AL170" si="224">H155*$N155*(1+$O155%)</f>
        <v>0</v>
      </c>
      <c r="AM155" s="338">
        <f t="shared" ref="AM155:AM170" si="225">I155*$N155*(1+$O155%)</f>
        <v>0</v>
      </c>
      <c r="AN155" s="338">
        <f t="shared" ref="AN155:AN170" si="226">J155*$N155*(1+$O155%)</f>
        <v>0</v>
      </c>
      <c r="AO155" s="338">
        <f t="shared" ref="AO155:AO170" si="227">K155*$N155*(1+$O155%)</f>
        <v>0</v>
      </c>
      <c r="AP155" s="338">
        <f t="shared" ref="AP155:AP170" si="228">L155*$N155*(1+$O155%)</f>
        <v>0</v>
      </c>
      <c r="AS155" s="165">
        <v>2</v>
      </c>
      <c r="AT155" s="165" t="s">
        <v>745</v>
      </c>
      <c r="AU155" s="165" t="s">
        <v>320</v>
      </c>
      <c r="AV155" s="165">
        <v>14.462899999999999</v>
      </c>
      <c r="AW155" s="165" t="s">
        <v>461</v>
      </c>
      <c r="AX155" s="165">
        <v>1</v>
      </c>
      <c r="AY155" s="328">
        <v>6.6959999999999997</v>
      </c>
      <c r="AZ155" s="328">
        <f t="shared" si="182"/>
        <v>-0.64639999999999986</v>
      </c>
    </row>
    <row r="156" spans="1:52">
      <c r="A156" s="300"/>
      <c r="B156" s="129">
        <v>3</v>
      </c>
      <c r="C156" s="196" t="s">
        <v>746</v>
      </c>
      <c r="D156" s="129" t="s">
        <v>320</v>
      </c>
      <c r="E156" s="151"/>
      <c r="F156" s="189"/>
      <c r="G156" s="189"/>
      <c r="H156" s="151"/>
      <c r="I156" s="189"/>
      <c r="J156" s="151"/>
      <c r="K156" s="189"/>
      <c r="L156" s="189"/>
      <c r="M156" s="311">
        <f t="shared" si="176"/>
        <v>14.109400000000001</v>
      </c>
      <c r="N156" s="311">
        <f>'附件4-8甲供材料清单'!K97</f>
        <v>7.34</v>
      </c>
      <c r="O156" s="311">
        <v>1</v>
      </c>
      <c r="P156" s="311">
        <v>6.6959999999999997</v>
      </c>
      <c r="Q156" s="139">
        <f t="shared" si="177"/>
        <v>0</v>
      </c>
      <c r="R156" s="139">
        <f t="shared" si="178"/>
        <v>0</v>
      </c>
      <c r="S156" s="139">
        <f t="shared" si="179"/>
        <v>0</v>
      </c>
      <c r="T156" s="139">
        <f t="shared" si="180"/>
        <v>0</v>
      </c>
      <c r="U156" s="139">
        <f t="shared" si="167"/>
        <v>0</v>
      </c>
      <c r="V156" s="139">
        <f t="shared" si="168"/>
        <v>0</v>
      </c>
      <c r="W156" s="139">
        <f t="shared" si="169"/>
        <v>0</v>
      </c>
      <c r="X156" s="139">
        <f t="shared" si="170"/>
        <v>0</v>
      </c>
      <c r="Y156" s="192" t="s">
        <v>244</v>
      </c>
      <c r="Z156" s="338">
        <f t="shared" si="213"/>
        <v>0</v>
      </c>
      <c r="AA156" s="338">
        <f t="shared" si="214"/>
        <v>0</v>
      </c>
      <c r="AB156" s="338">
        <f t="shared" si="215"/>
        <v>0</v>
      </c>
      <c r="AC156" s="338">
        <f t="shared" si="216"/>
        <v>0</v>
      </c>
      <c r="AD156" s="338">
        <f t="shared" si="217"/>
        <v>0</v>
      </c>
      <c r="AE156" s="338">
        <f t="shared" si="218"/>
        <v>0</v>
      </c>
      <c r="AF156" s="338">
        <f t="shared" si="219"/>
        <v>0</v>
      </c>
      <c r="AG156" s="338">
        <f t="shared" si="220"/>
        <v>0</v>
      </c>
      <c r="AH156" s="338"/>
      <c r="AI156" s="338">
        <f t="shared" si="221"/>
        <v>0</v>
      </c>
      <c r="AJ156" s="338">
        <f t="shared" si="222"/>
        <v>0</v>
      </c>
      <c r="AK156" s="338">
        <f t="shared" si="223"/>
        <v>0</v>
      </c>
      <c r="AL156" s="338">
        <f t="shared" si="224"/>
        <v>0</v>
      </c>
      <c r="AM156" s="338">
        <f t="shared" si="225"/>
        <v>0</v>
      </c>
      <c r="AN156" s="338">
        <f t="shared" si="226"/>
        <v>0</v>
      </c>
      <c r="AO156" s="338">
        <f t="shared" si="227"/>
        <v>0</v>
      </c>
      <c r="AP156" s="338">
        <f t="shared" si="228"/>
        <v>0</v>
      </c>
      <c r="AS156" s="165">
        <v>3</v>
      </c>
      <c r="AT156" s="165" t="s">
        <v>746</v>
      </c>
      <c r="AU156" s="165" t="s">
        <v>320</v>
      </c>
      <c r="AV156" s="165">
        <v>13.2408</v>
      </c>
      <c r="AW156" s="165" t="s">
        <v>459</v>
      </c>
      <c r="AX156" s="165">
        <v>1</v>
      </c>
      <c r="AY156" s="328">
        <v>6.6959999999999997</v>
      </c>
      <c r="AZ156" s="328">
        <f t="shared" si="182"/>
        <v>-0.8686000000000007</v>
      </c>
    </row>
    <row r="157" spans="1:52">
      <c r="A157" s="300"/>
      <c r="B157" s="129">
        <v>4</v>
      </c>
      <c r="C157" s="196" t="s">
        <v>747</v>
      </c>
      <c r="D157" s="129" t="s">
        <v>320</v>
      </c>
      <c r="E157" s="189"/>
      <c r="F157" s="189"/>
      <c r="G157" s="189"/>
      <c r="H157" s="189"/>
      <c r="I157" s="189"/>
      <c r="J157" s="189"/>
      <c r="K157" s="189"/>
      <c r="L157" s="189"/>
      <c r="M157" s="311">
        <f t="shared" si="176"/>
        <v>18.815999999999999</v>
      </c>
      <c r="N157" s="311">
        <f>'附件4-8甲供材料清单'!K95</f>
        <v>12</v>
      </c>
      <c r="O157" s="311">
        <v>1</v>
      </c>
      <c r="P157" s="311">
        <v>6.6959999999999997</v>
      </c>
      <c r="Q157" s="139">
        <f t="shared" si="177"/>
        <v>0</v>
      </c>
      <c r="R157" s="139">
        <f t="shared" si="178"/>
        <v>0</v>
      </c>
      <c r="S157" s="139">
        <f t="shared" si="179"/>
        <v>0</v>
      </c>
      <c r="T157" s="139">
        <f t="shared" si="180"/>
        <v>0</v>
      </c>
      <c r="U157" s="139">
        <f t="shared" si="167"/>
        <v>0</v>
      </c>
      <c r="V157" s="139">
        <f t="shared" si="168"/>
        <v>0</v>
      </c>
      <c r="W157" s="139">
        <f t="shared" si="169"/>
        <v>0</v>
      </c>
      <c r="X157" s="139">
        <f t="shared" si="170"/>
        <v>0</v>
      </c>
      <c r="Y157" s="192" t="s">
        <v>244</v>
      </c>
      <c r="Z157" s="338">
        <f t="shared" si="213"/>
        <v>0</v>
      </c>
      <c r="AA157" s="338">
        <f t="shared" si="214"/>
        <v>0</v>
      </c>
      <c r="AB157" s="338">
        <f t="shared" si="215"/>
        <v>0</v>
      </c>
      <c r="AC157" s="338">
        <f t="shared" si="216"/>
        <v>0</v>
      </c>
      <c r="AD157" s="338">
        <f t="shared" si="217"/>
        <v>0</v>
      </c>
      <c r="AE157" s="338">
        <f t="shared" si="218"/>
        <v>0</v>
      </c>
      <c r="AF157" s="338">
        <f t="shared" si="219"/>
        <v>0</v>
      </c>
      <c r="AG157" s="338">
        <f t="shared" si="220"/>
        <v>0</v>
      </c>
      <c r="AH157" s="338"/>
      <c r="AI157" s="338">
        <f t="shared" si="221"/>
        <v>0</v>
      </c>
      <c r="AJ157" s="338">
        <f t="shared" si="222"/>
        <v>0</v>
      </c>
      <c r="AK157" s="338">
        <f t="shared" si="223"/>
        <v>0</v>
      </c>
      <c r="AL157" s="338">
        <f t="shared" si="224"/>
        <v>0</v>
      </c>
      <c r="AM157" s="338">
        <f t="shared" si="225"/>
        <v>0</v>
      </c>
      <c r="AN157" s="338">
        <f t="shared" si="226"/>
        <v>0</v>
      </c>
      <c r="AO157" s="338">
        <f t="shared" si="227"/>
        <v>0</v>
      </c>
      <c r="AP157" s="338">
        <f t="shared" si="228"/>
        <v>0</v>
      </c>
      <c r="AS157" s="165">
        <v>4</v>
      </c>
      <c r="AT157" s="165" t="s">
        <v>747</v>
      </c>
      <c r="AU157" s="165" t="s">
        <v>320</v>
      </c>
      <c r="AV157" s="165">
        <v>25.522400000000001</v>
      </c>
      <c r="AW157" s="165" t="s">
        <v>464</v>
      </c>
      <c r="AX157" s="165">
        <v>1</v>
      </c>
      <c r="AY157" s="328">
        <v>6.6959999999999997</v>
      </c>
      <c r="AZ157" s="328">
        <f t="shared" si="182"/>
        <v>6.7064000000000021</v>
      </c>
    </row>
    <row r="158" spans="1:52">
      <c r="A158" s="300"/>
      <c r="B158" s="129">
        <v>5</v>
      </c>
      <c r="C158" s="196" t="s">
        <v>748</v>
      </c>
      <c r="D158" s="129" t="s">
        <v>320</v>
      </c>
      <c r="E158" s="151"/>
      <c r="F158" s="189"/>
      <c r="G158" s="189"/>
      <c r="H158" s="151"/>
      <c r="I158" s="189"/>
      <c r="J158" s="151"/>
      <c r="K158" s="189"/>
      <c r="L158" s="189"/>
      <c r="M158" s="311">
        <f t="shared" ref="M158" si="229">N158+N158*O158%+P158</f>
        <v>25.886000000000003</v>
      </c>
      <c r="N158" s="311">
        <f>'附件4-8甲供材料清单'!K96</f>
        <v>19</v>
      </c>
      <c r="O158" s="311">
        <v>1</v>
      </c>
      <c r="P158" s="311">
        <v>6.6959999999999997</v>
      </c>
      <c r="Q158" s="139">
        <f t="shared" ref="Q158" si="230">E158*$M158</f>
        <v>0</v>
      </c>
      <c r="R158" s="139">
        <f t="shared" ref="R158" si="231">F158*$M158</f>
        <v>0</v>
      </c>
      <c r="S158" s="139">
        <f t="shared" ref="S158" si="232">G158*$M158</f>
        <v>0</v>
      </c>
      <c r="T158" s="139">
        <f t="shared" ref="T158" si="233">H158*$M158</f>
        <v>0</v>
      </c>
      <c r="U158" s="139">
        <f t="shared" si="167"/>
        <v>0</v>
      </c>
      <c r="V158" s="139">
        <f t="shared" si="168"/>
        <v>0</v>
      </c>
      <c r="W158" s="139">
        <f t="shared" si="169"/>
        <v>0</v>
      </c>
      <c r="X158" s="139">
        <f t="shared" si="170"/>
        <v>0</v>
      </c>
      <c r="Y158" s="192" t="s">
        <v>244</v>
      </c>
      <c r="Z158" s="338">
        <f t="shared" si="213"/>
        <v>0</v>
      </c>
      <c r="AA158" s="338">
        <f t="shared" si="214"/>
        <v>0</v>
      </c>
      <c r="AB158" s="338">
        <f t="shared" si="215"/>
        <v>0</v>
      </c>
      <c r="AC158" s="338">
        <f t="shared" si="216"/>
        <v>0</v>
      </c>
      <c r="AD158" s="338">
        <f t="shared" si="217"/>
        <v>0</v>
      </c>
      <c r="AE158" s="338">
        <f t="shared" si="218"/>
        <v>0</v>
      </c>
      <c r="AF158" s="338">
        <f t="shared" si="219"/>
        <v>0</v>
      </c>
      <c r="AG158" s="338">
        <f t="shared" si="220"/>
        <v>0</v>
      </c>
      <c r="AH158" s="338"/>
      <c r="AI158" s="338">
        <f t="shared" si="221"/>
        <v>0</v>
      </c>
      <c r="AJ158" s="338">
        <f t="shared" si="222"/>
        <v>0</v>
      </c>
      <c r="AK158" s="338">
        <f t="shared" si="223"/>
        <v>0</v>
      </c>
      <c r="AL158" s="338">
        <f t="shared" si="224"/>
        <v>0</v>
      </c>
      <c r="AM158" s="338">
        <f t="shared" si="225"/>
        <v>0</v>
      </c>
      <c r="AN158" s="338">
        <f t="shared" si="226"/>
        <v>0</v>
      </c>
      <c r="AO158" s="338">
        <f t="shared" si="227"/>
        <v>0</v>
      </c>
      <c r="AP158" s="338">
        <f t="shared" si="228"/>
        <v>0</v>
      </c>
      <c r="AS158" s="165">
        <v>5</v>
      </c>
      <c r="AT158" s="165" t="s">
        <v>748</v>
      </c>
      <c r="AU158" s="165" t="s">
        <v>320</v>
      </c>
      <c r="AV158" s="165">
        <v>27.976700000000001</v>
      </c>
      <c r="AW158" s="165" t="s">
        <v>466</v>
      </c>
      <c r="AX158" s="165">
        <v>1</v>
      </c>
      <c r="AY158" s="328">
        <v>6.6959999999999997</v>
      </c>
      <c r="AZ158" s="328">
        <f t="shared" si="182"/>
        <v>2.0906999999999982</v>
      </c>
    </row>
    <row r="159" spans="1:52">
      <c r="A159" s="300"/>
      <c r="B159" s="129">
        <v>6</v>
      </c>
      <c r="C159" s="196" t="s">
        <v>749</v>
      </c>
      <c r="D159" s="129" t="s">
        <v>320</v>
      </c>
      <c r="E159" s="189"/>
      <c r="F159" s="189"/>
      <c r="G159" s="189"/>
      <c r="H159" s="189"/>
      <c r="I159" s="189"/>
      <c r="J159" s="189"/>
      <c r="K159" s="189"/>
      <c r="L159" s="189"/>
      <c r="M159" s="311">
        <f t="shared" ref="M159:M181" si="234">N159+N159*O159%+P159</f>
        <v>13.968</v>
      </c>
      <c r="N159" s="311">
        <f>'附件4-8甲供材料清单'!K101</f>
        <v>7.2</v>
      </c>
      <c r="O159" s="311">
        <v>1</v>
      </c>
      <c r="P159" s="311">
        <v>6.6959999999999997</v>
      </c>
      <c r="Q159" s="139">
        <f t="shared" ref="Q159:Q188" si="235">E159*$M159</f>
        <v>0</v>
      </c>
      <c r="R159" s="139">
        <f t="shared" ref="R159:R188" si="236">F159*$M159</f>
        <v>0</v>
      </c>
      <c r="S159" s="139">
        <f t="shared" ref="S159:S188" si="237">G159*$M159</f>
        <v>0</v>
      </c>
      <c r="T159" s="139">
        <f t="shared" ref="T159:T188" si="238">H159*$M159</f>
        <v>0</v>
      </c>
      <c r="U159" s="139">
        <f t="shared" si="167"/>
        <v>0</v>
      </c>
      <c r="V159" s="139">
        <f t="shared" si="168"/>
        <v>0</v>
      </c>
      <c r="W159" s="139">
        <f t="shared" si="169"/>
        <v>0</v>
      </c>
      <c r="X159" s="139">
        <f t="shared" si="170"/>
        <v>0</v>
      </c>
      <c r="Y159" s="192" t="s">
        <v>244</v>
      </c>
      <c r="Z159" s="338">
        <f t="shared" si="213"/>
        <v>0</v>
      </c>
      <c r="AA159" s="338">
        <f t="shared" si="214"/>
        <v>0</v>
      </c>
      <c r="AB159" s="338">
        <f t="shared" si="215"/>
        <v>0</v>
      </c>
      <c r="AC159" s="338">
        <f t="shared" si="216"/>
        <v>0</v>
      </c>
      <c r="AD159" s="338">
        <f t="shared" si="217"/>
        <v>0</v>
      </c>
      <c r="AE159" s="338">
        <f t="shared" si="218"/>
        <v>0</v>
      </c>
      <c r="AF159" s="338">
        <f t="shared" si="219"/>
        <v>0</v>
      </c>
      <c r="AG159" s="338">
        <f t="shared" si="220"/>
        <v>0</v>
      </c>
      <c r="AH159" s="338"/>
      <c r="AI159" s="338">
        <f t="shared" si="221"/>
        <v>0</v>
      </c>
      <c r="AJ159" s="338">
        <f t="shared" si="222"/>
        <v>0</v>
      </c>
      <c r="AK159" s="338">
        <f t="shared" si="223"/>
        <v>0</v>
      </c>
      <c r="AL159" s="338">
        <f t="shared" si="224"/>
        <v>0</v>
      </c>
      <c r="AM159" s="338">
        <f t="shared" si="225"/>
        <v>0</v>
      </c>
      <c r="AN159" s="338">
        <f t="shared" si="226"/>
        <v>0</v>
      </c>
      <c r="AO159" s="338">
        <f t="shared" si="227"/>
        <v>0</v>
      </c>
      <c r="AP159" s="338">
        <f t="shared" si="228"/>
        <v>0</v>
      </c>
      <c r="AS159" s="165">
        <v>6</v>
      </c>
      <c r="AT159" s="165" t="s">
        <v>749</v>
      </c>
      <c r="AU159" s="165" t="s">
        <v>320</v>
      </c>
      <c r="AV159" s="165">
        <v>12.786300000000001</v>
      </c>
      <c r="AW159" s="165" t="s">
        <v>472</v>
      </c>
      <c r="AX159" s="165">
        <v>1</v>
      </c>
      <c r="AY159" s="328">
        <v>6.6959999999999997</v>
      </c>
      <c r="AZ159" s="328">
        <f t="shared" si="182"/>
        <v>-1.1816999999999993</v>
      </c>
    </row>
    <row r="160" spans="1:52">
      <c r="A160" s="300"/>
      <c r="B160" s="129">
        <v>7</v>
      </c>
      <c r="C160" s="196" t="s">
        <v>750</v>
      </c>
      <c r="D160" s="129" t="s">
        <v>320</v>
      </c>
      <c r="E160" s="151"/>
      <c r="F160" s="189"/>
      <c r="G160" s="189"/>
      <c r="H160" s="151"/>
      <c r="I160" s="189"/>
      <c r="J160" s="151"/>
      <c r="K160" s="189"/>
      <c r="L160" s="189"/>
      <c r="M160" s="311">
        <f t="shared" si="234"/>
        <v>52.146000000000001</v>
      </c>
      <c r="N160" s="311">
        <f>'附件4-8甲供材料清单'!K91</f>
        <v>45</v>
      </c>
      <c r="O160" s="311">
        <v>1</v>
      </c>
      <c r="P160" s="311">
        <v>6.6959999999999997</v>
      </c>
      <c r="Q160" s="139">
        <f t="shared" si="235"/>
        <v>0</v>
      </c>
      <c r="R160" s="139">
        <f t="shared" si="236"/>
        <v>0</v>
      </c>
      <c r="S160" s="139">
        <f t="shared" si="237"/>
        <v>0</v>
      </c>
      <c r="T160" s="139">
        <f t="shared" si="238"/>
        <v>0</v>
      </c>
      <c r="U160" s="139">
        <f t="shared" si="167"/>
        <v>0</v>
      </c>
      <c r="V160" s="139">
        <f t="shared" si="168"/>
        <v>0</v>
      </c>
      <c r="W160" s="139">
        <f t="shared" si="169"/>
        <v>0</v>
      </c>
      <c r="X160" s="139">
        <f t="shared" si="170"/>
        <v>0</v>
      </c>
      <c r="Y160" s="192" t="s">
        <v>244</v>
      </c>
      <c r="Z160" s="338">
        <f t="shared" si="213"/>
        <v>0</v>
      </c>
      <c r="AA160" s="338">
        <f t="shared" si="214"/>
        <v>0</v>
      </c>
      <c r="AB160" s="338">
        <f t="shared" si="215"/>
        <v>0</v>
      </c>
      <c r="AC160" s="338">
        <f t="shared" si="216"/>
        <v>0</v>
      </c>
      <c r="AD160" s="338">
        <f t="shared" si="217"/>
        <v>0</v>
      </c>
      <c r="AE160" s="338">
        <f t="shared" si="218"/>
        <v>0</v>
      </c>
      <c r="AF160" s="338">
        <f t="shared" si="219"/>
        <v>0</v>
      </c>
      <c r="AG160" s="338">
        <f t="shared" si="220"/>
        <v>0</v>
      </c>
      <c r="AH160" s="338"/>
      <c r="AI160" s="338">
        <f t="shared" si="221"/>
        <v>0</v>
      </c>
      <c r="AJ160" s="338">
        <f t="shared" si="222"/>
        <v>0</v>
      </c>
      <c r="AK160" s="338">
        <f t="shared" si="223"/>
        <v>0</v>
      </c>
      <c r="AL160" s="338">
        <f t="shared" si="224"/>
        <v>0</v>
      </c>
      <c r="AM160" s="338">
        <f t="shared" si="225"/>
        <v>0</v>
      </c>
      <c r="AN160" s="338">
        <f t="shared" si="226"/>
        <v>0</v>
      </c>
      <c r="AO160" s="338">
        <f t="shared" si="227"/>
        <v>0</v>
      </c>
      <c r="AP160" s="338">
        <f t="shared" si="228"/>
        <v>0</v>
      </c>
      <c r="AS160" s="165">
        <v>7</v>
      </c>
      <c r="AT160" s="165" t="s">
        <v>750</v>
      </c>
      <c r="AU160" s="165" t="s">
        <v>320</v>
      </c>
      <c r="AV160" s="165">
        <v>51.741999999999997</v>
      </c>
      <c r="AW160" s="165" t="s">
        <v>751</v>
      </c>
      <c r="AX160" s="165">
        <v>1</v>
      </c>
      <c r="AY160" s="328">
        <v>6.6959999999999997</v>
      </c>
      <c r="AZ160" s="328">
        <f t="shared" si="182"/>
        <v>-0.40400000000000347</v>
      </c>
    </row>
    <row r="161" spans="1:52" ht="22.5">
      <c r="A161" s="300"/>
      <c r="B161" s="129">
        <v>8</v>
      </c>
      <c r="C161" s="332" t="s">
        <v>752</v>
      </c>
      <c r="D161" s="304" t="s">
        <v>320</v>
      </c>
      <c r="E161" s="189"/>
      <c r="F161" s="189"/>
      <c r="G161" s="189"/>
      <c r="H161" s="189"/>
      <c r="I161" s="189"/>
      <c r="J161" s="189"/>
      <c r="K161" s="189"/>
      <c r="L161" s="189"/>
      <c r="M161" s="311">
        <f t="shared" si="234"/>
        <v>97.600000000000009</v>
      </c>
      <c r="N161" s="311">
        <f>'附件4-8甲供材料清单'!K92</f>
        <v>90</v>
      </c>
      <c r="O161" s="311">
        <v>1</v>
      </c>
      <c r="P161" s="311">
        <v>6.7</v>
      </c>
      <c r="Q161" s="139">
        <f t="shared" si="235"/>
        <v>0</v>
      </c>
      <c r="R161" s="139">
        <f t="shared" si="236"/>
        <v>0</v>
      </c>
      <c r="S161" s="139">
        <f t="shared" si="237"/>
        <v>0</v>
      </c>
      <c r="T161" s="139">
        <f t="shared" si="238"/>
        <v>0</v>
      </c>
      <c r="U161" s="139">
        <f t="shared" si="167"/>
        <v>0</v>
      </c>
      <c r="V161" s="139">
        <f t="shared" si="168"/>
        <v>0</v>
      </c>
      <c r="W161" s="139">
        <f t="shared" si="169"/>
        <v>0</v>
      </c>
      <c r="X161" s="139">
        <f t="shared" si="170"/>
        <v>0</v>
      </c>
      <c r="Y161" s="192" t="s">
        <v>244</v>
      </c>
      <c r="Z161" s="338">
        <f t="shared" si="213"/>
        <v>0</v>
      </c>
      <c r="AA161" s="338">
        <f t="shared" si="214"/>
        <v>0</v>
      </c>
      <c r="AB161" s="338">
        <f t="shared" si="215"/>
        <v>0</v>
      </c>
      <c r="AC161" s="338">
        <f t="shared" si="216"/>
        <v>0</v>
      </c>
      <c r="AD161" s="338">
        <f t="shared" si="217"/>
        <v>0</v>
      </c>
      <c r="AE161" s="338">
        <f t="shared" si="218"/>
        <v>0</v>
      </c>
      <c r="AF161" s="338">
        <f t="shared" si="219"/>
        <v>0</v>
      </c>
      <c r="AG161" s="338">
        <f t="shared" si="220"/>
        <v>0</v>
      </c>
      <c r="AH161" s="338"/>
      <c r="AI161" s="338">
        <f t="shared" si="221"/>
        <v>0</v>
      </c>
      <c r="AJ161" s="338">
        <f t="shared" si="222"/>
        <v>0</v>
      </c>
      <c r="AK161" s="338">
        <f t="shared" si="223"/>
        <v>0</v>
      </c>
      <c r="AL161" s="338">
        <f t="shared" si="224"/>
        <v>0</v>
      </c>
      <c r="AM161" s="338">
        <f t="shared" si="225"/>
        <v>0</v>
      </c>
      <c r="AN161" s="338">
        <f t="shared" si="226"/>
        <v>0</v>
      </c>
      <c r="AO161" s="338">
        <f t="shared" si="227"/>
        <v>0</v>
      </c>
      <c r="AP161" s="338">
        <f t="shared" si="228"/>
        <v>0</v>
      </c>
      <c r="AS161" s="165">
        <v>8</v>
      </c>
      <c r="AT161" s="165" t="s">
        <v>752</v>
      </c>
      <c r="AU161" s="165" t="s">
        <v>320</v>
      </c>
      <c r="AV161" s="165">
        <v>65.946600000000004</v>
      </c>
      <c r="AW161" s="165" t="s">
        <v>753</v>
      </c>
      <c r="AX161" s="165">
        <v>1</v>
      </c>
      <c r="AY161" s="328">
        <v>6.7</v>
      </c>
      <c r="AZ161" s="328">
        <f t="shared" si="182"/>
        <v>-31.653400000000005</v>
      </c>
    </row>
    <row r="162" spans="1:52">
      <c r="A162" s="300"/>
      <c r="B162" s="129">
        <v>9</v>
      </c>
      <c r="C162" s="332" t="s">
        <v>754</v>
      </c>
      <c r="D162" s="304" t="s">
        <v>320</v>
      </c>
      <c r="E162" s="151"/>
      <c r="F162" s="189"/>
      <c r="G162" s="189"/>
      <c r="H162" s="151"/>
      <c r="I162" s="189"/>
      <c r="J162" s="151"/>
      <c r="K162" s="189"/>
      <c r="L162" s="189"/>
      <c r="M162" s="311">
        <f t="shared" si="234"/>
        <v>18.82</v>
      </c>
      <c r="N162" s="311">
        <f>'附件4-8甲供材料清单'!K108</f>
        <v>12</v>
      </c>
      <c r="O162" s="311">
        <v>1</v>
      </c>
      <c r="P162" s="311">
        <v>6.7</v>
      </c>
      <c r="Q162" s="139">
        <f t="shared" si="235"/>
        <v>0</v>
      </c>
      <c r="R162" s="139">
        <f t="shared" si="236"/>
        <v>0</v>
      </c>
      <c r="S162" s="139">
        <f t="shared" si="237"/>
        <v>0</v>
      </c>
      <c r="T162" s="139">
        <f t="shared" si="238"/>
        <v>0</v>
      </c>
      <c r="U162" s="139">
        <f t="shared" ref="U162:U172" si="239">I162*$M162</f>
        <v>0</v>
      </c>
      <c r="V162" s="139">
        <f t="shared" ref="V162:V172" si="240">J162*$M162</f>
        <v>0</v>
      </c>
      <c r="W162" s="139">
        <f t="shared" ref="W162:W172" si="241">K162*$M162</f>
        <v>0</v>
      </c>
      <c r="X162" s="139">
        <f t="shared" ref="X162:X172" si="242">L162*$M162</f>
        <v>0</v>
      </c>
      <c r="Y162" s="192" t="s">
        <v>244</v>
      </c>
      <c r="Z162" s="338">
        <f t="shared" si="213"/>
        <v>0</v>
      </c>
      <c r="AA162" s="338">
        <f t="shared" si="214"/>
        <v>0</v>
      </c>
      <c r="AB162" s="338">
        <f t="shared" si="215"/>
        <v>0</v>
      </c>
      <c r="AC162" s="338">
        <f t="shared" si="216"/>
        <v>0</v>
      </c>
      <c r="AD162" s="338">
        <f t="shared" si="217"/>
        <v>0</v>
      </c>
      <c r="AE162" s="338">
        <f t="shared" si="218"/>
        <v>0</v>
      </c>
      <c r="AF162" s="338">
        <f t="shared" si="219"/>
        <v>0</v>
      </c>
      <c r="AG162" s="338">
        <f t="shared" si="220"/>
        <v>0</v>
      </c>
      <c r="AH162" s="338"/>
      <c r="AI162" s="338">
        <f t="shared" si="221"/>
        <v>0</v>
      </c>
      <c r="AJ162" s="338">
        <f t="shared" si="222"/>
        <v>0</v>
      </c>
      <c r="AK162" s="338">
        <f t="shared" si="223"/>
        <v>0</v>
      </c>
      <c r="AL162" s="338">
        <f t="shared" si="224"/>
        <v>0</v>
      </c>
      <c r="AM162" s="338">
        <f t="shared" si="225"/>
        <v>0</v>
      </c>
      <c r="AN162" s="338">
        <f t="shared" si="226"/>
        <v>0</v>
      </c>
      <c r="AO162" s="338">
        <f t="shared" si="227"/>
        <v>0</v>
      </c>
      <c r="AP162" s="338">
        <f t="shared" si="228"/>
        <v>0</v>
      </c>
      <c r="AS162" s="165">
        <v>9</v>
      </c>
      <c r="AT162" s="165" t="s">
        <v>754</v>
      </c>
      <c r="AU162" s="165" t="s">
        <v>320</v>
      </c>
      <c r="AV162" s="165">
        <v>18.123100000000001</v>
      </c>
      <c r="AW162" s="165" t="s">
        <v>506</v>
      </c>
      <c r="AX162" s="165">
        <v>1</v>
      </c>
      <c r="AY162" s="328">
        <v>6.7</v>
      </c>
      <c r="AZ162" s="328">
        <f t="shared" si="182"/>
        <v>-0.69689999999999941</v>
      </c>
    </row>
    <row r="163" spans="1:52" ht="22.5">
      <c r="A163" s="300"/>
      <c r="B163" s="129">
        <v>10</v>
      </c>
      <c r="C163" s="196" t="s">
        <v>755</v>
      </c>
      <c r="D163" s="129" t="s">
        <v>482</v>
      </c>
      <c r="E163" s="189"/>
      <c r="F163" s="189"/>
      <c r="G163" s="189"/>
      <c r="H163" s="189"/>
      <c r="I163" s="189"/>
      <c r="J163" s="189"/>
      <c r="K163" s="189"/>
      <c r="L163" s="189"/>
      <c r="M163" s="311">
        <f t="shared" si="234"/>
        <v>2387.09</v>
      </c>
      <c r="N163" s="311">
        <f>'附件4-8甲供材料清单'!K201</f>
        <v>2233</v>
      </c>
      <c r="O163" s="311">
        <v>1</v>
      </c>
      <c r="P163" s="311">
        <v>131.76</v>
      </c>
      <c r="Q163" s="139">
        <f t="shared" si="235"/>
        <v>0</v>
      </c>
      <c r="R163" s="139">
        <f t="shared" si="236"/>
        <v>0</v>
      </c>
      <c r="S163" s="139">
        <f t="shared" si="237"/>
        <v>0</v>
      </c>
      <c r="T163" s="139">
        <f t="shared" si="238"/>
        <v>0</v>
      </c>
      <c r="U163" s="139">
        <f t="shared" si="239"/>
        <v>0</v>
      </c>
      <c r="V163" s="139">
        <f t="shared" si="240"/>
        <v>0</v>
      </c>
      <c r="W163" s="139">
        <f t="shared" si="241"/>
        <v>0</v>
      </c>
      <c r="X163" s="139">
        <f t="shared" si="242"/>
        <v>0</v>
      </c>
      <c r="Y163" s="192" t="s">
        <v>244</v>
      </c>
      <c r="Z163" s="338">
        <f t="shared" si="213"/>
        <v>0</v>
      </c>
      <c r="AA163" s="338">
        <f t="shared" si="214"/>
        <v>0</v>
      </c>
      <c r="AB163" s="338">
        <f t="shared" si="215"/>
        <v>0</v>
      </c>
      <c r="AC163" s="338">
        <f t="shared" si="216"/>
        <v>0</v>
      </c>
      <c r="AD163" s="338">
        <f t="shared" si="217"/>
        <v>0</v>
      </c>
      <c r="AE163" s="338">
        <f t="shared" si="218"/>
        <v>0</v>
      </c>
      <c r="AF163" s="338">
        <f t="shared" si="219"/>
        <v>0</v>
      </c>
      <c r="AG163" s="338">
        <f t="shared" si="220"/>
        <v>0</v>
      </c>
      <c r="AH163" s="338"/>
      <c r="AI163" s="338">
        <f t="shared" si="221"/>
        <v>0</v>
      </c>
      <c r="AJ163" s="338">
        <f t="shared" si="222"/>
        <v>0</v>
      </c>
      <c r="AK163" s="338">
        <f t="shared" si="223"/>
        <v>0</v>
      </c>
      <c r="AL163" s="338">
        <f t="shared" si="224"/>
        <v>0</v>
      </c>
      <c r="AM163" s="338">
        <f t="shared" si="225"/>
        <v>0</v>
      </c>
      <c r="AN163" s="338">
        <f t="shared" si="226"/>
        <v>0</v>
      </c>
      <c r="AO163" s="338">
        <f t="shared" si="227"/>
        <v>0</v>
      </c>
      <c r="AP163" s="338">
        <f t="shared" si="228"/>
        <v>0</v>
      </c>
      <c r="AS163" s="165">
        <v>10</v>
      </c>
      <c r="AT163" s="165" t="s">
        <v>755</v>
      </c>
      <c r="AU163" s="165" t="s">
        <v>482</v>
      </c>
      <c r="AV163" s="165">
        <v>2386.8072000000002</v>
      </c>
      <c r="AW163" s="165" t="s">
        <v>756</v>
      </c>
      <c r="AX163" s="165">
        <v>1</v>
      </c>
      <c r="AY163" s="328">
        <v>131.76</v>
      </c>
      <c r="AZ163" s="328">
        <f t="shared" si="182"/>
        <v>-0.28279999999995198</v>
      </c>
    </row>
    <row r="164" spans="1:52" ht="22.5">
      <c r="A164" s="300"/>
      <c r="B164" s="129">
        <v>11</v>
      </c>
      <c r="C164" s="196" t="s">
        <v>757</v>
      </c>
      <c r="D164" s="129" t="s">
        <v>482</v>
      </c>
      <c r="E164" s="151"/>
      <c r="F164" s="189"/>
      <c r="G164" s="189"/>
      <c r="H164" s="151"/>
      <c r="I164" s="189"/>
      <c r="J164" s="151"/>
      <c r="K164" s="189"/>
      <c r="L164" s="189"/>
      <c r="M164" s="311">
        <f t="shared" si="234"/>
        <v>2823.41</v>
      </c>
      <c r="N164" s="311">
        <f>'附件4-8甲供材料清单'!K202</f>
        <v>2665</v>
      </c>
      <c r="O164" s="311">
        <v>1</v>
      </c>
      <c r="P164" s="311">
        <v>131.76</v>
      </c>
      <c r="Q164" s="139">
        <f t="shared" si="235"/>
        <v>0</v>
      </c>
      <c r="R164" s="139">
        <f t="shared" si="236"/>
        <v>0</v>
      </c>
      <c r="S164" s="139">
        <f t="shared" si="237"/>
        <v>0</v>
      </c>
      <c r="T164" s="139">
        <f t="shared" si="238"/>
        <v>0</v>
      </c>
      <c r="U164" s="139">
        <f t="shared" si="239"/>
        <v>0</v>
      </c>
      <c r="V164" s="139">
        <f t="shared" si="240"/>
        <v>0</v>
      </c>
      <c r="W164" s="139">
        <f t="shared" si="241"/>
        <v>0</v>
      </c>
      <c r="X164" s="139">
        <f t="shared" si="242"/>
        <v>0</v>
      </c>
      <c r="Y164" s="192" t="s">
        <v>244</v>
      </c>
      <c r="Z164" s="338">
        <f t="shared" si="213"/>
        <v>0</v>
      </c>
      <c r="AA164" s="338">
        <f t="shared" si="214"/>
        <v>0</v>
      </c>
      <c r="AB164" s="338">
        <f t="shared" si="215"/>
        <v>0</v>
      </c>
      <c r="AC164" s="338">
        <f t="shared" si="216"/>
        <v>0</v>
      </c>
      <c r="AD164" s="338">
        <f t="shared" si="217"/>
        <v>0</v>
      </c>
      <c r="AE164" s="338">
        <f t="shared" si="218"/>
        <v>0</v>
      </c>
      <c r="AF164" s="338">
        <f t="shared" si="219"/>
        <v>0</v>
      </c>
      <c r="AG164" s="338">
        <f t="shared" si="220"/>
        <v>0</v>
      </c>
      <c r="AH164" s="338"/>
      <c r="AI164" s="338">
        <f t="shared" si="221"/>
        <v>0</v>
      </c>
      <c r="AJ164" s="338">
        <f t="shared" si="222"/>
        <v>0</v>
      </c>
      <c r="AK164" s="338">
        <f t="shared" si="223"/>
        <v>0</v>
      </c>
      <c r="AL164" s="338">
        <f t="shared" si="224"/>
        <v>0</v>
      </c>
      <c r="AM164" s="338">
        <f t="shared" si="225"/>
        <v>0</v>
      </c>
      <c r="AN164" s="338">
        <f t="shared" si="226"/>
        <v>0</v>
      </c>
      <c r="AO164" s="338">
        <f t="shared" si="227"/>
        <v>0</v>
      </c>
      <c r="AP164" s="338">
        <f t="shared" si="228"/>
        <v>0</v>
      </c>
      <c r="AS164" s="165">
        <v>11</v>
      </c>
      <c r="AT164" s="165" t="s">
        <v>757</v>
      </c>
      <c r="AU164" s="165" t="s">
        <v>482</v>
      </c>
      <c r="AV164" s="165">
        <v>2823.2483999999999</v>
      </c>
      <c r="AW164" s="165" t="s">
        <v>758</v>
      </c>
      <c r="AX164" s="165">
        <v>1</v>
      </c>
      <c r="AY164" s="328">
        <v>131.76</v>
      </c>
      <c r="AZ164" s="328">
        <f t="shared" si="182"/>
        <v>-0.1615999999999076</v>
      </c>
    </row>
    <row r="165" spans="1:52" ht="22.5">
      <c r="A165" s="300"/>
      <c r="B165" s="129">
        <v>12</v>
      </c>
      <c r="C165" s="196" t="s">
        <v>759</v>
      </c>
      <c r="D165" s="129" t="s">
        <v>482</v>
      </c>
      <c r="E165" s="189"/>
      <c r="F165" s="189"/>
      <c r="G165" s="189"/>
      <c r="H165" s="189"/>
      <c r="I165" s="189"/>
      <c r="J165" s="189"/>
      <c r="K165" s="189"/>
      <c r="L165" s="189"/>
      <c r="M165" s="311">
        <f t="shared" si="234"/>
        <v>3854.62</v>
      </c>
      <c r="N165" s="311">
        <f>'附件4-8甲供材料清单'!K203</f>
        <v>3686</v>
      </c>
      <c r="O165" s="311">
        <v>1</v>
      </c>
      <c r="P165" s="311">
        <v>131.76</v>
      </c>
      <c r="Q165" s="139">
        <f t="shared" si="235"/>
        <v>0</v>
      </c>
      <c r="R165" s="139">
        <f t="shared" si="236"/>
        <v>0</v>
      </c>
      <c r="S165" s="139">
        <f t="shared" si="237"/>
        <v>0</v>
      </c>
      <c r="T165" s="139">
        <f t="shared" si="238"/>
        <v>0</v>
      </c>
      <c r="U165" s="139">
        <f t="shared" si="239"/>
        <v>0</v>
      </c>
      <c r="V165" s="139">
        <f t="shared" si="240"/>
        <v>0</v>
      </c>
      <c r="W165" s="139">
        <f t="shared" si="241"/>
        <v>0</v>
      </c>
      <c r="X165" s="139">
        <f t="shared" si="242"/>
        <v>0</v>
      </c>
      <c r="Y165" s="192" t="s">
        <v>244</v>
      </c>
      <c r="Z165" s="338">
        <f t="shared" si="213"/>
        <v>0</v>
      </c>
      <c r="AA165" s="338">
        <f t="shared" si="214"/>
        <v>0</v>
      </c>
      <c r="AB165" s="338">
        <f t="shared" si="215"/>
        <v>0</v>
      </c>
      <c r="AC165" s="338">
        <f t="shared" si="216"/>
        <v>0</v>
      </c>
      <c r="AD165" s="338">
        <f t="shared" si="217"/>
        <v>0</v>
      </c>
      <c r="AE165" s="338">
        <f t="shared" si="218"/>
        <v>0</v>
      </c>
      <c r="AF165" s="338">
        <f t="shared" si="219"/>
        <v>0</v>
      </c>
      <c r="AG165" s="338">
        <f t="shared" si="220"/>
        <v>0</v>
      </c>
      <c r="AH165" s="338"/>
      <c r="AI165" s="338">
        <f t="shared" si="221"/>
        <v>0</v>
      </c>
      <c r="AJ165" s="338">
        <f t="shared" si="222"/>
        <v>0</v>
      </c>
      <c r="AK165" s="338">
        <f t="shared" si="223"/>
        <v>0</v>
      </c>
      <c r="AL165" s="338">
        <f t="shared" si="224"/>
        <v>0</v>
      </c>
      <c r="AM165" s="338">
        <f t="shared" si="225"/>
        <v>0</v>
      </c>
      <c r="AN165" s="338">
        <f t="shared" si="226"/>
        <v>0</v>
      </c>
      <c r="AO165" s="338">
        <f t="shared" si="227"/>
        <v>0</v>
      </c>
      <c r="AP165" s="338">
        <f t="shared" si="228"/>
        <v>0</v>
      </c>
      <c r="AS165" s="165">
        <v>12</v>
      </c>
      <c r="AT165" s="165" t="s">
        <v>759</v>
      </c>
      <c r="AU165" s="165" t="s">
        <v>482</v>
      </c>
      <c r="AV165" s="165">
        <v>3853.7615000000001</v>
      </c>
      <c r="AW165" s="165" t="s">
        <v>760</v>
      </c>
      <c r="AX165" s="165">
        <v>1</v>
      </c>
      <c r="AY165" s="328">
        <v>131.76</v>
      </c>
      <c r="AZ165" s="328">
        <f t="shared" si="182"/>
        <v>-0.85849999999982174</v>
      </c>
    </row>
    <row r="166" spans="1:52" ht="31.5" customHeight="1">
      <c r="A166" s="300"/>
      <c r="B166" s="129">
        <v>13</v>
      </c>
      <c r="C166" s="196" t="s">
        <v>761</v>
      </c>
      <c r="D166" s="129" t="s">
        <v>482</v>
      </c>
      <c r="E166" s="151"/>
      <c r="F166" s="189"/>
      <c r="G166" s="189"/>
      <c r="H166" s="151"/>
      <c r="I166" s="189"/>
      <c r="J166" s="151"/>
      <c r="K166" s="189"/>
      <c r="L166" s="189"/>
      <c r="M166" s="311">
        <f t="shared" si="234"/>
        <v>856.93999999999994</v>
      </c>
      <c r="N166" s="311">
        <f>'附件4-8甲供材料清单'!K204</f>
        <v>718</v>
      </c>
      <c r="O166" s="311">
        <v>1</v>
      </c>
      <c r="P166" s="311">
        <v>131.76</v>
      </c>
      <c r="Q166" s="139">
        <f t="shared" si="235"/>
        <v>0</v>
      </c>
      <c r="R166" s="139">
        <f t="shared" si="236"/>
        <v>0</v>
      </c>
      <c r="S166" s="139">
        <f t="shared" si="237"/>
        <v>0</v>
      </c>
      <c r="T166" s="139">
        <f t="shared" si="238"/>
        <v>0</v>
      </c>
      <c r="U166" s="139">
        <f t="shared" si="239"/>
        <v>0</v>
      </c>
      <c r="V166" s="139">
        <f t="shared" si="240"/>
        <v>0</v>
      </c>
      <c r="W166" s="139">
        <f t="shared" si="241"/>
        <v>0</v>
      </c>
      <c r="X166" s="139">
        <f t="shared" si="242"/>
        <v>0</v>
      </c>
      <c r="Y166" s="192" t="s">
        <v>244</v>
      </c>
      <c r="Z166" s="338">
        <f t="shared" si="213"/>
        <v>0</v>
      </c>
      <c r="AA166" s="338">
        <f t="shared" si="214"/>
        <v>0</v>
      </c>
      <c r="AB166" s="338">
        <f t="shared" si="215"/>
        <v>0</v>
      </c>
      <c r="AC166" s="338">
        <f t="shared" si="216"/>
        <v>0</v>
      </c>
      <c r="AD166" s="338">
        <f t="shared" si="217"/>
        <v>0</v>
      </c>
      <c r="AE166" s="338">
        <f t="shared" si="218"/>
        <v>0</v>
      </c>
      <c r="AF166" s="338">
        <f t="shared" si="219"/>
        <v>0</v>
      </c>
      <c r="AG166" s="338">
        <f t="shared" si="220"/>
        <v>0</v>
      </c>
      <c r="AH166" s="338"/>
      <c r="AI166" s="338">
        <f t="shared" si="221"/>
        <v>0</v>
      </c>
      <c r="AJ166" s="338">
        <f t="shared" si="222"/>
        <v>0</v>
      </c>
      <c r="AK166" s="338">
        <f t="shared" si="223"/>
        <v>0</v>
      </c>
      <c r="AL166" s="338">
        <f t="shared" si="224"/>
        <v>0</v>
      </c>
      <c r="AM166" s="338">
        <f t="shared" si="225"/>
        <v>0</v>
      </c>
      <c r="AN166" s="338">
        <f t="shared" si="226"/>
        <v>0</v>
      </c>
      <c r="AO166" s="338">
        <f t="shared" si="227"/>
        <v>0</v>
      </c>
      <c r="AP166" s="338">
        <f t="shared" si="228"/>
        <v>0</v>
      </c>
      <c r="AS166" s="165">
        <v>13</v>
      </c>
      <c r="AT166" s="165" t="s">
        <v>761</v>
      </c>
      <c r="AU166" s="165" t="s">
        <v>482</v>
      </c>
      <c r="AV166" s="165">
        <v>821.78189999999995</v>
      </c>
      <c r="AW166" s="165" t="s">
        <v>762</v>
      </c>
      <c r="AX166" s="165">
        <v>1</v>
      </c>
      <c r="AY166" s="328">
        <v>131.76</v>
      </c>
      <c r="AZ166" s="328">
        <f t="shared" si="182"/>
        <v>-35.15809999999999</v>
      </c>
    </row>
    <row r="167" spans="1:52" ht="31.5" customHeight="1">
      <c r="A167" s="300"/>
      <c r="B167" s="129">
        <v>14</v>
      </c>
      <c r="C167" s="196" t="s">
        <v>763</v>
      </c>
      <c r="D167" s="129" t="s">
        <v>482</v>
      </c>
      <c r="E167" s="189"/>
      <c r="F167" s="189"/>
      <c r="G167" s="189"/>
      <c r="H167" s="189"/>
      <c r="I167" s="189"/>
      <c r="J167" s="189"/>
      <c r="K167" s="189"/>
      <c r="L167" s="189"/>
      <c r="M167" s="311">
        <f t="shared" si="234"/>
        <v>1014.5</v>
      </c>
      <c r="N167" s="311">
        <f>'附件4-8甲供材料清单'!K205</f>
        <v>874</v>
      </c>
      <c r="O167" s="311">
        <v>1</v>
      </c>
      <c r="P167" s="311">
        <v>131.76</v>
      </c>
      <c r="Q167" s="139">
        <f t="shared" si="235"/>
        <v>0</v>
      </c>
      <c r="R167" s="139">
        <f t="shared" si="236"/>
        <v>0</v>
      </c>
      <c r="S167" s="139">
        <f t="shared" si="237"/>
        <v>0</v>
      </c>
      <c r="T167" s="139">
        <f t="shared" si="238"/>
        <v>0</v>
      </c>
      <c r="U167" s="139">
        <f t="shared" si="239"/>
        <v>0</v>
      </c>
      <c r="V167" s="139">
        <f t="shared" si="240"/>
        <v>0</v>
      </c>
      <c r="W167" s="139">
        <f t="shared" si="241"/>
        <v>0</v>
      </c>
      <c r="X167" s="139">
        <f t="shared" si="242"/>
        <v>0</v>
      </c>
      <c r="Y167" s="192" t="s">
        <v>244</v>
      </c>
      <c r="Z167" s="338">
        <f t="shared" si="213"/>
        <v>0</v>
      </c>
      <c r="AA167" s="338">
        <f t="shared" si="214"/>
        <v>0</v>
      </c>
      <c r="AB167" s="338">
        <f t="shared" si="215"/>
        <v>0</v>
      </c>
      <c r="AC167" s="338">
        <f t="shared" si="216"/>
        <v>0</v>
      </c>
      <c r="AD167" s="338">
        <f t="shared" si="217"/>
        <v>0</v>
      </c>
      <c r="AE167" s="338">
        <f t="shared" si="218"/>
        <v>0</v>
      </c>
      <c r="AF167" s="338">
        <f t="shared" si="219"/>
        <v>0</v>
      </c>
      <c r="AG167" s="338">
        <f t="shared" si="220"/>
        <v>0</v>
      </c>
      <c r="AH167" s="338"/>
      <c r="AI167" s="338">
        <f t="shared" si="221"/>
        <v>0</v>
      </c>
      <c r="AJ167" s="338">
        <f t="shared" si="222"/>
        <v>0</v>
      </c>
      <c r="AK167" s="338">
        <f t="shared" si="223"/>
        <v>0</v>
      </c>
      <c r="AL167" s="338">
        <f t="shared" si="224"/>
        <v>0</v>
      </c>
      <c r="AM167" s="338">
        <f t="shared" si="225"/>
        <v>0</v>
      </c>
      <c r="AN167" s="338">
        <f t="shared" si="226"/>
        <v>0</v>
      </c>
      <c r="AO167" s="338">
        <f t="shared" si="227"/>
        <v>0</v>
      </c>
      <c r="AP167" s="338">
        <f t="shared" si="228"/>
        <v>0</v>
      </c>
      <c r="AS167" s="165">
        <v>14</v>
      </c>
      <c r="AT167" s="165" t="s">
        <v>763</v>
      </c>
      <c r="AU167" s="165" t="s">
        <v>482</v>
      </c>
      <c r="AV167" s="165">
        <v>977.11990000000003</v>
      </c>
      <c r="AW167" s="165" t="s">
        <v>764</v>
      </c>
      <c r="AX167" s="165">
        <v>1</v>
      </c>
      <c r="AY167" s="328">
        <v>131.76</v>
      </c>
      <c r="AZ167" s="328">
        <f t="shared" si="182"/>
        <v>-37.38009999999997</v>
      </c>
    </row>
    <row r="168" spans="1:52" ht="22.5">
      <c r="A168" s="300"/>
      <c r="B168" s="129">
        <v>15</v>
      </c>
      <c r="C168" s="196" t="s">
        <v>928</v>
      </c>
      <c r="D168" s="129" t="s">
        <v>482</v>
      </c>
      <c r="E168" s="151"/>
      <c r="F168" s="189"/>
      <c r="G168" s="189"/>
      <c r="H168" s="151"/>
      <c r="I168" s="189"/>
      <c r="J168" s="151"/>
      <c r="K168" s="189"/>
      <c r="L168" s="189"/>
      <c r="M168" s="311">
        <f t="shared" si="234"/>
        <v>524.65</v>
      </c>
      <c r="N168" s="311">
        <f>'附件4-8甲供材料清单'!K213</f>
        <v>389</v>
      </c>
      <c r="O168" s="311">
        <v>1</v>
      </c>
      <c r="P168" s="311">
        <v>131.76</v>
      </c>
      <c r="Q168" s="139">
        <f t="shared" si="235"/>
        <v>0</v>
      </c>
      <c r="R168" s="139">
        <f t="shared" si="236"/>
        <v>0</v>
      </c>
      <c r="S168" s="139">
        <f t="shared" si="237"/>
        <v>0</v>
      </c>
      <c r="T168" s="139">
        <f t="shared" si="238"/>
        <v>0</v>
      </c>
      <c r="U168" s="139">
        <f t="shared" si="239"/>
        <v>0</v>
      </c>
      <c r="V168" s="139">
        <f t="shared" si="240"/>
        <v>0</v>
      </c>
      <c r="W168" s="139">
        <f t="shared" si="241"/>
        <v>0</v>
      </c>
      <c r="X168" s="139">
        <f t="shared" si="242"/>
        <v>0</v>
      </c>
      <c r="Y168" s="192" t="s">
        <v>244</v>
      </c>
      <c r="Z168" s="338">
        <f t="shared" si="213"/>
        <v>0</v>
      </c>
      <c r="AA168" s="338">
        <f t="shared" si="214"/>
        <v>0</v>
      </c>
      <c r="AB168" s="338">
        <f t="shared" si="215"/>
        <v>0</v>
      </c>
      <c r="AC168" s="338">
        <f t="shared" si="216"/>
        <v>0</v>
      </c>
      <c r="AD168" s="338">
        <f t="shared" si="217"/>
        <v>0</v>
      </c>
      <c r="AE168" s="338">
        <f t="shared" si="218"/>
        <v>0</v>
      </c>
      <c r="AF168" s="338">
        <f t="shared" si="219"/>
        <v>0</v>
      </c>
      <c r="AG168" s="338">
        <f t="shared" si="220"/>
        <v>0</v>
      </c>
      <c r="AH168" s="338"/>
      <c r="AI168" s="338">
        <f t="shared" si="221"/>
        <v>0</v>
      </c>
      <c r="AJ168" s="338">
        <f t="shared" si="222"/>
        <v>0</v>
      </c>
      <c r="AK168" s="338">
        <f t="shared" si="223"/>
        <v>0</v>
      </c>
      <c r="AL168" s="338">
        <f t="shared" si="224"/>
        <v>0</v>
      </c>
      <c r="AM168" s="338">
        <f t="shared" si="225"/>
        <v>0</v>
      </c>
      <c r="AN168" s="338">
        <f t="shared" si="226"/>
        <v>0</v>
      </c>
      <c r="AO168" s="338">
        <f t="shared" si="227"/>
        <v>0</v>
      </c>
      <c r="AP168" s="338">
        <f t="shared" si="228"/>
        <v>0</v>
      </c>
      <c r="AS168" s="165">
        <v>15</v>
      </c>
      <c r="AT168" s="165" t="s">
        <v>928</v>
      </c>
      <c r="AU168" s="165" t="s">
        <v>482</v>
      </c>
      <c r="AV168" s="165">
        <v>586.26</v>
      </c>
      <c r="AW168" s="165">
        <v>450</v>
      </c>
      <c r="AX168" s="165">
        <v>1</v>
      </c>
      <c r="AY168" s="328">
        <v>131.76</v>
      </c>
      <c r="AZ168" s="328">
        <f t="shared" ref="AZ168" si="243">AV168-M168</f>
        <v>61.610000000000014</v>
      </c>
    </row>
    <row r="169" spans="1:52">
      <c r="A169" s="300"/>
      <c r="B169" s="129">
        <v>16</v>
      </c>
      <c r="C169" s="196" t="s">
        <v>929</v>
      </c>
      <c r="D169" s="129" t="s">
        <v>482</v>
      </c>
      <c r="E169" s="189"/>
      <c r="F169" s="189"/>
      <c r="G169" s="189"/>
      <c r="H169" s="189"/>
      <c r="I169" s="189"/>
      <c r="J169" s="189"/>
      <c r="K169" s="189"/>
      <c r="L169" s="189"/>
      <c r="M169" s="311">
        <f t="shared" si="234"/>
        <v>30.130000000000003</v>
      </c>
      <c r="N169" s="311">
        <f>'附件4-8甲供材料清单'!K206</f>
        <v>17</v>
      </c>
      <c r="O169" s="311">
        <v>1</v>
      </c>
      <c r="P169" s="311">
        <v>12.96</v>
      </c>
      <c r="Q169" s="139">
        <f t="shared" si="235"/>
        <v>0</v>
      </c>
      <c r="R169" s="139">
        <f t="shared" si="236"/>
        <v>0</v>
      </c>
      <c r="S169" s="139">
        <f t="shared" si="237"/>
        <v>0</v>
      </c>
      <c r="T169" s="139">
        <f t="shared" si="238"/>
        <v>0</v>
      </c>
      <c r="U169" s="139">
        <f t="shared" si="239"/>
        <v>0</v>
      </c>
      <c r="V169" s="139">
        <f t="shared" si="240"/>
        <v>0</v>
      </c>
      <c r="W169" s="139">
        <f t="shared" si="241"/>
        <v>0</v>
      </c>
      <c r="X169" s="139">
        <f t="shared" si="242"/>
        <v>0</v>
      </c>
      <c r="Y169" s="192" t="s">
        <v>244</v>
      </c>
      <c r="Z169" s="338">
        <f t="shared" si="213"/>
        <v>0</v>
      </c>
      <c r="AA169" s="338">
        <f t="shared" si="214"/>
        <v>0</v>
      </c>
      <c r="AB169" s="338">
        <f t="shared" si="215"/>
        <v>0</v>
      </c>
      <c r="AC169" s="338">
        <f t="shared" si="216"/>
        <v>0</v>
      </c>
      <c r="AD169" s="338">
        <f t="shared" si="217"/>
        <v>0</v>
      </c>
      <c r="AE169" s="338">
        <f t="shared" si="218"/>
        <v>0</v>
      </c>
      <c r="AF169" s="338">
        <f t="shared" si="219"/>
        <v>0</v>
      </c>
      <c r="AG169" s="338">
        <f t="shared" si="220"/>
        <v>0</v>
      </c>
      <c r="AH169" s="338"/>
      <c r="AI169" s="338">
        <f t="shared" si="221"/>
        <v>0</v>
      </c>
      <c r="AJ169" s="338">
        <f t="shared" si="222"/>
        <v>0</v>
      </c>
      <c r="AK169" s="338">
        <f t="shared" si="223"/>
        <v>0</v>
      </c>
      <c r="AL169" s="338">
        <f t="shared" si="224"/>
        <v>0</v>
      </c>
      <c r="AM169" s="338">
        <f t="shared" si="225"/>
        <v>0</v>
      </c>
      <c r="AN169" s="338">
        <f t="shared" si="226"/>
        <v>0</v>
      </c>
      <c r="AO169" s="338">
        <f t="shared" si="227"/>
        <v>0</v>
      </c>
      <c r="AP169" s="338">
        <f t="shared" si="228"/>
        <v>0</v>
      </c>
      <c r="AS169" s="165">
        <v>16</v>
      </c>
      <c r="AT169" s="165" t="s">
        <v>765</v>
      </c>
      <c r="AU169" s="165" t="s">
        <v>482</v>
      </c>
      <c r="AV169" s="165">
        <v>29.12</v>
      </c>
      <c r="AW169" s="165">
        <v>16</v>
      </c>
      <c r="AX169" s="165">
        <v>1</v>
      </c>
      <c r="AY169" s="328">
        <v>12.96</v>
      </c>
      <c r="AZ169" s="328">
        <f t="shared" ref="AZ169:AZ180" si="244">AV169-M169</f>
        <v>-1.0100000000000016</v>
      </c>
    </row>
    <row r="170" spans="1:52">
      <c r="A170" s="300"/>
      <c r="B170" s="129">
        <v>17</v>
      </c>
      <c r="C170" s="196" t="s">
        <v>930</v>
      </c>
      <c r="D170" s="129" t="s">
        <v>482</v>
      </c>
      <c r="E170" s="151"/>
      <c r="F170" s="189"/>
      <c r="G170" s="189"/>
      <c r="H170" s="151"/>
      <c r="I170" s="189"/>
      <c r="J170" s="151"/>
      <c r="K170" s="189"/>
      <c r="L170" s="189"/>
      <c r="M170" s="311">
        <f t="shared" si="234"/>
        <v>61.44</v>
      </c>
      <c r="N170" s="311">
        <f>'附件4-8甲供材料清单'!K214</f>
        <v>48</v>
      </c>
      <c r="O170" s="311">
        <v>1</v>
      </c>
      <c r="P170" s="311">
        <v>12.96</v>
      </c>
      <c r="Q170" s="139">
        <f t="shared" si="235"/>
        <v>0</v>
      </c>
      <c r="R170" s="139">
        <f t="shared" si="236"/>
        <v>0</v>
      </c>
      <c r="S170" s="139">
        <f t="shared" si="237"/>
        <v>0</v>
      </c>
      <c r="T170" s="139">
        <f t="shared" si="238"/>
        <v>0</v>
      </c>
      <c r="U170" s="139">
        <f t="shared" si="239"/>
        <v>0</v>
      </c>
      <c r="V170" s="139">
        <f t="shared" si="240"/>
        <v>0</v>
      </c>
      <c r="W170" s="139">
        <f t="shared" si="241"/>
        <v>0</v>
      </c>
      <c r="X170" s="139">
        <f t="shared" si="242"/>
        <v>0</v>
      </c>
      <c r="Y170" s="192" t="s">
        <v>244</v>
      </c>
      <c r="Z170" s="338">
        <f t="shared" si="213"/>
        <v>0</v>
      </c>
      <c r="AA170" s="338">
        <f t="shared" si="214"/>
        <v>0</v>
      </c>
      <c r="AB170" s="338">
        <f t="shared" si="215"/>
        <v>0</v>
      </c>
      <c r="AC170" s="338">
        <f t="shared" si="216"/>
        <v>0</v>
      </c>
      <c r="AD170" s="338">
        <f t="shared" si="217"/>
        <v>0</v>
      </c>
      <c r="AE170" s="338">
        <f t="shared" si="218"/>
        <v>0</v>
      </c>
      <c r="AF170" s="338">
        <f t="shared" si="219"/>
        <v>0</v>
      </c>
      <c r="AG170" s="338">
        <f t="shared" si="220"/>
        <v>0</v>
      </c>
      <c r="AH170" s="338"/>
      <c r="AI170" s="338">
        <f t="shared" si="221"/>
        <v>0</v>
      </c>
      <c r="AJ170" s="338">
        <f t="shared" si="222"/>
        <v>0</v>
      </c>
      <c r="AK170" s="338">
        <f t="shared" si="223"/>
        <v>0</v>
      </c>
      <c r="AL170" s="338">
        <f t="shared" si="224"/>
        <v>0</v>
      </c>
      <c r="AM170" s="338">
        <f t="shared" si="225"/>
        <v>0</v>
      </c>
      <c r="AN170" s="338">
        <f t="shared" si="226"/>
        <v>0</v>
      </c>
      <c r="AO170" s="338">
        <f t="shared" si="227"/>
        <v>0</v>
      </c>
      <c r="AP170" s="338">
        <f t="shared" si="228"/>
        <v>0</v>
      </c>
      <c r="AS170" s="165">
        <v>17</v>
      </c>
      <c r="AT170" s="165" t="s">
        <v>930</v>
      </c>
      <c r="AU170" s="165" t="s">
        <v>482</v>
      </c>
      <c r="AV170" s="165">
        <v>61.44</v>
      </c>
      <c r="AW170" s="165">
        <v>48</v>
      </c>
      <c r="AX170" s="165">
        <v>1</v>
      </c>
      <c r="AY170" s="328">
        <v>12.96</v>
      </c>
      <c r="AZ170" s="328">
        <f t="shared" si="244"/>
        <v>0</v>
      </c>
    </row>
    <row r="171" spans="1:52">
      <c r="A171" s="300"/>
      <c r="B171" s="129">
        <v>18</v>
      </c>
      <c r="C171" s="196" t="s">
        <v>766</v>
      </c>
      <c r="D171" s="129" t="s">
        <v>235</v>
      </c>
      <c r="E171" s="189"/>
      <c r="F171" s="189"/>
      <c r="G171" s="189"/>
      <c r="H171" s="189"/>
      <c r="I171" s="189"/>
      <c r="J171" s="189"/>
      <c r="K171" s="189"/>
      <c r="L171" s="189"/>
      <c r="M171" s="311">
        <f t="shared" si="234"/>
        <v>48.31</v>
      </c>
      <c r="N171" s="311">
        <v>35</v>
      </c>
      <c r="O171" s="311">
        <v>1</v>
      </c>
      <c r="P171" s="311">
        <v>12.96</v>
      </c>
      <c r="Q171" s="139">
        <f t="shared" si="235"/>
        <v>0</v>
      </c>
      <c r="R171" s="139">
        <f t="shared" si="236"/>
        <v>0</v>
      </c>
      <c r="S171" s="139">
        <f t="shared" si="237"/>
        <v>0</v>
      </c>
      <c r="T171" s="139">
        <f t="shared" si="238"/>
        <v>0</v>
      </c>
      <c r="U171" s="139">
        <f t="shared" si="239"/>
        <v>0</v>
      </c>
      <c r="V171" s="139">
        <f t="shared" si="240"/>
        <v>0</v>
      </c>
      <c r="W171" s="139">
        <f t="shared" si="241"/>
        <v>0</v>
      </c>
      <c r="X171" s="139">
        <f t="shared" si="242"/>
        <v>0</v>
      </c>
      <c r="Y171" s="192"/>
      <c r="Z171" s="338"/>
      <c r="AA171" s="338"/>
      <c r="AB171" s="338"/>
      <c r="AC171" s="338"/>
      <c r="AD171" s="338"/>
      <c r="AE171" s="338"/>
      <c r="AF171" s="338"/>
      <c r="AG171" s="338"/>
      <c r="AH171" s="338"/>
      <c r="AI171" s="338"/>
      <c r="AJ171" s="338"/>
      <c r="AK171" s="338"/>
      <c r="AL171" s="338"/>
      <c r="AM171" s="338"/>
      <c r="AN171" s="338"/>
      <c r="AO171" s="338"/>
      <c r="AP171" s="338"/>
      <c r="AS171" s="165">
        <v>18</v>
      </c>
      <c r="AT171" s="165" t="s">
        <v>766</v>
      </c>
      <c r="AU171" s="165" t="s">
        <v>235</v>
      </c>
      <c r="AV171" s="165">
        <v>48.31</v>
      </c>
      <c r="AW171" s="165">
        <v>35</v>
      </c>
      <c r="AX171" s="165">
        <v>1</v>
      </c>
      <c r="AY171" s="328">
        <v>12.96</v>
      </c>
      <c r="AZ171" s="328">
        <f t="shared" si="244"/>
        <v>0</v>
      </c>
    </row>
    <row r="172" spans="1:52">
      <c r="A172" s="300"/>
      <c r="B172" s="129">
        <v>19</v>
      </c>
      <c r="C172" s="196" t="s">
        <v>931</v>
      </c>
      <c r="D172" s="129" t="s">
        <v>235</v>
      </c>
      <c r="E172" s="151"/>
      <c r="F172" s="189"/>
      <c r="G172" s="189"/>
      <c r="H172" s="151"/>
      <c r="I172" s="189"/>
      <c r="J172" s="151"/>
      <c r="K172" s="189"/>
      <c r="L172" s="189"/>
      <c r="M172" s="311">
        <f t="shared" si="234"/>
        <v>36.19</v>
      </c>
      <c r="N172" s="311">
        <f>'附件4-8甲供材料清单'!K215</f>
        <v>23</v>
      </c>
      <c r="O172" s="311">
        <v>1</v>
      </c>
      <c r="P172" s="311">
        <v>12.96</v>
      </c>
      <c r="Q172" s="139">
        <f t="shared" si="235"/>
        <v>0</v>
      </c>
      <c r="R172" s="139">
        <f t="shared" si="236"/>
        <v>0</v>
      </c>
      <c r="S172" s="139">
        <f t="shared" si="237"/>
        <v>0</v>
      </c>
      <c r="T172" s="139">
        <f t="shared" si="238"/>
        <v>0</v>
      </c>
      <c r="U172" s="139">
        <f t="shared" si="239"/>
        <v>0</v>
      </c>
      <c r="V172" s="139">
        <f t="shared" si="240"/>
        <v>0</v>
      </c>
      <c r="W172" s="139">
        <f t="shared" si="241"/>
        <v>0</v>
      </c>
      <c r="X172" s="139">
        <f t="shared" si="242"/>
        <v>0</v>
      </c>
      <c r="Y172" s="192" t="s">
        <v>244</v>
      </c>
      <c r="Z172" s="338">
        <f t="shared" ref="Z172" si="245">Q172</f>
        <v>0</v>
      </c>
      <c r="AA172" s="338">
        <f t="shared" ref="AA172" si="246">R172</f>
        <v>0</v>
      </c>
      <c r="AB172" s="338">
        <f t="shared" ref="AB172:AG174" si="247">S172</f>
        <v>0</v>
      </c>
      <c r="AC172" s="338">
        <f t="shared" si="247"/>
        <v>0</v>
      </c>
      <c r="AD172" s="338">
        <f t="shared" si="247"/>
        <v>0</v>
      </c>
      <c r="AE172" s="338">
        <f t="shared" si="247"/>
        <v>0</v>
      </c>
      <c r="AF172" s="338">
        <f t="shared" si="247"/>
        <v>0</v>
      </c>
      <c r="AG172" s="338">
        <f t="shared" si="247"/>
        <v>0</v>
      </c>
      <c r="AH172" s="338"/>
      <c r="AI172" s="338">
        <f t="shared" ref="AI172" si="248">E172*$N172*(1+$O172%)</f>
        <v>0</v>
      </c>
      <c r="AJ172" s="338">
        <f t="shared" ref="AJ172" si="249">F172*$N172*(1+$O172%)</f>
        <v>0</v>
      </c>
      <c r="AK172" s="338">
        <f t="shared" ref="AK172:AP174" si="250">G172*$N172*(1+$O172%)</f>
        <v>0</v>
      </c>
      <c r="AL172" s="338">
        <f t="shared" si="250"/>
        <v>0</v>
      </c>
      <c r="AM172" s="338">
        <f t="shared" si="250"/>
        <v>0</v>
      </c>
      <c r="AN172" s="338">
        <f t="shared" si="250"/>
        <v>0</v>
      </c>
      <c r="AO172" s="338">
        <f t="shared" si="250"/>
        <v>0</v>
      </c>
      <c r="AP172" s="338">
        <f t="shared" si="250"/>
        <v>0</v>
      </c>
      <c r="AS172" s="165">
        <v>19</v>
      </c>
      <c r="AT172" s="165" t="s">
        <v>931</v>
      </c>
      <c r="AU172" s="165" t="s">
        <v>235</v>
      </c>
      <c r="AV172" s="165">
        <v>36.19</v>
      </c>
      <c r="AW172" s="165">
        <v>23</v>
      </c>
      <c r="AX172" s="165">
        <v>1</v>
      </c>
      <c r="AY172" s="328">
        <v>12.96</v>
      </c>
      <c r="AZ172" s="328">
        <f t="shared" si="244"/>
        <v>0</v>
      </c>
    </row>
    <row r="173" spans="1:52">
      <c r="A173" s="300"/>
      <c r="B173" s="129">
        <v>20</v>
      </c>
      <c r="C173" s="196" t="s">
        <v>767</v>
      </c>
      <c r="D173" s="129" t="s">
        <v>235</v>
      </c>
      <c r="E173" s="189"/>
      <c r="F173" s="189"/>
      <c r="G173" s="189"/>
      <c r="H173" s="189"/>
      <c r="I173" s="189"/>
      <c r="J173" s="189"/>
      <c r="K173" s="189"/>
      <c r="L173" s="189"/>
      <c r="M173" s="311">
        <f t="shared" si="234"/>
        <v>2.5367999999999999</v>
      </c>
      <c r="N173" s="311">
        <f>'附件4-8甲供材料清单'!K110</f>
        <v>1.47</v>
      </c>
      <c r="O173" s="311">
        <v>16</v>
      </c>
      <c r="P173" s="311">
        <v>0.83160000000000001</v>
      </c>
      <c r="Q173" s="139">
        <f t="shared" si="235"/>
        <v>0</v>
      </c>
      <c r="R173" s="139">
        <f t="shared" si="236"/>
        <v>0</v>
      </c>
      <c r="S173" s="139">
        <f t="shared" si="237"/>
        <v>0</v>
      </c>
      <c r="T173" s="139">
        <f t="shared" si="238"/>
        <v>0</v>
      </c>
      <c r="U173" s="139">
        <f t="shared" ref="U173" si="251">I173*$M173</f>
        <v>0</v>
      </c>
      <c r="V173" s="139">
        <f t="shared" ref="V173" si="252">J173*$M173</f>
        <v>0</v>
      </c>
      <c r="W173" s="139">
        <f t="shared" ref="W173" si="253">K173*$M173</f>
        <v>0</v>
      </c>
      <c r="X173" s="139">
        <f t="shared" ref="X173" si="254">L173*$M173</f>
        <v>0</v>
      </c>
      <c r="Y173" s="192" t="s">
        <v>244</v>
      </c>
      <c r="Z173" s="338">
        <f>Q173</f>
        <v>0</v>
      </c>
      <c r="AA173" s="338">
        <f>R173</f>
        <v>0</v>
      </c>
      <c r="AB173" s="338">
        <f t="shared" si="247"/>
        <v>0</v>
      </c>
      <c r="AC173" s="338">
        <f t="shared" si="247"/>
        <v>0</v>
      </c>
      <c r="AD173" s="338">
        <f t="shared" si="247"/>
        <v>0</v>
      </c>
      <c r="AE173" s="338">
        <f t="shared" si="247"/>
        <v>0</v>
      </c>
      <c r="AF173" s="338">
        <f t="shared" si="247"/>
        <v>0</v>
      </c>
      <c r="AG173" s="338">
        <f t="shared" si="247"/>
        <v>0</v>
      </c>
      <c r="AH173" s="338"/>
      <c r="AI173" s="338">
        <f>E173*$N173*(1+$O173%)</f>
        <v>0</v>
      </c>
      <c r="AJ173" s="338">
        <f>F173*$N173*(1+$O173%)</f>
        <v>0</v>
      </c>
      <c r="AK173" s="338">
        <f t="shared" si="250"/>
        <v>0</v>
      </c>
      <c r="AL173" s="338">
        <f t="shared" si="250"/>
        <v>0</v>
      </c>
      <c r="AM173" s="338">
        <f t="shared" si="250"/>
        <v>0</v>
      </c>
      <c r="AN173" s="338">
        <f t="shared" si="250"/>
        <v>0</v>
      </c>
      <c r="AO173" s="338">
        <f t="shared" si="250"/>
        <v>0</v>
      </c>
      <c r="AP173" s="338">
        <f t="shared" si="250"/>
        <v>0</v>
      </c>
      <c r="AS173" s="165">
        <v>20</v>
      </c>
      <c r="AT173" s="165" t="s">
        <v>767</v>
      </c>
      <c r="AU173" s="165" t="s">
        <v>235</v>
      </c>
      <c r="AV173" s="165">
        <v>2.641896</v>
      </c>
      <c r="AW173" s="165">
        <v>1.5606</v>
      </c>
      <c r="AX173" s="165">
        <v>16</v>
      </c>
      <c r="AY173" s="328">
        <v>0.83160000000000001</v>
      </c>
      <c r="AZ173" s="328">
        <f t="shared" si="244"/>
        <v>0.10509600000000008</v>
      </c>
    </row>
    <row r="174" spans="1:52">
      <c r="A174" s="300"/>
      <c r="B174" s="129">
        <v>21</v>
      </c>
      <c r="C174" s="196" t="s">
        <v>768</v>
      </c>
      <c r="D174" s="129" t="s">
        <v>235</v>
      </c>
      <c r="E174" s="151"/>
      <c r="F174" s="189"/>
      <c r="G174" s="189"/>
      <c r="H174" s="151"/>
      <c r="I174" s="189"/>
      <c r="J174" s="151"/>
      <c r="K174" s="189"/>
      <c r="L174" s="189"/>
      <c r="M174" s="311">
        <f t="shared" si="234"/>
        <v>3.4909999999999997</v>
      </c>
      <c r="N174" s="311">
        <f>'附件4-8甲供材料清单'!K114</f>
        <v>2.31</v>
      </c>
      <c r="O174" s="311">
        <v>10</v>
      </c>
      <c r="P174" s="311">
        <v>0.95</v>
      </c>
      <c r="Q174" s="139">
        <f t="shared" si="235"/>
        <v>0</v>
      </c>
      <c r="R174" s="139">
        <f t="shared" si="236"/>
        <v>0</v>
      </c>
      <c r="S174" s="139">
        <f t="shared" si="237"/>
        <v>0</v>
      </c>
      <c r="T174" s="139">
        <f t="shared" si="238"/>
        <v>0</v>
      </c>
      <c r="U174" s="139">
        <f t="shared" ref="U174:U188" si="255">I174*$M174</f>
        <v>0</v>
      </c>
      <c r="V174" s="139">
        <f t="shared" ref="V174:V188" si="256">J174*$M174</f>
        <v>0</v>
      </c>
      <c r="W174" s="139">
        <f t="shared" ref="W174:W188" si="257">K174*$M174</f>
        <v>0</v>
      </c>
      <c r="X174" s="139">
        <f t="shared" ref="X174:X188" si="258">L174*$M174</f>
        <v>0</v>
      </c>
      <c r="Y174" s="192" t="s">
        <v>244</v>
      </c>
      <c r="Z174" s="338">
        <f>Q174</f>
        <v>0</v>
      </c>
      <c r="AA174" s="338">
        <f>R174</f>
        <v>0</v>
      </c>
      <c r="AB174" s="338">
        <f t="shared" si="247"/>
        <v>0</v>
      </c>
      <c r="AC174" s="338">
        <f t="shared" si="247"/>
        <v>0</v>
      </c>
      <c r="AD174" s="338">
        <f t="shared" si="247"/>
        <v>0</v>
      </c>
      <c r="AE174" s="338">
        <f t="shared" si="247"/>
        <v>0</v>
      </c>
      <c r="AF174" s="338">
        <f t="shared" si="247"/>
        <v>0</v>
      </c>
      <c r="AG174" s="338">
        <f t="shared" si="247"/>
        <v>0</v>
      </c>
      <c r="AH174" s="338"/>
      <c r="AI174" s="338">
        <f>E174*$N174*(1+$O174%)</f>
        <v>0</v>
      </c>
      <c r="AJ174" s="338">
        <f>F174*$N174*(1+$O174%)</f>
        <v>0</v>
      </c>
      <c r="AK174" s="338">
        <f t="shared" si="250"/>
        <v>0</v>
      </c>
      <c r="AL174" s="338">
        <f t="shared" si="250"/>
        <v>0</v>
      </c>
      <c r="AM174" s="338">
        <f t="shared" si="250"/>
        <v>0</v>
      </c>
      <c r="AN174" s="338">
        <f t="shared" si="250"/>
        <v>0</v>
      </c>
      <c r="AO174" s="338">
        <f t="shared" si="250"/>
        <v>0</v>
      </c>
      <c r="AP174" s="338">
        <f t="shared" si="250"/>
        <v>0</v>
      </c>
      <c r="AS174" s="165">
        <v>21</v>
      </c>
      <c r="AT174" s="165" t="s">
        <v>768</v>
      </c>
      <c r="AU174" s="165" t="s">
        <v>235</v>
      </c>
      <c r="AV174" s="165">
        <v>3.6427999999999998</v>
      </c>
      <c r="AW174" s="165">
        <v>2.448</v>
      </c>
      <c r="AX174" s="165">
        <v>10</v>
      </c>
      <c r="AY174" s="328">
        <v>0.95</v>
      </c>
      <c r="AZ174" s="328">
        <f t="shared" si="244"/>
        <v>0.15180000000000016</v>
      </c>
    </row>
    <row r="175" spans="1:52" ht="23.25" customHeight="1">
      <c r="A175" s="300"/>
      <c r="B175" s="129">
        <v>22</v>
      </c>
      <c r="C175" s="196" t="s">
        <v>769</v>
      </c>
      <c r="D175" s="129" t="s">
        <v>235</v>
      </c>
      <c r="E175" s="189"/>
      <c r="F175" s="189"/>
      <c r="G175" s="189"/>
      <c r="H175" s="189"/>
      <c r="I175" s="189"/>
      <c r="J175" s="189"/>
      <c r="K175" s="189"/>
      <c r="L175" s="189"/>
      <c r="M175" s="311">
        <f t="shared" si="234"/>
        <v>7.5</v>
      </c>
      <c r="N175" s="311">
        <v>2</v>
      </c>
      <c r="O175" s="311">
        <v>5</v>
      </c>
      <c r="P175" s="311">
        <v>5.4</v>
      </c>
      <c r="Q175" s="139">
        <f t="shared" si="235"/>
        <v>0</v>
      </c>
      <c r="R175" s="139">
        <f t="shared" si="236"/>
        <v>0</v>
      </c>
      <c r="S175" s="139">
        <f t="shared" si="237"/>
        <v>0</v>
      </c>
      <c r="T175" s="139">
        <f t="shared" si="238"/>
        <v>0</v>
      </c>
      <c r="U175" s="139">
        <f t="shared" si="255"/>
        <v>0</v>
      </c>
      <c r="V175" s="139">
        <f t="shared" si="256"/>
        <v>0</v>
      </c>
      <c r="W175" s="139">
        <f t="shared" si="257"/>
        <v>0</v>
      </c>
      <c r="X175" s="139">
        <f t="shared" si="258"/>
        <v>0</v>
      </c>
      <c r="Y175" s="192"/>
      <c r="Z175" s="338"/>
      <c r="AA175" s="338"/>
      <c r="AB175" s="338"/>
      <c r="AC175" s="338"/>
      <c r="AD175" s="338"/>
      <c r="AE175" s="338"/>
      <c r="AF175" s="338"/>
      <c r="AG175" s="338"/>
      <c r="AH175" s="338"/>
      <c r="AI175" s="338"/>
      <c r="AJ175" s="338"/>
      <c r="AK175" s="338"/>
      <c r="AL175" s="338"/>
      <c r="AM175" s="338"/>
      <c r="AN175" s="338"/>
      <c r="AO175" s="338"/>
      <c r="AP175" s="338"/>
      <c r="AS175" s="165">
        <v>22</v>
      </c>
      <c r="AT175" s="165" t="s">
        <v>769</v>
      </c>
      <c r="AU175" s="165" t="s">
        <v>235</v>
      </c>
      <c r="AV175" s="165">
        <v>7.5</v>
      </c>
      <c r="AW175" s="165">
        <v>2</v>
      </c>
      <c r="AX175" s="165">
        <v>5</v>
      </c>
      <c r="AY175" s="328">
        <v>5.4</v>
      </c>
      <c r="AZ175" s="328">
        <f t="shared" si="244"/>
        <v>0</v>
      </c>
    </row>
    <row r="176" spans="1:52" ht="23.25" customHeight="1">
      <c r="A176" s="300"/>
      <c r="B176" s="129">
        <v>23</v>
      </c>
      <c r="C176" s="196" t="s">
        <v>770</v>
      </c>
      <c r="D176" s="129" t="s">
        <v>235</v>
      </c>
      <c r="E176" s="151"/>
      <c r="F176" s="189"/>
      <c r="G176" s="189"/>
      <c r="H176" s="151"/>
      <c r="I176" s="189"/>
      <c r="J176" s="151"/>
      <c r="K176" s="189"/>
      <c r="L176" s="189"/>
      <c r="M176" s="311">
        <f t="shared" si="234"/>
        <v>3.0100000000000002</v>
      </c>
      <c r="N176" s="311">
        <v>2</v>
      </c>
      <c r="O176" s="311">
        <v>10</v>
      </c>
      <c r="P176" s="311">
        <v>0.81</v>
      </c>
      <c r="Q176" s="139">
        <f t="shared" si="235"/>
        <v>0</v>
      </c>
      <c r="R176" s="139">
        <f t="shared" si="236"/>
        <v>0</v>
      </c>
      <c r="S176" s="139">
        <f t="shared" si="237"/>
        <v>0</v>
      </c>
      <c r="T176" s="139">
        <f t="shared" si="238"/>
        <v>0</v>
      </c>
      <c r="U176" s="139">
        <f t="shared" si="255"/>
        <v>0</v>
      </c>
      <c r="V176" s="139">
        <f t="shared" si="256"/>
        <v>0</v>
      </c>
      <c r="W176" s="139">
        <f t="shared" si="257"/>
        <v>0</v>
      </c>
      <c r="X176" s="139">
        <f t="shared" si="258"/>
        <v>0</v>
      </c>
      <c r="Y176" s="192"/>
      <c r="Z176" s="338"/>
      <c r="AA176" s="338"/>
      <c r="AB176" s="338"/>
      <c r="AC176" s="338"/>
      <c r="AD176" s="338"/>
      <c r="AE176" s="338"/>
      <c r="AF176" s="338"/>
      <c r="AG176" s="338"/>
      <c r="AH176" s="338"/>
      <c r="AI176" s="338"/>
      <c r="AJ176" s="338"/>
      <c r="AK176" s="338"/>
      <c r="AL176" s="338"/>
      <c r="AM176" s="338"/>
      <c r="AN176" s="338"/>
      <c r="AO176" s="338"/>
      <c r="AP176" s="338"/>
      <c r="AS176" s="165">
        <v>23</v>
      </c>
      <c r="AT176" s="165" t="s">
        <v>770</v>
      </c>
      <c r="AU176" s="165" t="s">
        <v>235</v>
      </c>
      <c r="AV176" s="165">
        <v>3.01</v>
      </c>
      <c r="AW176" s="165">
        <v>2</v>
      </c>
      <c r="AX176" s="165">
        <v>10</v>
      </c>
      <c r="AY176" s="328">
        <v>0.81</v>
      </c>
      <c r="AZ176" s="328">
        <f t="shared" si="244"/>
        <v>0</v>
      </c>
    </row>
    <row r="177" spans="1:52" ht="22.5">
      <c r="A177" s="300"/>
      <c r="B177" s="129">
        <v>24</v>
      </c>
      <c r="C177" s="196" t="s">
        <v>771</v>
      </c>
      <c r="D177" s="129" t="s">
        <v>235</v>
      </c>
      <c r="E177" s="189"/>
      <c r="F177" s="189"/>
      <c r="G177" s="189"/>
      <c r="H177" s="189"/>
      <c r="I177" s="189"/>
      <c r="J177" s="189"/>
      <c r="K177" s="189"/>
      <c r="L177" s="189"/>
      <c r="M177" s="311">
        <f t="shared" si="234"/>
        <v>7.0274999999999999</v>
      </c>
      <c r="N177" s="311">
        <f>'附件4-8甲供材料清单'!K116</f>
        <v>1.19</v>
      </c>
      <c r="O177" s="311">
        <v>5</v>
      </c>
      <c r="P177" s="311">
        <v>5.7779999999999996</v>
      </c>
      <c r="Q177" s="139">
        <f t="shared" si="235"/>
        <v>0</v>
      </c>
      <c r="R177" s="139">
        <f t="shared" si="236"/>
        <v>0</v>
      </c>
      <c r="S177" s="139">
        <f t="shared" si="237"/>
        <v>0</v>
      </c>
      <c r="T177" s="139">
        <f t="shared" si="238"/>
        <v>0</v>
      </c>
      <c r="U177" s="139">
        <f t="shared" si="255"/>
        <v>0</v>
      </c>
      <c r="V177" s="139">
        <f t="shared" si="256"/>
        <v>0</v>
      </c>
      <c r="W177" s="139">
        <f t="shared" si="257"/>
        <v>0</v>
      </c>
      <c r="X177" s="139">
        <f t="shared" si="258"/>
        <v>0</v>
      </c>
      <c r="Y177" s="315" t="s">
        <v>772</v>
      </c>
      <c r="Z177" s="338">
        <f t="shared" ref="Z177" si="259">Q177</f>
        <v>0</v>
      </c>
      <c r="AA177" s="338">
        <f t="shared" ref="AA177" si="260">R177</f>
        <v>0</v>
      </c>
      <c r="AB177" s="338">
        <f t="shared" ref="AB177:AG179" si="261">S177</f>
        <v>0</v>
      </c>
      <c r="AC177" s="338">
        <f t="shared" si="261"/>
        <v>0</v>
      </c>
      <c r="AD177" s="338">
        <f t="shared" si="261"/>
        <v>0</v>
      </c>
      <c r="AE177" s="338">
        <f t="shared" si="261"/>
        <v>0</v>
      </c>
      <c r="AF177" s="338">
        <f t="shared" si="261"/>
        <v>0</v>
      </c>
      <c r="AG177" s="338">
        <f t="shared" si="261"/>
        <v>0</v>
      </c>
      <c r="AH177" s="338"/>
      <c r="AI177" s="338">
        <f t="shared" ref="AI177" si="262">E177*$N177*(1+$O177%)</f>
        <v>0</v>
      </c>
      <c r="AJ177" s="338">
        <f t="shared" ref="AJ177" si="263">F177*$N177*(1+$O177%)</f>
        <v>0</v>
      </c>
      <c r="AK177" s="338">
        <f t="shared" ref="AK177:AP179" si="264">G177*$N177*(1+$O177%)</f>
        <v>0</v>
      </c>
      <c r="AL177" s="338">
        <f t="shared" si="264"/>
        <v>0</v>
      </c>
      <c r="AM177" s="338">
        <f t="shared" si="264"/>
        <v>0</v>
      </c>
      <c r="AN177" s="338">
        <f t="shared" si="264"/>
        <v>0</v>
      </c>
      <c r="AO177" s="338">
        <f t="shared" si="264"/>
        <v>0</v>
      </c>
      <c r="AP177" s="338">
        <f t="shared" si="264"/>
        <v>0</v>
      </c>
      <c r="AS177" s="165">
        <v>24</v>
      </c>
      <c r="AT177" s="165" t="s">
        <v>771</v>
      </c>
      <c r="AU177" s="165" t="s">
        <v>235</v>
      </c>
      <c r="AV177" s="165">
        <v>6.9855</v>
      </c>
      <c r="AW177" s="165">
        <v>1.1499999999999999</v>
      </c>
      <c r="AX177" s="165">
        <v>5</v>
      </c>
      <c r="AY177" s="328">
        <v>5.7779999999999996</v>
      </c>
      <c r="AZ177" s="328">
        <f t="shared" si="244"/>
        <v>-4.1999999999999815E-2</v>
      </c>
    </row>
    <row r="178" spans="1:52" ht="22.5">
      <c r="A178" s="300"/>
      <c r="B178" s="129">
        <v>25</v>
      </c>
      <c r="C178" s="196" t="s">
        <v>773</v>
      </c>
      <c r="D178" s="129" t="s">
        <v>235</v>
      </c>
      <c r="E178" s="151"/>
      <c r="F178" s="189"/>
      <c r="G178" s="189"/>
      <c r="H178" s="151"/>
      <c r="I178" s="189"/>
      <c r="J178" s="151"/>
      <c r="K178" s="189"/>
      <c r="L178" s="189"/>
      <c r="M178" s="311">
        <f t="shared" si="234"/>
        <v>7.6890000000000001</v>
      </c>
      <c r="N178" s="311">
        <f>'附件4-8甲供材料清单'!K117</f>
        <v>1.82</v>
      </c>
      <c r="O178" s="311">
        <v>5</v>
      </c>
      <c r="P178" s="311">
        <v>5.7779999999999996</v>
      </c>
      <c r="Q178" s="139">
        <f t="shared" si="235"/>
        <v>0</v>
      </c>
      <c r="R178" s="139">
        <f t="shared" si="236"/>
        <v>0</v>
      </c>
      <c r="S178" s="139">
        <f t="shared" si="237"/>
        <v>0</v>
      </c>
      <c r="T178" s="139">
        <f t="shared" si="238"/>
        <v>0</v>
      </c>
      <c r="U178" s="139">
        <f t="shared" si="255"/>
        <v>0</v>
      </c>
      <c r="V178" s="139">
        <f t="shared" si="256"/>
        <v>0</v>
      </c>
      <c r="W178" s="139">
        <f t="shared" si="257"/>
        <v>0</v>
      </c>
      <c r="X178" s="139">
        <f t="shared" si="258"/>
        <v>0</v>
      </c>
      <c r="Y178" s="315" t="s">
        <v>772</v>
      </c>
      <c r="Z178" s="338">
        <f>Q178</f>
        <v>0</v>
      </c>
      <c r="AA178" s="338">
        <f>R178</f>
        <v>0</v>
      </c>
      <c r="AB178" s="338">
        <f t="shared" si="261"/>
        <v>0</v>
      </c>
      <c r="AC178" s="338">
        <f t="shared" si="261"/>
        <v>0</v>
      </c>
      <c r="AD178" s="338">
        <f t="shared" si="261"/>
        <v>0</v>
      </c>
      <c r="AE178" s="338">
        <f t="shared" si="261"/>
        <v>0</v>
      </c>
      <c r="AF178" s="338">
        <f t="shared" si="261"/>
        <v>0</v>
      </c>
      <c r="AG178" s="338">
        <f t="shared" si="261"/>
        <v>0</v>
      </c>
      <c r="AH178" s="338"/>
      <c r="AI178" s="338">
        <f>E178*$N178*(1+$O178%)</f>
        <v>0</v>
      </c>
      <c r="AJ178" s="338">
        <f>F178*$N178*(1+$O178%)</f>
        <v>0</v>
      </c>
      <c r="AK178" s="338">
        <f t="shared" si="264"/>
        <v>0</v>
      </c>
      <c r="AL178" s="338">
        <f t="shared" si="264"/>
        <v>0</v>
      </c>
      <c r="AM178" s="338">
        <f t="shared" si="264"/>
        <v>0</v>
      </c>
      <c r="AN178" s="338">
        <f t="shared" si="264"/>
        <v>0</v>
      </c>
      <c r="AO178" s="338">
        <f t="shared" si="264"/>
        <v>0</v>
      </c>
      <c r="AP178" s="338">
        <f t="shared" si="264"/>
        <v>0</v>
      </c>
      <c r="AS178" s="165">
        <v>25</v>
      </c>
      <c r="AT178" s="165" t="s">
        <v>773</v>
      </c>
      <c r="AU178" s="165" t="s">
        <v>235</v>
      </c>
      <c r="AV178" s="165">
        <v>7.5</v>
      </c>
      <c r="AW178" s="165">
        <v>1.64</v>
      </c>
      <c r="AX178" s="165">
        <v>5</v>
      </c>
      <c r="AY178" s="328">
        <v>5.7779999999999996</v>
      </c>
      <c r="AZ178" s="328">
        <f t="shared" si="244"/>
        <v>-0.18900000000000006</v>
      </c>
    </row>
    <row r="179" spans="1:52" ht="22.5">
      <c r="A179" s="300"/>
      <c r="B179" s="129">
        <v>26</v>
      </c>
      <c r="C179" s="196" t="s">
        <v>774</v>
      </c>
      <c r="D179" s="129" t="s">
        <v>235</v>
      </c>
      <c r="E179" s="189"/>
      <c r="F179" s="189"/>
      <c r="G179" s="189"/>
      <c r="H179" s="189"/>
      <c r="I179" s="189"/>
      <c r="J179" s="189"/>
      <c r="K179" s="189"/>
      <c r="L179" s="189"/>
      <c r="M179" s="311">
        <f t="shared" si="234"/>
        <v>9.2219999999999995</v>
      </c>
      <c r="N179" s="311">
        <f>'附件4-8甲供材料清单'!K118</f>
        <v>3.28</v>
      </c>
      <c r="O179" s="311">
        <v>5</v>
      </c>
      <c r="P179" s="311">
        <v>5.7779999999999996</v>
      </c>
      <c r="Q179" s="139">
        <f t="shared" si="235"/>
        <v>0</v>
      </c>
      <c r="R179" s="139">
        <f t="shared" si="236"/>
        <v>0</v>
      </c>
      <c r="S179" s="139">
        <f t="shared" si="237"/>
        <v>0</v>
      </c>
      <c r="T179" s="139">
        <f t="shared" si="238"/>
        <v>0</v>
      </c>
      <c r="U179" s="139">
        <f t="shared" si="255"/>
        <v>0</v>
      </c>
      <c r="V179" s="139">
        <f t="shared" si="256"/>
        <v>0</v>
      </c>
      <c r="W179" s="139">
        <f t="shared" si="257"/>
        <v>0</v>
      </c>
      <c r="X179" s="139">
        <f t="shared" si="258"/>
        <v>0</v>
      </c>
      <c r="Y179" s="315" t="s">
        <v>772</v>
      </c>
      <c r="Z179" s="338">
        <f>Q179</f>
        <v>0</v>
      </c>
      <c r="AA179" s="338">
        <f>R179</f>
        <v>0</v>
      </c>
      <c r="AB179" s="338">
        <f t="shared" si="261"/>
        <v>0</v>
      </c>
      <c r="AC179" s="338">
        <f t="shared" si="261"/>
        <v>0</v>
      </c>
      <c r="AD179" s="338">
        <f t="shared" si="261"/>
        <v>0</v>
      </c>
      <c r="AE179" s="338">
        <f t="shared" si="261"/>
        <v>0</v>
      </c>
      <c r="AF179" s="338">
        <f t="shared" si="261"/>
        <v>0</v>
      </c>
      <c r="AG179" s="338">
        <f t="shared" si="261"/>
        <v>0</v>
      </c>
      <c r="AH179" s="338"/>
      <c r="AI179" s="338">
        <f>E179*$N179*(1+$O179%)</f>
        <v>0</v>
      </c>
      <c r="AJ179" s="338">
        <f>F179*$N179*(1+$O179%)</f>
        <v>0</v>
      </c>
      <c r="AK179" s="338">
        <f t="shared" si="264"/>
        <v>0</v>
      </c>
      <c r="AL179" s="338">
        <f t="shared" si="264"/>
        <v>0</v>
      </c>
      <c r="AM179" s="338">
        <f t="shared" si="264"/>
        <v>0</v>
      </c>
      <c r="AN179" s="338">
        <f t="shared" si="264"/>
        <v>0</v>
      </c>
      <c r="AO179" s="338">
        <f t="shared" si="264"/>
        <v>0</v>
      </c>
      <c r="AP179" s="338">
        <f t="shared" si="264"/>
        <v>0</v>
      </c>
      <c r="AS179" s="165">
        <v>26</v>
      </c>
      <c r="AT179" s="165" t="s">
        <v>774</v>
      </c>
      <c r="AU179" s="165" t="s">
        <v>235</v>
      </c>
      <c r="AV179" s="165">
        <v>8.5709999999999997</v>
      </c>
      <c r="AW179" s="165">
        <v>2.66</v>
      </c>
      <c r="AX179" s="165">
        <v>5</v>
      </c>
      <c r="AY179" s="328">
        <v>5.7779999999999996</v>
      </c>
      <c r="AZ179" s="328">
        <f t="shared" si="244"/>
        <v>-0.6509999999999998</v>
      </c>
    </row>
    <row r="180" spans="1:52" ht="33.75">
      <c r="A180" s="300"/>
      <c r="B180" s="129">
        <v>27</v>
      </c>
      <c r="C180" s="196" t="s">
        <v>775</v>
      </c>
      <c r="D180" s="129" t="s">
        <v>235</v>
      </c>
      <c r="E180" s="151"/>
      <c r="F180" s="189"/>
      <c r="G180" s="189"/>
      <c r="H180" s="151"/>
      <c r="I180" s="189"/>
      <c r="J180" s="151"/>
      <c r="K180" s="189"/>
      <c r="L180" s="189"/>
      <c r="M180" s="311">
        <f t="shared" si="234"/>
        <v>12.515000000000001</v>
      </c>
      <c r="N180" s="311">
        <v>4.3</v>
      </c>
      <c r="O180" s="311">
        <v>5</v>
      </c>
      <c r="P180" s="311">
        <v>8</v>
      </c>
      <c r="Q180" s="139">
        <f t="shared" si="235"/>
        <v>0</v>
      </c>
      <c r="R180" s="139">
        <f t="shared" si="236"/>
        <v>0</v>
      </c>
      <c r="S180" s="139">
        <f t="shared" si="237"/>
        <v>0</v>
      </c>
      <c r="T180" s="139">
        <f t="shared" si="238"/>
        <v>0</v>
      </c>
      <c r="U180" s="139">
        <f t="shared" si="255"/>
        <v>0</v>
      </c>
      <c r="V180" s="139">
        <f t="shared" si="256"/>
        <v>0</v>
      </c>
      <c r="W180" s="139">
        <f t="shared" si="257"/>
        <v>0</v>
      </c>
      <c r="X180" s="139">
        <f t="shared" si="258"/>
        <v>0</v>
      </c>
      <c r="Y180" s="315" t="s">
        <v>776</v>
      </c>
      <c r="Z180" s="338"/>
      <c r="AA180" s="338"/>
      <c r="AB180" s="338"/>
      <c r="AC180" s="338"/>
      <c r="AD180" s="338"/>
      <c r="AE180" s="338"/>
      <c r="AF180" s="338"/>
      <c r="AG180" s="338"/>
      <c r="AH180" s="338"/>
      <c r="AI180" s="338"/>
      <c r="AJ180" s="338"/>
      <c r="AK180" s="338"/>
      <c r="AL180" s="338"/>
      <c r="AM180" s="338"/>
      <c r="AN180" s="338"/>
      <c r="AO180" s="338"/>
      <c r="AP180" s="338"/>
      <c r="AS180" s="165">
        <v>27</v>
      </c>
      <c r="AT180" s="165" t="s">
        <v>775</v>
      </c>
      <c r="AU180" s="165" t="s">
        <v>235</v>
      </c>
      <c r="AV180" s="165">
        <v>12.515000000000001</v>
      </c>
      <c r="AW180" s="165">
        <v>4.3</v>
      </c>
      <c r="AX180" s="165">
        <v>5</v>
      </c>
      <c r="AY180" s="328">
        <v>8</v>
      </c>
      <c r="AZ180" s="328">
        <f t="shared" si="244"/>
        <v>0</v>
      </c>
    </row>
    <row r="181" spans="1:52">
      <c r="A181" s="300"/>
      <c r="B181" s="129"/>
      <c r="C181" s="266" t="s">
        <v>523</v>
      </c>
      <c r="D181" s="129"/>
      <c r="E181" s="151"/>
      <c r="F181" s="151"/>
      <c r="G181" s="151"/>
      <c r="H181" s="151"/>
      <c r="I181" s="151"/>
      <c r="J181" s="151"/>
      <c r="K181" s="151"/>
      <c r="L181" s="151"/>
      <c r="M181" s="311">
        <f t="shared" si="234"/>
        <v>0</v>
      </c>
      <c r="N181" s="311"/>
      <c r="O181" s="311"/>
      <c r="P181" s="311"/>
      <c r="Q181" s="139">
        <f t="shared" si="235"/>
        <v>0</v>
      </c>
      <c r="R181" s="139">
        <f t="shared" si="236"/>
        <v>0</v>
      </c>
      <c r="S181" s="139">
        <f t="shared" si="237"/>
        <v>0</v>
      </c>
      <c r="T181" s="139">
        <f t="shared" si="238"/>
        <v>0</v>
      </c>
      <c r="U181" s="139">
        <f t="shared" si="255"/>
        <v>0</v>
      </c>
      <c r="V181" s="139">
        <f t="shared" si="256"/>
        <v>0</v>
      </c>
      <c r="W181" s="139">
        <f t="shared" si="257"/>
        <v>0</v>
      </c>
      <c r="X181" s="139">
        <f t="shared" si="258"/>
        <v>0</v>
      </c>
      <c r="Y181" s="315"/>
      <c r="Z181" s="338"/>
      <c r="AA181" s="338"/>
      <c r="AB181" s="338"/>
      <c r="AC181" s="338"/>
      <c r="AD181" s="338"/>
      <c r="AE181" s="338"/>
      <c r="AF181" s="338"/>
      <c r="AG181" s="338"/>
      <c r="AH181" s="338"/>
      <c r="AI181" s="338"/>
      <c r="AJ181" s="338"/>
      <c r="AK181" s="338"/>
      <c r="AL181" s="338"/>
      <c r="AM181" s="338"/>
      <c r="AN181" s="338"/>
      <c r="AO181" s="338"/>
      <c r="AP181" s="338"/>
      <c r="AY181" s="316"/>
    </row>
    <row r="182" spans="1:52">
      <c r="B182" s="165"/>
      <c r="D182" s="165"/>
      <c r="E182" s="151"/>
      <c r="F182" s="151"/>
      <c r="G182" s="151"/>
      <c r="H182" s="151"/>
      <c r="I182" s="151"/>
      <c r="J182" s="151"/>
      <c r="K182" s="151"/>
      <c r="L182" s="151"/>
      <c r="M182" s="350"/>
      <c r="N182" s="350"/>
      <c r="O182" s="351"/>
      <c r="P182" s="350"/>
      <c r="Q182" s="151">
        <f t="shared" si="235"/>
        <v>0</v>
      </c>
      <c r="R182" s="151">
        <f t="shared" si="236"/>
        <v>0</v>
      </c>
      <c r="S182" s="151">
        <f t="shared" si="237"/>
        <v>0</v>
      </c>
      <c r="T182" s="151">
        <f t="shared" si="238"/>
        <v>0</v>
      </c>
      <c r="U182" s="151">
        <f t="shared" si="255"/>
        <v>0</v>
      </c>
      <c r="V182" s="151">
        <f t="shared" si="256"/>
        <v>0</v>
      </c>
      <c r="W182" s="151">
        <f t="shared" si="257"/>
        <v>0</v>
      </c>
      <c r="X182" s="151">
        <f t="shared" si="258"/>
        <v>0</v>
      </c>
      <c r="Y182" s="325"/>
      <c r="Z182" s="329"/>
      <c r="AA182" s="329"/>
      <c r="AB182" s="329"/>
      <c r="AC182" s="329"/>
      <c r="AD182" s="329"/>
      <c r="AE182" s="329"/>
      <c r="AF182" s="329"/>
      <c r="AG182" s="329"/>
      <c r="AH182" s="329"/>
      <c r="AI182" s="329"/>
      <c r="AJ182" s="329"/>
      <c r="AK182" s="329"/>
      <c r="AL182" s="329"/>
      <c r="AM182" s="329"/>
      <c r="AN182" s="329"/>
      <c r="AO182" s="329"/>
      <c r="AP182" s="329"/>
      <c r="AY182" s="316"/>
    </row>
    <row r="183" spans="1:52">
      <c r="B183" s="165"/>
      <c r="C183" s="199"/>
      <c r="D183" s="165"/>
      <c r="E183" s="151"/>
      <c r="F183" s="151"/>
      <c r="G183" s="151"/>
      <c r="H183" s="151"/>
      <c r="I183" s="151"/>
      <c r="J183" s="151"/>
      <c r="K183" s="151"/>
      <c r="L183" s="151"/>
      <c r="M183" s="350"/>
      <c r="N183" s="350"/>
      <c r="O183" s="351"/>
      <c r="P183" s="350"/>
      <c r="Q183" s="151">
        <f t="shared" si="235"/>
        <v>0</v>
      </c>
      <c r="R183" s="151">
        <f t="shared" si="236"/>
        <v>0</v>
      </c>
      <c r="S183" s="151">
        <f t="shared" si="237"/>
        <v>0</v>
      </c>
      <c r="T183" s="151">
        <f t="shared" si="238"/>
        <v>0</v>
      </c>
      <c r="U183" s="151">
        <f t="shared" si="255"/>
        <v>0</v>
      </c>
      <c r="V183" s="151">
        <f t="shared" si="256"/>
        <v>0</v>
      </c>
      <c r="W183" s="151">
        <f t="shared" si="257"/>
        <v>0</v>
      </c>
      <c r="X183" s="151">
        <f t="shared" si="258"/>
        <v>0</v>
      </c>
      <c r="Y183" s="325"/>
      <c r="Z183" s="329"/>
      <c r="AA183" s="329"/>
      <c r="AB183" s="329"/>
      <c r="AC183" s="329"/>
      <c r="AD183" s="329"/>
      <c r="AE183" s="329"/>
      <c r="AF183" s="329"/>
      <c r="AG183" s="329"/>
      <c r="AH183" s="329"/>
      <c r="AI183" s="329"/>
      <c r="AJ183" s="329"/>
      <c r="AK183" s="329"/>
      <c r="AL183" s="329"/>
      <c r="AM183" s="329"/>
      <c r="AN183" s="329"/>
      <c r="AO183" s="329"/>
      <c r="AP183" s="329"/>
      <c r="AY183" s="316"/>
    </row>
    <row r="184" spans="1:52">
      <c r="B184" s="165"/>
      <c r="C184" s="199"/>
      <c r="D184" s="165"/>
      <c r="E184" s="151"/>
      <c r="F184" s="151"/>
      <c r="G184" s="151"/>
      <c r="H184" s="151"/>
      <c r="I184" s="151"/>
      <c r="J184" s="151"/>
      <c r="K184" s="151"/>
      <c r="L184" s="151"/>
      <c r="M184" s="350"/>
      <c r="N184" s="350"/>
      <c r="O184" s="351"/>
      <c r="P184" s="350"/>
      <c r="Q184" s="151">
        <f t="shared" si="235"/>
        <v>0</v>
      </c>
      <c r="R184" s="151">
        <f t="shared" si="236"/>
        <v>0</v>
      </c>
      <c r="S184" s="151">
        <f t="shared" si="237"/>
        <v>0</v>
      </c>
      <c r="T184" s="151">
        <f t="shared" si="238"/>
        <v>0</v>
      </c>
      <c r="U184" s="151">
        <f t="shared" si="255"/>
        <v>0</v>
      </c>
      <c r="V184" s="151">
        <f t="shared" si="256"/>
        <v>0</v>
      </c>
      <c r="W184" s="151">
        <f t="shared" si="257"/>
        <v>0</v>
      </c>
      <c r="X184" s="151">
        <f t="shared" si="258"/>
        <v>0</v>
      </c>
      <c r="Y184" s="325"/>
      <c r="Z184" s="329"/>
      <c r="AA184" s="329"/>
      <c r="AB184" s="329"/>
      <c r="AC184" s="329"/>
      <c r="AD184" s="329"/>
      <c r="AE184" s="329"/>
      <c r="AF184" s="329"/>
      <c r="AG184" s="329"/>
      <c r="AH184" s="329"/>
      <c r="AI184" s="329"/>
      <c r="AJ184" s="329"/>
      <c r="AK184" s="329"/>
      <c r="AL184" s="329"/>
      <c r="AM184" s="329"/>
      <c r="AN184" s="329"/>
      <c r="AO184" s="329"/>
      <c r="AP184" s="329"/>
      <c r="AY184" s="316"/>
    </row>
    <row r="185" spans="1:52">
      <c r="B185" s="165"/>
      <c r="C185" s="199"/>
      <c r="D185" s="165"/>
      <c r="E185" s="151"/>
      <c r="F185" s="151"/>
      <c r="G185" s="151"/>
      <c r="H185" s="151"/>
      <c r="I185" s="151"/>
      <c r="J185" s="151"/>
      <c r="K185" s="151"/>
      <c r="L185" s="151"/>
      <c r="M185" s="350"/>
      <c r="N185" s="350"/>
      <c r="O185" s="351"/>
      <c r="P185" s="350"/>
      <c r="Q185" s="151">
        <f t="shared" si="235"/>
        <v>0</v>
      </c>
      <c r="R185" s="151">
        <f t="shared" si="236"/>
        <v>0</v>
      </c>
      <c r="S185" s="151">
        <f t="shared" si="237"/>
        <v>0</v>
      </c>
      <c r="T185" s="151">
        <f t="shared" si="238"/>
        <v>0</v>
      </c>
      <c r="U185" s="151">
        <f t="shared" si="255"/>
        <v>0</v>
      </c>
      <c r="V185" s="151">
        <f t="shared" si="256"/>
        <v>0</v>
      </c>
      <c r="W185" s="151">
        <f t="shared" si="257"/>
        <v>0</v>
      </c>
      <c r="X185" s="151">
        <f t="shared" si="258"/>
        <v>0</v>
      </c>
      <c r="Y185" s="325"/>
      <c r="Z185" s="329"/>
      <c r="AA185" s="329"/>
      <c r="AB185" s="329"/>
      <c r="AC185" s="329"/>
      <c r="AD185" s="329"/>
      <c r="AE185" s="329"/>
      <c r="AF185" s="329"/>
      <c r="AG185" s="329"/>
      <c r="AH185" s="329"/>
      <c r="AI185" s="329"/>
      <c r="AJ185" s="329"/>
      <c r="AK185" s="329"/>
      <c r="AL185" s="329"/>
      <c r="AM185" s="329"/>
      <c r="AN185" s="329"/>
      <c r="AO185" s="329"/>
      <c r="AP185" s="329"/>
      <c r="AY185" s="316"/>
    </row>
    <row r="186" spans="1:52">
      <c r="B186" s="165"/>
      <c r="C186" s="199"/>
      <c r="D186" s="165"/>
      <c r="E186" s="151"/>
      <c r="F186" s="151"/>
      <c r="G186" s="151"/>
      <c r="H186" s="151"/>
      <c r="I186" s="151"/>
      <c r="J186" s="151"/>
      <c r="K186" s="151"/>
      <c r="L186" s="151"/>
      <c r="M186" s="350"/>
      <c r="N186" s="350"/>
      <c r="O186" s="351"/>
      <c r="P186" s="350"/>
      <c r="Q186" s="151">
        <f t="shared" si="235"/>
        <v>0</v>
      </c>
      <c r="R186" s="151">
        <f t="shared" si="236"/>
        <v>0</v>
      </c>
      <c r="S186" s="151">
        <f t="shared" si="237"/>
        <v>0</v>
      </c>
      <c r="T186" s="151">
        <f t="shared" si="238"/>
        <v>0</v>
      </c>
      <c r="U186" s="151">
        <f t="shared" si="255"/>
        <v>0</v>
      </c>
      <c r="V186" s="151">
        <f t="shared" si="256"/>
        <v>0</v>
      </c>
      <c r="W186" s="151">
        <f t="shared" si="257"/>
        <v>0</v>
      </c>
      <c r="X186" s="151">
        <f t="shared" si="258"/>
        <v>0</v>
      </c>
      <c r="Y186" s="325"/>
      <c r="Z186" s="329"/>
      <c r="AA186" s="329"/>
      <c r="AB186" s="329"/>
      <c r="AC186" s="329"/>
      <c r="AD186" s="329"/>
      <c r="AE186" s="329"/>
      <c r="AF186" s="329"/>
      <c r="AG186" s="329"/>
      <c r="AH186" s="329"/>
      <c r="AI186" s="329"/>
      <c r="AJ186" s="329"/>
      <c r="AK186" s="329"/>
      <c r="AL186" s="329"/>
      <c r="AM186" s="329"/>
      <c r="AN186" s="329"/>
      <c r="AO186" s="329"/>
      <c r="AP186" s="329"/>
      <c r="AY186" s="316"/>
    </row>
    <row r="187" spans="1:52">
      <c r="B187" s="165"/>
      <c r="C187" s="199"/>
      <c r="D187" s="165"/>
      <c r="E187" s="151"/>
      <c r="F187" s="151"/>
      <c r="G187" s="151"/>
      <c r="H187" s="151"/>
      <c r="I187" s="151"/>
      <c r="J187" s="151"/>
      <c r="K187" s="151"/>
      <c r="L187" s="151"/>
      <c r="M187" s="350"/>
      <c r="N187" s="350"/>
      <c r="O187" s="351"/>
      <c r="P187" s="350"/>
      <c r="Q187" s="151">
        <f t="shared" si="235"/>
        <v>0</v>
      </c>
      <c r="R187" s="151">
        <f t="shared" si="236"/>
        <v>0</v>
      </c>
      <c r="S187" s="151">
        <f t="shared" si="237"/>
        <v>0</v>
      </c>
      <c r="T187" s="151">
        <f t="shared" si="238"/>
        <v>0</v>
      </c>
      <c r="U187" s="151">
        <f t="shared" si="255"/>
        <v>0</v>
      </c>
      <c r="V187" s="151">
        <f t="shared" si="256"/>
        <v>0</v>
      </c>
      <c r="W187" s="151">
        <f t="shared" si="257"/>
        <v>0</v>
      </c>
      <c r="X187" s="151">
        <f t="shared" si="258"/>
        <v>0</v>
      </c>
      <c r="Y187" s="325"/>
      <c r="Z187" s="329"/>
      <c r="AA187" s="329"/>
      <c r="AB187" s="329"/>
      <c r="AC187" s="329"/>
      <c r="AD187" s="329"/>
      <c r="AE187" s="329"/>
      <c r="AF187" s="329"/>
      <c r="AG187" s="329"/>
      <c r="AH187" s="329"/>
      <c r="AI187" s="329"/>
      <c r="AJ187" s="329"/>
      <c r="AK187" s="329"/>
      <c r="AL187" s="329"/>
      <c r="AM187" s="329"/>
      <c r="AN187" s="329"/>
      <c r="AO187" s="329"/>
      <c r="AP187" s="329"/>
      <c r="AY187" s="316"/>
    </row>
    <row r="188" spans="1:52">
      <c r="A188" s="300"/>
      <c r="B188" s="129"/>
      <c r="C188" s="196"/>
      <c r="D188" s="129"/>
      <c r="E188" s="139"/>
      <c r="F188" s="139"/>
      <c r="G188" s="139"/>
      <c r="H188" s="139"/>
      <c r="I188" s="139"/>
      <c r="J188" s="139"/>
      <c r="K188" s="139"/>
      <c r="L188" s="139"/>
      <c r="M188" s="318"/>
      <c r="N188" s="318"/>
      <c r="O188" s="335"/>
      <c r="P188" s="318"/>
      <c r="Q188" s="139">
        <f t="shared" si="235"/>
        <v>0</v>
      </c>
      <c r="R188" s="139">
        <f t="shared" si="236"/>
        <v>0</v>
      </c>
      <c r="S188" s="139">
        <f t="shared" si="237"/>
        <v>0</v>
      </c>
      <c r="T188" s="139">
        <f t="shared" si="238"/>
        <v>0</v>
      </c>
      <c r="U188" s="139">
        <f t="shared" si="255"/>
        <v>0</v>
      </c>
      <c r="V188" s="139">
        <f t="shared" si="256"/>
        <v>0</v>
      </c>
      <c r="W188" s="139">
        <f t="shared" si="257"/>
        <v>0</v>
      </c>
      <c r="X188" s="139">
        <f t="shared" si="258"/>
        <v>0</v>
      </c>
      <c r="Y188" s="315"/>
      <c r="Z188" s="338"/>
      <c r="AA188" s="338"/>
      <c r="AB188" s="338"/>
      <c r="AC188" s="338"/>
      <c r="AD188" s="338"/>
      <c r="AE188" s="338"/>
      <c r="AF188" s="338"/>
      <c r="AG188" s="338"/>
      <c r="AH188" s="338"/>
      <c r="AI188" s="338"/>
      <c r="AJ188" s="338"/>
      <c r="AK188" s="338"/>
      <c r="AL188" s="338"/>
      <c r="AM188" s="338"/>
      <c r="AN188" s="338"/>
      <c r="AO188" s="338"/>
      <c r="AP188" s="338"/>
      <c r="AY188" s="316"/>
    </row>
    <row r="189" spans="1:52" ht="24.75" customHeight="1">
      <c r="A189" s="300"/>
      <c r="B189" s="129"/>
      <c r="C189" s="266" t="s">
        <v>157</v>
      </c>
      <c r="D189" s="129"/>
      <c r="E189" s="139"/>
      <c r="F189" s="139"/>
      <c r="G189" s="139"/>
      <c r="H189" s="139"/>
      <c r="I189" s="139"/>
      <c r="J189" s="139"/>
      <c r="K189" s="139"/>
      <c r="L189" s="139"/>
      <c r="M189" s="318">
        <f>SUM(M8:M180)</f>
        <v>44284.242280000006</v>
      </c>
      <c r="N189" s="318"/>
      <c r="O189" s="335"/>
      <c r="P189" s="318"/>
      <c r="Q189" s="206">
        <f t="shared" ref="Q189" si="265">SUM(Q8:Q188)</f>
        <v>0</v>
      </c>
      <c r="R189" s="206">
        <f>SUM(R8:R188)</f>
        <v>0</v>
      </c>
      <c r="S189" s="206">
        <f>SUM(S8:S188)</f>
        <v>0</v>
      </c>
      <c r="T189" s="206">
        <f>SUM(T8:T188)</f>
        <v>0</v>
      </c>
      <c r="U189" s="206">
        <f t="shared" ref="U189" si="266">SUM(U8:U188)</f>
        <v>0</v>
      </c>
      <c r="V189" s="206">
        <f>SUM(V8:V188)</f>
        <v>0</v>
      </c>
      <c r="W189" s="206">
        <f>SUM(W8:W188)</f>
        <v>0</v>
      </c>
      <c r="X189" s="206">
        <f>SUM(X8:X188)</f>
        <v>0</v>
      </c>
      <c r="Y189" s="192"/>
      <c r="Z189" s="338">
        <f t="shared" ref="Z189" si="267">SUM(Z8:Z188)</f>
        <v>0</v>
      </c>
      <c r="AA189" s="338">
        <f t="shared" ref="AA189" si="268">SUM(AA8:AA188)</f>
        <v>0</v>
      </c>
      <c r="AB189" s="338">
        <f t="shared" ref="AB189:AG189" si="269">SUM(AB8:AB188)</f>
        <v>0</v>
      </c>
      <c r="AC189" s="338">
        <f t="shared" si="269"/>
        <v>0</v>
      </c>
      <c r="AD189" s="338">
        <f t="shared" si="269"/>
        <v>0</v>
      </c>
      <c r="AE189" s="338">
        <f t="shared" si="269"/>
        <v>0</v>
      </c>
      <c r="AF189" s="338">
        <f t="shared" si="269"/>
        <v>0</v>
      </c>
      <c r="AG189" s="338">
        <f t="shared" si="269"/>
        <v>0</v>
      </c>
      <c r="AH189" s="338"/>
      <c r="AI189" s="338">
        <f>SUM(AI8:AI188)</f>
        <v>0</v>
      </c>
      <c r="AJ189" s="338">
        <f t="shared" ref="AJ189" si="270">SUM(AJ8:AJ188)</f>
        <v>0</v>
      </c>
      <c r="AK189" s="338">
        <f t="shared" ref="AK189:AP189" si="271">SUM(AK8:AK188)</f>
        <v>0</v>
      </c>
      <c r="AL189" s="338">
        <f t="shared" si="271"/>
        <v>0</v>
      </c>
      <c r="AM189" s="338">
        <f t="shared" si="271"/>
        <v>0</v>
      </c>
      <c r="AN189" s="338">
        <f t="shared" si="271"/>
        <v>0</v>
      </c>
      <c r="AO189" s="338">
        <f t="shared" si="271"/>
        <v>0</v>
      </c>
      <c r="AP189" s="338">
        <f t="shared" si="271"/>
        <v>0</v>
      </c>
      <c r="AY189" s="316"/>
    </row>
    <row r="190" spans="1:52" ht="34.5" customHeight="1">
      <c r="A190" s="300"/>
      <c r="B190" s="129"/>
      <c r="C190" s="196" t="s">
        <v>548</v>
      </c>
      <c r="D190" s="129"/>
      <c r="E190" s="139"/>
      <c r="F190" s="139"/>
      <c r="G190" s="139"/>
      <c r="H190" s="139"/>
      <c r="I190" s="139"/>
      <c r="J190" s="139"/>
      <c r="K190" s="139"/>
      <c r="L190" s="139"/>
      <c r="M190" s="318"/>
      <c r="N190" s="318"/>
      <c r="O190" s="335"/>
      <c r="P190" s="318"/>
      <c r="Q190" s="139"/>
      <c r="R190" s="139"/>
      <c r="S190" s="139"/>
      <c r="T190" s="139"/>
      <c r="U190" s="139"/>
      <c r="V190" s="139"/>
      <c r="W190" s="139"/>
      <c r="X190" s="139"/>
      <c r="Y190" s="192"/>
      <c r="Z190" s="329"/>
      <c r="AA190" s="329"/>
      <c r="AB190" s="329"/>
      <c r="AC190" s="329"/>
      <c r="AD190" s="329"/>
      <c r="AE190" s="329"/>
      <c r="AF190" s="329"/>
      <c r="AG190" s="329"/>
      <c r="AH190" s="329"/>
      <c r="AI190" s="329"/>
      <c r="AJ190" s="329"/>
      <c r="AK190" s="329"/>
      <c r="AL190" s="329"/>
      <c r="AM190" s="329"/>
      <c r="AN190" s="329"/>
      <c r="AO190" s="329"/>
      <c r="AP190" s="329"/>
      <c r="AY190" s="316"/>
    </row>
    <row r="191" spans="1:52" ht="34.5" customHeight="1">
      <c r="A191" s="300"/>
      <c r="B191" s="129" t="s">
        <v>133</v>
      </c>
      <c r="C191" s="196" t="s">
        <v>549</v>
      </c>
      <c r="D191" s="129"/>
      <c r="E191" s="139"/>
      <c r="F191" s="139"/>
      <c r="G191" s="139"/>
      <c r="H191" s="139"/>
      <c r="I191" s="139"/>
      <c r="J191" s="139"/>
      <c r="K191" s="139"/>
      <c r="L191" s="139"/>
      <c r="M191" s="318"/>
      <c r="N191" s="318"/>
      <c r="O191" s="335"/>
      <c r="P191" s="318"/>
      <c r="Q191" s="139"/>
      <c r="R191" s="139"/>
      <c r="S191" s="139"/>
      <c r="T191" s="139"/>
      <c r="U191" s="139"/>
      <c r="V191" s="139"/>
      <c r="W191" s="139"/>
      <c r="X191" s="139"/>
      <c r="Y191" s="192"/>
      <c r="Z191" s="329"/>
      <c r="AA191" s="329"/>
      <c r="AB191" s="329"/>
      <c r="AC191" s="329"/>
      <c r="AD191" s="329"/>
      <c r="AE191" s="329"/>
      <c r="AF191" s="329"/>
      <c r="AG191" s="329"/>
      <c r="AH191" s="329"/>
      <c r="AI191" s="329"/>
      <c r="AJ191" s="329"/>
      <c r="AK191" s="329"/>
      <c r="AL191" s="329"/>
      <c r="AM191" s="329"/>
      <c r="AN191" s="329"/>
      <c r="AO191" s="329"/>
      <c r="AP191" s="329"/>
      <c r="AQ191" s="290"/>
      <c r="AY191" s="316"/>
    </row>
    <row r="192" spans="1:52" ht="34.5" customHeight="1">
      <c r="A192" s="300"/>
      <c r="B192" s="129" t="s">
        <v>140</v>
      </c>
      <c r="C192" s="196" t="s">
        <v>551</v>
      </c>
      <c r="D192" s="129"/>
      <c r="E192" s="139"/>
      <c r="F192" s="139"/>
      <c r="G192" s="139"/>
      <c r="H192" s="139"/>
      <c r="I192" s="139"/>
      <c r="J192" s="139"/>
      <c r="K192" s="139"/>
      <c r="L192" s="139"/>
      <c r="M192" s="318"/>
      <c r="N192" s="318"/>
      <c r="O192" s="335"/>
      <c r="P192" s="318"/>
      <c r="Q192" s="139">
        <f>Q189-Q199</f>
        <v>0</v>
      </c>
      <c r="R192" s="139">
        <f t="shared" ref="R192" si="272">R189-R199</f>
        <v>0</v>
      </c>
      <c r="S192" s="139">
        <f t="shared" ref="S192:X192" si="273">S189-S199</f>
        <v>0</v>
      </c>
      <c r="T192" s="139">
        <f t="shared" si="273"/>
        <v>0</v>
      </c>
      <c r="U192" s="139">
        <f t="shared" si="273"/>
        <v>0</v>
      </c>
      <c r="V192" s="139">
        <f t="shared" si="273"/>
        <v>0</v>
      </c>
      <c r="W192" s="139">
        <f t="shared" si="273"/>
        <v>0</v>
      </c>
      <c r="X192" s="139">
        <f t="shared" si="273"/>
        <v>0</v>
      </c>
      <c r="Y192" s="195"/>
      <c r="Z192" s="329"/>
      <c r="AA192" s="329"/>
      <c r="AB192" s="329"/>
      <c r="AC192" s="329"/>
      <c r="AD192" s="329"/>
      <c r="AE192" s="329"/>
      <c r="AF192" s="329"/>
      <c r="AG192" s="329"/>
      <c r="AH192" s="329"/>
      <c r="AI192" s="329"/>
      <c r="AJ192" s="329"/>
      <c r="AK192" s="329"/>
      <c r="AL192" s="329"/>
      <c r="AM192" s="329"/>
      <c r="AN192" s="329"/>
      <c r="AO192" s="329"/>
      <c r="AP192" s="329"/>
      <c r="AY192" s="316"/>
    </row>
    <row r="193" spans="1:255" ht="34.5" customHeight="1">
      <c r="A193" s="300"/>
      <c r="B193" s="129" t="s">
        <v>552</v>
      </c>
      <c r="C193" s="196" t="s">
        <v>553</v>
      </c>
      <c r="D193" s="129"/>
      <c r="E193" s="139"/>
      <c r="F193" s="139"/>
      <c r="G193" s="139"/>
      <c r="H193" s="139"/>
      <c r="I193" s="139"/>
      <c r="J193" s="139"/>
      <c r="K193" s="139"/>
      <c r="L193" s="139"/>
      <c r="M193" s="319">
        <v>6.5000000000000002E-2</v>
      </c>
      <c r="N193" s="318"/>
      <c r="O193" s="335"/>
      <c r="P193" s="318"/>
      <c r="Q193" s="139">
        <f>Q192*$M193</f>
        <v>0</v>
      </c>
      <c r="R193" s="139">
        <f t="shared" ref="R193" si="274">R192*$M193</f>
        <v>0</v>
      </c>
      <c r="S193" s="139">
        <f t="shared" ref="S193:X193" si="275">S192*$M193</f>
        <v>0</v>
      </c>
      <c r="T193" s="139">
        <f t="shared" si="275"/>
        <v>0</v>
      </c>
      <c r="U193" s="139">
        <f t="shared" si="275"/>
        <v>0</v>
      </c>
      <c r="V193" s="139">
        <f t="shared" si="275"/>
        <v>0</v>
      </c>
      <c r="W193" s="139">
        <f t="shared" si="275"/>
        <v>0</v>
      </c>
      <c r="X193" s="139">
        <f t="shared" si="275"/>
        <v>0</v>
      </c>
      <c r="Y193" s="192"/>
      <c r="Z193" s="329"/>
      <c r="AA193" s="329"/>
      <c r="AB193" s="329"/>
      <c r="AC193" s="329"/>
      <c r="AD193" s="329"/>
      <c r="AE193" s="329"/>
      <c r="AF193" s="329"/>
      <c r="AG193" s="329"/>
      <c r="AH193" s="329"/>
      <c r="AI193" s="329"/>
      <c r="AJ193" s="329"/>
      <c r="AK193" s="329"/>
      <c r="AL193" s="329"/>
      <c r="AM193" s="329"/>
      <c r="AN193" s="329"/>
      <c r="AO193" s="329"/>
      <c r="AP193" s="329"/>
      <c r="AY193" s="316"/>
    </row>
    <row r="194" spans="1:255" ht="34.5" customHeight="1">
      <c r="A194" s="300"/>
      <c r="B194" s="129" t="s">
        <v>554</v>
      </c>
      <c r="C194" s="196" t="s">
        <v>555</v>
      </c>
      <c r="D194" s="129"/>
      <c r="E194" s="139"/>
      <c r="F194" s="139"/>
      <c r="G194" s="139"/>
      <c r="H194" s="139"/>
      <c r="I194" s="139"/>
      <c r="J194" s="139"/>
      <c r="K194" s="139"/>
      <c r="L194" s="139"/>
      <c r="M194" s="319">
        <v>0.1</v>
      </c>
      <c r="N194" s="318"/>
      <c r="O194" s="335"/>
      <c r="P194" s="318"/>
      <c r="Q194" s="139">
        <f>Q192*$M194</f>
        <v>0</v>
      </c>
      <c r="R194" s="139">
        <f t="shared" ref="R194" si="276">R192*$M194</f>
        <v>0</v>
      </c>
      <c r="S194" s="139">
        <f t="shared" ref="S194:X194" si="277">S192*$M194</f>
        <v>0</v>
      </c>
      <c r="T194" s="139">
        <f t="shared" si="277"/>
        <v>0</v>
      </c>
      <c r="U194" s="139">
        <f t="shared" si="277"/>
        <v>0</v>
      </c>
      <c r="V194" s="139">
        <f t="shared" si="277"/>
        <v>0</v>
      </c>
      <c r="W194" s="139">
        <f t="shared" si="277"/>
        <v>0</v>
      </c>
      <c r="X194" s="139">
        <f t="shared" si="277"/>
        <v>0</v>
      </c>
      <c r="Y194" s="192"/>
      <c r="Z194" s="329"/>
      <c r="AA194" s="329"/>
      <c r="AB194" s="329"/>
      <c r="AC194" s="329"/>
      <c r="AD194" s="329"/>
      <c r="AE194" s="329"/>
      <c r="AF194" s="329"/>
      <c r="AG194" s="329"/>
      <c r="AH194" s="329"/>
      <c r="AI194" s="329"/>
      <c r="AJ194" s="329"/>
      <c r="AK194" s="329"/>
      <c r="AL194" s="329"/>
      <c r="AM194" s="329"/>
      <c r="AN194" s="329"/>
      <c r="AO194" s="329"/>
      <c r="AP194" s="329"/>
      <c r="AY194" s="316"/>
    </row>
    <row r="195" spans="1:255" ht="34.5" customHeight="1">
      <c r="A195" s="300"/>
      <c r="B195" s="129" t="s">
        <v>556</v>
      </c>
      <c r="C195" s="196" t="s">
        <v>557</v>
      </c>
      <c r="D195" s="129"/>
      <c r="E195" s="139"/>
      <c r="F195" s="139"/>
      <c r="G195" s="139"/>
      <c r="H195" s="139"/>
      <c r="I195" s="139"/>
      <c r="J195" s="139"/>
      <c r="K195" s="139"/>
      <c r="L195" s="139"/>
      <c r="M195" s="352">
        <f>'附件4-1套内1'!M319</f>
        <v>0</v>
      </c>
      <c r="N195" s="318"/>
      <c r="O195" s="335"/>
      <c r="P195" s="318"/>
      <c r="Q195" s="139">
        <f>Q192*$M195</f>
        <v>0</v>
      </c>
      <c r="R195" s="139">
        <f t="shared" ref="R195" si="278">R192*$M195</f>
        <v>0</v>
      </c>
      <c r="S195" s="139">
        <f t="shared" ref="S195:X195" si="279">S192*$M195</f>
        <v>0</v>
      </c>
      <c r="T195" s="139">
        <f t="shared" si="279"/>
        <v>0</v>
      </c>
      <c r="U195" s="139">
        <f t="shared" si="279"/>
        <v>0</v>
      </c>
      <c r="V195" s="139">
        <f t="shared" si="279"/>
        <v>0</v>
      </c>
      <c r="W195" s="139">
        <f t="shared" si="279"/>
        <v>0</v>
      </c>
      <c r="X195" s="139">
        <f t="shared" si="279"/>
        <v>0</v>
      </c>
      <c r="Y195" s="192"/>
      <c r="Z195" s="329"/>
      <c r="AA195" s="329"/>
      <c r="AB195" s="329"/>
      <c r="AC195" s="329"/>
      <c r="AD195" s="329"/>
      <c r="AE195" s="329"/>
      <c r="AF195" s="329"/>
      <c r="AG195" s="329"/>
      <c r="AH195" s="329"/>
      <c r="AI195" s="329"/>
      <c r="AJ195" s="329"/>
      <c r="AK195" s="329"/>
      <c r="AL195" s="329"/>
      <c r="AM195" s="329"/>
      <c r="AN195" s="329"/>
      <c r="AO195" s="329"/>
      <c r="AP195" s="329"/>
      <c r="AY195" s="316"/>
    </row>
    <row r="196" spans="1:255" ht="34.5" customHeight="1">
      <c r="A196" s="300"/>
      <c r="B196" s="129" t="s">
        <v>558</v>
      </c>
      <c r="C196" s="196" t="s">
        <v>559</v>
      </c>
      <c r="D196" s="129"/>
      <c r="E196" s="139"/>
      <c r="F196" s="139"/>
      <c r="G196" s="139"/>
      <c r="H196" s="139"/>
      <c r="I196" s="139"/>
      <c r="J196" s="139"/>
      <c r="K196" s="139"/>
      <c r="L196" s="139"/>
      <c r="M196" s="353">
        <f>'附件4-1套内1'!M320</f>
        <v>3.4770000000000002E-2</v>
      </c>
      <c r="N196" s="318"/>
      <c r="O196" s="335"/>
      <c r="P196" s="318"/>
      <c r="Q196" s="139">
        <f>SUM(Q192:Q195)*$M196</f>
        <v>0</v>
      </c>
      <c r="R196" s="139">
        <f t="shared" ref="R196" si="280">SUM(R192:R195)*$M196</f>
        <v>0</v>
      </c>
      <c r="S196" s="139">
        <f t="shared" ref="S196:X196" si="281">SUM(S192:S195)*$M196</f>
        <v>0</v>
      </c>
      <c r="T196" s="139">
        <f t="shared" si="281"/>
        <v>0</v>
      </c>
      <c r="U196" s="139">
        <f t="shared" si="281"/>
        <v>0</v>
      </c>
      <c r="V196" s="139">
        <f t="shared" si="281"/>
        <v>0</v>
      </c>
      <c r="W196" s="139">
        <f t="shared" si="281"/>
        <v>0</v>
      </c>
      <c r="X196" s="139">
        <f t="shared" si="281"/>
        <v>0</v>
      </c>
      <c r="Y196" s="192"/>
      <c r="Z196" s="329"/>
      <c r="AA196" s="329"/>
      <c r="AB196" s="329"/>
      <c r="AC196" s="329"/>
      <c r="AD196" s="329"/>
      <c r="AE196" s="329"/>
      <c r="AF196" s="329"/>
      <c r="AG196" s="329"/>
      <c r="AH196" s="329"/>
      <c r="AI196" s="329"/>
      <c r="AJ196" s="329"/>
      <c r="AK196" s="329"/>
      <c r="AL196" s="329"/>
      <c r="AM196" s="329"/>
      <c r="AN196" s="329"/>
      <c r="AO196" s="329"/>
      <c r="AP196" s="329"/>
      <c r="AQ196" s="290"/>
      <c r="AY196" s="316"/>
    </row>
    <row r="197" spans="1:255" ht="34.5" customHeight="1">
      <c r="A197" s="300"/>
      <c r="B197" s="129" t="s">
        <v>560</v>
      </c>
      <c r="C197" s="196" t="s">
        <v>561</v>
      </c>
      <c r="D197" s="129"/>
      <c r="E197" s="139"/>
      <c r="F197" s="139"/>
      <c r="G197" s="139"/>
      <c r="H197" s="139"/>
      <c r="I197" s="139"/>
      <c r="J197" s="139"/>
      <c r="K197" s="139"/>
      <c r="L197" s="139"/>
      <c r="M197" s="319"/>
      <c r="N197" s="318"/>
      <c r="O197" s="335"/>
      <c r="P197" s="318"/>
      <c r="Q197" s="139">
        <f>SUM(Q192:Q196)</f>
        <v>0</v>
      </c>
      <c r="R197" s="139">
        <f t="shared" ref="R197" si="282">SUM(R192:R196)</f>
        <v>0</v>
      </c>
      <c r="S197" s="139">
        <f t="shared" ref="S197:X197" si="283">SUM(S192:S196)</f>
        <v>0</v>
      </c>
      <c r="T197" s="139">
        <f t="shared" si="283"/>
        <v>0</v>
      </c>
      <c r="U197" s="139">
        <f t="shared" si="283"/>
        <v>0</v>
      </c>
      <c r="V197" s="139">
        <f t="shared" si="283"/>
        <v>0</v>
      </c>
      <c r="W197" s="139">
        <f t="shared" si="283"/>
        <v>0</v>
      </c>
      <c r="X197" s="139">
        <f t="shared" si="283"/>
        <v>0</v>
      </c>
      <c r="Y197" s="192"/>
      <c r="Z197" s="329"/>
      <c r="AA197" s="329"/>
      <c r="AB197" s="329"/>
      <c r="AC197" s="329"/>
      <c r="AD197" s="329"/>
      <c r="AE197" s="329"/>
      <c r="AF197" s="329"/>
      <c r="AG197" s="329"/>
      <c r="AH197" s="329"/>
      <c r="AI197" s="329"/>
      <c r="AJ197" s="329"/>
      <c r="AK197" s="329"/>
      <c r="AL197" s="329"/>
      <c r="AM197" s="329"/>
      <c r="AN197" s="329"/>
      <c r="AO197" s="329"/>
      <c r="AP197" s="329"/>
      <c r="AY197" s="316"/>
    </row>
    <row r="198" spans="1:255" ht="34.5" customHeight="1">
      <c r="A198" s="300"/>
      <c r="B198" s="129" t="s">
        <v>246</v>
      </c>
      <c r="C198" s="196" t="s">
        <v>562</v>
      </c>
      <c r="D198" s="129"/>
      <c r="E198" s="139"/>
      <c r="F198" s="139"/>
      <c r="G198" s="139"/>
      <c r="H198" s="139"/>
      <c r="I198" s="139"/>
      <c r="J198" s="139"/>
      <c r="K198" s="139"/>
      <c r="L198" s="139"/>
      <c r="M198" s="319"/>
      <c r="N198" s="318"/>
      <c r="O198" s="335"/>
      <c r="P198" s="318"/>
      <c r="Q198" s="139"/>
      <c r="R198" s="139"/>
      <c r="S198" s="139"/>
      <c r="T198" s="139"/>
      <c r="U198" s="139"/>
      <c r="V198" s="139"/>
      <c r="W198" s="139"/>
      <c r="X198" s="139"/>
      <c r="Y198" s="192"/>
      <c r="Z198" s="329"/>
      <c r="AA198" s="329"/>
      <c r="AB198" s="329"/>
      <c r="AC198" s="329"/>
      <c r="AD198" s="329"/>
      <c r="AE198" s="329"/>
      <c r="AF198" s="329"/>
      <c r="AG198" s="329"/>
      <c r="AH198" s="329"/>
      <c r="AI198" s="329"/>
      <c r="AJ198" s="329"/>
      <c r="AK198" s="329"/>
      <c r="AL198" s="329"/>
      <c r="AM198" s="329"/>
      <c r="AN198" s="329"/>
      <c r="AO198" s="329"/>
      <c r="AP198" s="329"/>
      <c r="AY198" s="316"/>
    </row>
    <row r="199" spans="1:255" ht="34.5" customHeight="1">
      <c r="A199" s="300"/>
      <c r="B199" s="129" t="s">
        <v>563</v>
      </c>
      <c r="C199" s="196" t="s">
        <v>551</v>
      </c>
      <c r="D199" s="129"/>
      <c r="E199" s="139"/>
      <c r="F199" s="139"/>
      <c r="G199" s="139"/>
      <c r="H199" s="139"/>
      <c r="I199" s="139"/>
      <c r="J199" s="139"/>
      <c r="K199" s="139"/>
      <c r="L199" s="139"/>
      <c r="M199" s="319"/>
      <c r="N199" s="318"/>
      <c r="O199" s="335"/>
      <c r="P199" s="318"/>
      <c r="Q199" s="139">
        <f>Z189</f>
        <v>0</v>
      </c>
      <c r="R199" s="139">
        <f t="shared" ref="R199" si="284">AA189</f>
        <v>0</v>
      </c>
      <c r="S199" s="139">
        <f t="shared" ref="S199:X199" si="285">AB189</f>
        <v>0</v>
      </c>
      <c r="T199" s="139">
        <f t="shared" si="285"/>
        <v>0</v>
      </c>
      <c r="U199" s="139">
        <f t="shared" si="285"/>
        <v>0</v>
      </c>
      <c r="V199" s="139">
        <f t="shared" si="285"/>
        <v>0</v>
      </c>
      <c r="W199" s="139">
        <f t="shared" si="285"/>
        <v>0</v>
      </c>
      <c r="X199" s="139">
        <f t="shared" si="285"/>
        <v>0</v>
      </c>
      <c r="Y199" s="192"/>
      <c r="Z199" s="329"/>
      <c r="AA199" s="329"/>
      <c r="AB199" s="329"/>
      <c r="AC199" s="329"/>
      <c r="AD199" s="329"/>
      <c r="AE199" s="329"/>
      <c r="AF199" s="329"/>
      <c r="AG199" s="329"/>
      <c r="AH199" s="329"/>
      <c r="AI199" s="329"/>
      <c r="AJ199" s="329"/>
      <c r="AK199" s="329"/>
      <c r="AL199" s="329"/>
      <c r="AM199" s="329"/>
      <c r="AN199" s="329"/>
      <c r="AO199" s="329"/>
      <c r="AP199" s="329"/>
      <c r="AY199" s="316"/>
    </row>
    <row r="200" spans="1:255" ht="34.5" customHeight="1">
      <c r="A200" s="300"/>
      <c r="B200" s="129" t="s">
        <v>210</v>
      </c>
      <c r="C200" s="196" t="s">
        <v>565</v>
      </c>
      <c r="D200" s="129"/>
      <c r="E200" s="139"/>
      <c r="F200" s="139"/>
      <c r="G200" s="139"/>
      <c r="H200" s="139"/>
      <c r="I200" s="139"/>
      <c r="J200" s="139"/>
      <c r="K200" s="139"/>
      <c r="L200" s="139"/>
      <c r="M200" s="319"/>
      <c r="N200" s="318"/>
      <c r="O200" s="335"/>
      <c r="P200" s="318"/>
      <c r="Q200" s="139">
        <f>AI189</f>
        <v>0</v>
      </c>
      <c r="R200" s="139">
        <f t="shared" ref="R200" si="286">AJ189</f>
        <v>0</v>
      </c>
      <c r="S200" s="139">
        <f t="shared" ref="S200:X200" si="287">AK189</f>
        <v>0</v>
      </c>
      <c r="T200" s="139">
        <f t="shared" si="287"/>
        <v>0</v>
      </c>
      <c r="U200" s="139">
        <f t="shared" si="287"/>
        <v>0</v>
      </c>
      <c r="V200" s="139">
        <f t="shared" si="287"/>
        <v>0</v>
      </c>
      <c r="W200" s="139">
        <f t="shared" si="287"/>
        <v>0</v>
      </c>
      <c r="X200" s="139">
        <f t="shared" si="287"/>
        <v>0</v>
      </c>
      <c r="Y200" s="192"/>
      <c r="Z200" s="329"/>
      <c r="AA200" s="329"/>
      <c r="AB200" s="329"/>
      <c r="AC200" s="329"/>
      <c r="AD200" s="329"/>
      <c r="AE200" s="329"/>
      <c r="AF200" s="329"/>
      <c r="AG200" s="329"/>
      <c r="AH200" s="329"/>
      <c r="AI200" s="329"/>
      <c r="AJ200" s="329"/>
      <c r="AK200" s="329"/>
      <c r="AL200" s="329"/>
      <c r="AM200" s="329"/>
      <c r="AN200" s="329"/>
      <c r="AO200" s="329"/>
      <c r="AP200" s="329"/>
      <c r="AY200" s="316"/>
    </row>
    <row r="201" spans="1:255" ht="34.5" customHeight="1">
      <c r="A201" s="300"/>
      <c r="B201" s="129" t="s">
        <v>566</v>
      </c>
      <c r="C201" s="196" t="s">
        <v>567</v>
      </c>
      <c r="D201" s="129"/>
      <c r="E201" s="139"/>
      <c r="F201" s="139"/>
      <c r="G201" s="139"/>
      <c r="H201" s="139"/>
      <c r="I201" s="139"/>
      <c r="J201" s="139"/>
      <c r="K201" s="139"/>
      <c r="L201" s="139"/>
      <c r="M201" s="319">
        <v>0.1</v>
      </c>
      <c r="N201" s="318"/>
      <c r="O201" s="335"/>
      <c r="P201" s="318"/>
      <c r="Q201" s="139">
        <f>(Q199-Q200)*$M201</f>
        <v>0</v>
      </c>
      <c r="R201" s="139">
        <f t="shared" ref="R201" si="288">(R199-R200)*$M201</f>
        <v>0</v>
      </c>
      <c r="S201" s="139">
        <f t="shared" ref="S201:X201" si="289">(S199-S200)*$M201</f>
        <v>0</v>
      </c>
      <c r="T201" s="139">
        <f t="shared" si="289"/>
        <v>0</v>
      </c>
      <c r="U201" s="139">
        <f t="shared" si="289"/>
        <v>0</v>
      </c>
      <c r="V201" s="139">
        <f t="shared" si="289"/>
        <v>0</v>
      </c>
      <c r="W201" s="139">
        <f t="shared" si="289"/>
        <v>0</v>
      </c>
      <c r="X201" s="139">
        <f t="shared" si="289"/>
        <v>0</v>
      </c>
      <c r="Y201" s="192"/>
      <c r="Z201" s="329"/>
      <c r="AA201" s="329"/>
      <c r="AB201" s="329"/>
      <c r="AC201" s="329"/>
      <c r="AD201" s="329"/>
      <c r="AE201" s="329"/>
      <c r="AF201" s="329"/>
      <c r="AG201" s="329"/>
      <c r="AH201" s="329"/>
      <c r="AI201" s="329"/>
      <c r="AJ201" s="329"/>
      <c r="AK201" s="329"/>
      <c r="AL201" s="329"/>
      <c r="AM201" s="329"/>
      <c r="AN201" s="329"/>
      <c r="AO201" s="329"/>
      <c r="AP201" s="329"/>
      <c r="AY201" s="316"/>
    </row>
    <row r="202" spans="1:255" ht="34.5" customHeight="1">
      <c r="A202" s="300"/>
      <c r="B202" s="129" t="s">
        <v>568</v>
      </c>
      <c r="C202" s="196" t="s">
        <v>569</v>
      </c>
      <c r="D202" s="129"/>
      <c r="E202" s="139"/>
      <c r="F202" s="139"/>
      <c r="G202" s="139"/>
      <c r="H202" s="139"/>
      <c r="I202" s="139"/>
      <c r="J202" s="139"/>
      <c r="K202" s="139"/>
      <c r="L202" s="139"/>
      <c r="M202" s="319">
        <v>0.1</v>
      </c>
      <c r="N202" s="318"/>
      <c r="O202" s="335"/>
      <c r="P202" s="318"/>
      <c r="Q202" s="139">
        <f>Q200*$M202</f>
        <v>0</v>
      </c>
      <c r="R202" s="139">
        <f t="shared" ref="R202" si="290">R200*$M202</f>
        <v>0</v>
      </c>
      <c r="S202" s="139">
        <f t="shared" ref="S202:X202" si="291">S200*$M202</f>
        <v>0</v>
      </c>
      <c r="T202" s="139">
        <f t="shared" si="291"/>
        <v>0</v>
      </c>
      <c r="U202" s="139">
        <f t="shared" si="291"/>
        <v>0</v>
      </c>
      <c r="V202" s="139">
        <f t="shared" si="291"/>
        <v>0</v>
      </c>
      <c r="W202" s="139">
        <f t="shared" si="291"/>
        <v>0</v>
      </c>
      <c r="X202" s="139">
        <f t="shared" si="291"/>
        <v>0</v>
      </c>
      <c r="Y202" s="192"/>
      <c r="Z202" s="329"/>
      <c r="AA202" s="329"/>
      <c r="AB202" s="329"/>
      <c r="AC202" s="329"/>
      <c r="AD202" s="329"/>
      <c r="AE202" s="329"/>
      <c r="AF202" s="329"/>
      <c r="AG202" s="329"/>
      <c r="AH202" s="329"/>
      <c r="AI202" s="329"/>
      <c r="AJ202" s="329"/>
      <c r="AK202" s="329"/>
      <c r="AL202" s="329"/>
      <c r="AM202" s="329"/>
      <c r="AN202" s="329"/>
      <c r="AO202" s="329"/>
      <c r="AP202" s="329"/>
      <c r="AY202" s="316"/>
    </row>
    <row r="203" spans="1:255" ht="34.5" customHeight="1">
      <c r="A203" s="300"/>
      <c r="B203" s="129" t="s">
        <v>570</v>
      </c>
      <c r="C203" s="196" t="s">
        <v>571</v>
      </c>
      <c r="D203" s="129"/>
      <c r="E203" s="139"/>
      <c r="F203" s="139"/>
      <c r="G203" s="139"/>
      <c r="H203" s="139"/>
      <c r="I203" s="139"/>
      <c r="J203" s="139"/>
      <c r="K203" s="139"/>
      <c r="L203" s="139"/>
      <c r="M203" s="319">
        <v>0.1</v>
      </c>
      <c r="N203" s="318"/>
      <c r="O203" s="335"/>
      <c r="P203" s="318"/>
      <c r="Q203" s="139">
        <f>(Q199-Q200)*$M203</f>
        <v>0</v>
      </c>
      <c r="R203" s="139">
        <f t="shared" ref="R203" si="292">(R199-R200)*$M203</f>
        <v>0</v>
      </c>
      <c r="S203" s="139">
        <f t="shared" ref="S203:X203" si="293">(S199-S200)*$M203</f>
        <v>0</v>
      </c>
      <c r="T203" s="139">
        <f t="shared" si="293"/>
        <v>0</v>
      </c>
      <c r="U203" s="139">
        <f t="shared" si="293"/>
        <v>0</v>
      </c>
      <c r="V203" s="139">
        <f t="shared" si="293"/>
        <v>0</v>
      </c>
      <c r="W203" s="139">
        <f t="shared" si="293"/>
        <v>0</v>
      </c>
      <c r="X203" s="139">
        <f t="shared" si="293"/>
        <v>0</v>
      </c>
      <c r="Y203" s="192"/>
      <c r="Z203" s="329"/>
      <c r="AA203" s="329"/>
      <c r="AB203" s="329"/>
      <c r="AC203" s="329"/>
      <c r="AD203" s="329"/>
      <c r="AE203" s="329"/>
      <c r="AF203" s="329"/>
      <c r="AG203" s="329"/>
      <c r="AH203" s="329"/>
      <c r="AI203" s="329"/>
      <c r="AJ203" s="329"/>
      <c r="AK203" s="329"/>
      <c r="AL203" s="329"/>
      <c r="AM203" s="329"/>
      <c r="AN203" s="329"/>
      <c r="AO203" s="329"/>
      <c r="AP203" s="329"/>
      <c r="AY203" s="316"/>
    </row>
    <row r="204" spans="1:255" ht="34.5" customHeight="1">
      <c r="A204" s="300"/>
      <c r="B204" s="129" t="s">
        <v>573</v>
      </c>
      <c r="C204" s="196" t="s">
        <v>574</v>
      </c>
      <c r="D204" s="129"/>
      <c r="E204" s="139"/>
      <c r="F204" s="139"/>
      <c r="G204" s="139"/>
      <c r="H204" s="139"/>
      <c r="I204" s="139"/>
      <c r="J204" s="139"/>
      <c r="K204" s="139"/>
      <c r="L204" s="139"/>
      <c r="M204" s="319">
        <f>M195</f>
        <v>0</v>
      </c>
      <c r="N204" s="318"/>
      <c r="O204" s="335"/>
      <c r="P204" s="318"/>
      <c r="Q204" s="139">
        <f>Q199*$M204</f>
        <v>0</v>
      </c>
      <c r="R204" s="139">
        <f t="shared" ref="R204" si="294">R199*$M204</f>
        <v>0</v>
      </c>
      <c r="S204" s="139">
        <f t="shared" ref="S204:X204" si="295">S199*$M204</f>
        <v>0</v>
      </c>
      <c r="T204" s="139">
        <f t="shared" si="295"/>
        <v>0</v>
      </c>
      <c r="U204" s="139">
        <f t="shared" si="295"/>
        <v>0</v>
      </c>
      <c r="V204" s="139">
        <f t="shared" si="295"/>
        <v>0</v>
      </c>
      <c r="W204" s="139">
        <f t="shared" si="295"/>
        <v>0</v>
      </c>
      <c r="X204" s="139">
        <f t="shared" si="295"/>
        <v>0</v>
      </c>
      <c r="Y204" s="192"/>
      <c r="Z204" s="329"/>
      <c r="AA204" s="329"/>
      <c r="AB204" s="329"/>
      <c r="AC204" s="329"/>
      <c r="AD204" s="329"/>
      <c r="AE204" s="329"/>
      <c r="AF204" s="329"/>
      <c r="AG204" s="329"/>
      <c r="AH204" s="329"/>
      <c r="AI204" s="329"/>
      <c r="AJ204" s="329"/>
      <c r="AK204" s="329"/>
      <c r="AL204" s="329"/>
      <c r="AM204" s="329"/>
      <c r="AN204" s="329"/>
      <c r="AO204" s="329"/>
      <c r="AP204" s="329"/>
      <c r="AY204" s="316"/>
    </row>
    <row r="205" spans="1:255" ht="34.5" customHeight="1">
      <c r="A205" s="300"/>
      <c r="B205" s="129" t="s">
        <v>575</v>
      </c>
      <c r="C205" s="196" t="s">
        <v>576</v>
      </c>
      <c r="D205" s="129"/>
      <c r="E205" s="139"/>
      <c r="F205" s="139"/>
      <c r="G205" s="139"/>
      <c r="H205" s="139"/>
      <c r="I205" s="139"/>
      <c r="J205" s="139"/>
      <c r="K205" s="139"/>
      <c r="L205" s="139"/>
      <c r="M205" s="320">
        <f>M196</f>
        <v>3.4770000000000002E-2</v>
      </c>
      <c r="N205" s="318"/>
      <c r="O205" s="335"/>
      <c r="P205" s="318"/>
      <c r="Q205" s="139">
        <f>(SUM(Q199:Q204)-Q200)*$M205</f>
        <v>0</v>
      </c>
      <c r="R205" s="139">
        <f t="shared" ref="R205" si="296">(SUM(R199:R204)-R200)*$M205</f>
        <v>0</v>
      </c>
      <c r="S205" s="139">
        <f t="shared" ref="S205:X205" si="297">(SUM(S199:S204)-S200)*$M205</f>
        <v>0</v>
      </c>
      <c r="T205" s="139">
        <f t="shared" si="297"/>
        <v>0</v>
      </c>
      <c r="U205" s="139">
        <f t="shared" si="297"/>
        <v>0</v>
      </c>
      <c r="V205" s="139">
        <f t="shared" si="297"/>
        <v>0</v>
      </c>
      <c r="W205" s="139">
        <f t="shared" si="297"/>
        <v>0</v>
      </c>
      <c r="X205" s="139">
        <f t="shared" si="297"/>
        <v>0</v>
      </c>
      <c r="Y205" s="192"/>
      <c r="Z205" s="329"/>
      <c r="AA205" s="329"/>
      <c r="AB205" s="329"/>
      <c r="AC205" s="329"/>
      <c r="AD205" s="329"/>
      <c r="AE205" s="329"/>
      <c r="AF205" s="329"/>
      <c r="AG205" s="329"/>
      <c r="AH205" s="329"/>
      <c r="AI205" s="329"/>
      <c r="AJ205" s="329"/>
      <c r="AK205" s="329"/>
      <c r="AL205" s="329"/>
      <c r="AM205" s="329"/>
      <c r="AN205" s="329"/>
      <c r="AO205" s="329"/>
      <c r="AP205" s="329"/>
      <c r="AY205" s="316"/>
    </row>
    <row r="206" spans="1:255" ht="34.5" customHeight="1">
      <c r="A206" s="300"/>
      <c r="B206" s="129" t="s">
        <v>577</v>
      </c>
      <c r="C206" s="196" t="s">
        <v>578</v>
      </c>
      <c r="D206" s="129"/>
      <c r="E206" s="139"/>
      <c r="F206" s="139"/>
      <c r="G206" s="139"/>
      <c r="H206" s="139"/>
      <c r="I206" s="139"/>
      <c r="J206" s="139"/>
      <c r="K206" s="139"/>
      <c r="L206" s="139"/>
      <c r="M206" s="319"/>
      <c r="N206" s="318"/>
      <c r="O206" s="335"/>
      <c r="P206" s="318"/>
      <c r="Q206" s="139">
        <f>SUM(Q199:Q205)-Q200</f>
        <v>0</v>
      </c>
      <c r="R206" s="139">
        <f t="shared" ref="R206" si="298">SUM(R199:R205)-R200</f>
        <v>0</v>
      </c>
      <c r="S206" s="139">
        <f t="shared" ref="S206:X206" si="299">SUM(S199:S205)-S200</f>
        <v>0</v>
      </c>
      <c r="T206" s="139">
        <f t="shared" si="299"/>
        <v>0</v>
      </c>
      <c r="U206" s="139">
        <f t="shared" si="299"/>
        <v>0</v>
      </c>
      <c r="V206" s="139">
        <f t="shared" si="299"/>
        <v>0</v>
      </c>
      <c r="W206" s="139">
        <f t="shared" si="299"/>
        <v>0</v>
      </c>
      <c r="X206" s="139">
        <f t="shared" si="299"/>
        <v>0</v>
      </c>
      <c r="Y206" s="192"/>
      <c r="Z206" s="329"/>
      <c r="AA206" s="329"/>
      <c r="AB206" s="329"/>
      <c r="AC206" s="329"/>
      <c r="AD206" s="329"/>
      <c r="AE206" s="329"/>
      <c r="AF206" s="329"/>
      <c r="AG206" s="329"/>
      <c r="AH206" s="329"/>
      <c r="AI206" s="329"/>
      <c r="AJ206" s="329"/>
      <c r="AK206" s="329"/>
      <c r="AL206" s="329"/>
      <c r="AM206" s="329"/>
      <c r="AN206" s="329"/>
      <c r="AO206" s="329"/>
      <c r="AP206" s="329"/>
      <c r="AY206" s="316"/>
    </row>
    <row r="207" spans="1:255" ht="34.5" customHeight="1">
      <c r="A207" s="300"/>
      <c r="B207" s="129" t="s">
        <v>136</v>
      </c>
      <c r="C207" s="196" t="s">
        <v>807</v>
      </c>
      <c r="D207" s="129"/>
      <c r="E207" s="139"/>
      <c r="F207" s="139"/>
      <c r="G207" s="139"/>
      <c r="H207" s="139"/>
      <c r="I207" s="139"/>
      <c r="J207" s="139"/>
      <c r="K207" s="139"/>
      <c r="L207" s="139"/>
      <c r="M207" s="319"/>
      <c r="N207" s="318"/>
      <c r="O207" s="335"/>
      <c r="P207" s="318"/>
      <c r="Q207" s="206">
        <f>Q197+Q206</f>
        <v>0</v>
      </c>
      <c r="R207" s="206">
        <f t="shared" ref="R207" si="300">R197+R206</f>
        <v>0</v>
      </c>
      <c r="S207" s="206">
        <f t="shared" ref="S207:X207" si="301">S197+S206</f>
        <v>0</v>
      </c>
      <c r="T207" s="206">
        <f t="shared" si="301"/>
        <v>0</v>
      </c>
      <c r="U207" s="206">
        <f t="shared" si="301"/>
        <v>0</v>
      </c>
      <c r="V207" s="206">
        <f t="shared" si="301"/>
        <v>0</v>
      </c>
      <c r="W207" s="206">
        <f t="shared" si="301"/>
        <v>0</v>
      </c>
      <c r="X207" s="206">
        <f t="shared" si="301"/>
        <v>0</v>
      </c>
      <c r="Y207" s="192"/>
      <c r="Z207" s="329"/>
      <c r="AA207" s="329"/>
      <c r="AB207" s="329"/>
      <c r="AC207" s="329"/>
      <c r="AD207" s="329"/>
      <c r="AE207" s="329"/>
      <c r="AF207" s="329"/>
      <c r="AG207" s="329"/>
      <c r="AH207" s="329"/>
      <c r="AI207" s="329"/>
      <c r="AJ207" s="329"/>
      <c r="AK207" s="329"/>
      <c r="AL207" s="329"/>
      <c r="AM207" s="329"/>
      <c r="AN207" s="329"/>
      <c r="AO207" s="329"/>
      <c r="AP207" s="329"/>
      <c r="AY207" s="316"/>
    </row>
    <row r="208" spans="1:255">
      <c r="AR208" s="296"/>
      <c r="AS208" s="296"/>
      <c r="AT208" s="296"/>
      <c r="AU208" s="296"/>
      <c r="AV208" s="296"/>
      <c r="AW208" s="296"/>
      <c r="AX208" s="296"/>
      <c r="AY208" s="342"/>
      <c r="AZ208" s="296"/>
      <c r="BA208" s="296"/>
      <c r="BB208" s="296"/>
      <c r="BC208" s="296"/>
      <c r="BD208" s="296"/>
      <c r="BE208" s="296"/>
      <c r="BF208" s="296"/>
      <c r="BG208" s="296"/>
      <c r="BH208" s="296"/>
      <c r="BI208" s="296"/>
      <c r="BJ208" s="296"/>
      <c r="BK208" s="296"/>
      <c r="BL208" s="296"/>
      <c r="BM208" s="296"/>
      <c r="BN208" s="296"/>
      <c r="BO208" s="296"/>
      <c r="BP208" s="296"/>
      <c r="BQ208" s="296"/>
      <c r="BR208" s="296"/>
      <c r="BS208" s="296"/>
      <c r="BT208" s="296"/>
      <c r="BU208" s="296"/>
      <c r="BV208" s="296"/>
      <c r="BW208" s="296"/>
      <c r="BX208" s="296"/>
      <c r="BY208" s="296"/>
      <c r="BZ208" s="296"/>
      <c r="CA208" s="296"/>
      <c r="CB208" s="296"/>
      <c r="CC208" s="296"/>
      <c r="CD208" s="296"/>
      <c r="CE208" s="296"/>
      <c r="CF208" s="296"/>
      <c r="CG208" s="296"/>
      <c r="CH208" s="296"/>
      <c r="CI208" s="296"/>
      <c r="CJ208" s="296"/>
      <c r="CK208" s="296"/>
      <c r="CL208" s="296"/>
      <c r="CM208" s="296"/>
      <c r="CN208" s="296"/>
      <c r="CO208" s="296"/>
      <c r="CP208" s="296"/>
      <c r="CQ208" s="296"/>
      <c r="CR208" s="296"/>
      <c r="CS208" s="296"/>
      <c r="CT208" s="296"/>
      <c r="CU208" s="296"/>
      <c r="CV208" s="296"/>
      <c r="CW208" s="296"/>
      <c r="CX208" s="296"/>
      <c r="CY208" s="296"/>
      <c r="CZ208" s="296"/>
      <c r="DA208" s="296"/>
      <c r="DB208" s="296"/>
      <c r="DC208" s="296"/>
      <c r="DD208" s="296"/>
      <c r="DE208" s="296"/>
      <c r="DF208" s="296"/>
      <c r="DG208" s="296"/>
      <c r="DH208" s="296"/>
      <c r="DI208" s="296"/>
      <c r="DJ208" s="296"/>
      <c r="DK208" s="296"/>
      <c r="DL208" s="296"/>
      <c r="DM208" s="296"/>
      <c r="DN208" s="296"/>
      <c r="DO208" s="296"/>
      <c r="DP208" s="296"/>
      <c r="DQ208" s="296"/>
      <c r="DR208" s="296"/>
      <c r="DS208" s="296"/>
      <c r="DT208" s="296"/>
      <c r="DU208" s="296"/>
      <c r="DV208" s="296"/>
      <c r="DW208" s="296"/>
      <c r="DX208" s="296"/>
      <c r="DY208" s="296"/>
      <c r="DZ208" s="296"/>
      <c r="EA208" s="296"/>
      <c r="EB208" s="296"/>
      <c r="EC208" s="296"/>
      <c r="ED208" s="296"/>
      <c r="EE208" s="296"/>
      <c r="EF208" s="296"/>
      <c r="EG208" s="296"/>
      <c r="EH208" s="296"/>
      <c r="EI208" s="296"/>
      <c r="EJ208" s="296"/>
      <c r="EK208" s="296"/>
      <c r="EL208" s="296"/>
      <c r="EM208" s="296"/>
      <c r="EN208" s="296"/>
      <c r="EO208" s="296"/>
      <c r="EP208" s="296"/>
      <c r="EQ208" s="296"/>
      <c r="ER208" s="296"/>
      <c r="ES208" s="296"/>
      <c r="ET208" s="296"/>
      <c r="EU208" s="296"/>
      <c r="EV208" s="296"/>
      <c r="EW208" s="296"/>
      <c r="EX208" s="296"/>
      <c r="EY208" s="296"/>
      <c r="EZ208" s="296"/>
      <c r="FA208" s="296"/>
      <c r="FB208" s="296"/>
      <c r="FC208" s="296"/>
      <c r="FD208" s="296"/>
      <c r="FE208" s="296"/>
      <c r="FF208" s="296"/>
      <c r="FG208" s="296"/>
      <c r="FH208" s="296"/>
      <c r="FI208" s="296"/>
      <c r="FJ208" s="296"/>
      <c r="FK208" s="296"/>
      <c r="FL208" s="296"/>
      <c r="FM208" s="296"/>
      <c r="FN208" s="296"/>
      <c r="FO208" s="296"/>
      <c r="FP208" s="296"/>
      <c r="FQ208" s="296"/>
      <c r="FR208" s="296"/>
      <c r="FS208" s="296"/>
      <c r="FT208" s="296"/>
      <c r="FU208" s="296"/>
      <c r="FV208" s="296"/>
      <c r="FW208" s="296"/>
      <c r="FX208" s="296"/>
      <c r="FY208" s="296"/>
      <c r="FZ208" s="296"/>
      <c r="GA208" s="296"/>
      <c r="GB208" s="296"/>
      <c r="GC208" s="296"/>
      <c r="GD208" s="296"/>
      <c r="GE208" s="296"/>
      <c r="GF208" s="296"/>
      <c r="GG208" s="296"/>
      <c r="GH208" s="296"/>
      <c r="GI208" s="296"/>
      <c r="GJ208" s="296"/>
      <c r="GK208" s="296"/>
      <c r="GL208" s="296"/>
      <c r="GM208" s="296"/>
      <c r="GN208" s="296"/>
      <c r="GO208" s="296"/>
      <c r="GP208" s="296"/>
      <c r="GQ208" s="296"/>
      <c r="GR208" s="296"/>
      <c r="GS208" s="296"/>
      <c r="GT208" s="296"/>
      <c r="GU208" s="296"/>
      <c r="GV208" s="296"/>
      <c r="GW208" s="296"/>
      <c r="GX208" s="296"/>
      <c r="GY208" s="296"/>
      <c r="GZ208" s="296"/>
      <c r="HA208" s="296"/>
      <c r="HB208" s="296"/>
      <c r="HC208" s="296"/>
      <c r="HD208" s="296"/>
      <c r="HE208" s="296"/>
      <c r="HF208" s="296"/>
      <c r="HG208" s="296"/>
      <c r="HH208" s="296"/>
      <c r="HI208" s="296"/>
      <c r="HJ208" s="296"/>
      <c r="HK208" s="296"/>
      <c r="HL208" s="296"/>
      <c r="HM208" s="296"/>
      <c r="HN208" s="296"/>
      <c r="HO208" s="296"/>
      <c r="HP208" s="296"/>
      <c r="HQ208" s="296"/>
      <c r="HR208" s="296"/>
      <c r="HS208" s="296"/>
      <c r="HT208" s="296"/>
      <c r="HU208" s="296"/>
      <c r="HV208" s="296"/>
      <c r="HW208" s="296"/>
      <c r="HX208" s="296"/>
      <c r="HY208" s="296"/>
      <c r="HZ208" s="296"/>
      <c r="IA208" s="296"/>
      <c r="IB208" s="296"/>
      <c r="IC208" s="296"/>
      <c r="ID208" s="296"/>
      <c r="IE208" s="296"/>
      <c r="IF208" s="296"/>
      <c r="IG208" s="296"/>
      <c r="IH208" s="296"/>
      <c r="II208" s="296"/>
      <c r="IJ208" s="296"/>
      <c r="IK208" s="296"/>
      <c r="IL208" s="296"/>
      <c r="IM208" s="296"/>
      <c r="IN208" s="296"/>
      <c r="IO208" s="296"/>
      <c r="IP208" s="296"/>
      <c r="IQ208" s="296"/>
      <c r="IR208" s="296"/>
      <c r="IS208" s="296"/>
      <c r="IT208" s="296"/>
      <c r="IU208" s="296"/>
    </row>
    <row r="209" spans="44:255">
      <c r="AR209" s="296"/>
      <c r="AS209" s="296"/>
      <c r="AT209" s="296"/>
      <c r="AU209" s="296"/>
      <c r="AV209" s="296"/>
      <c r="AW209" s="296"/>
      <c r="AX209" s="296"/>
      <c r="AY209" s="342"/>
      <c r="AZ209" s="296"/>
      <c r="BA209" s="296"/>
      <c r="BB209" s="296"/>
      <c r="BC209" s="296"/>
      <c r="BD209" s="296"/>
      <c r="BE209" s="296"/>
      <c r="BF209" s="296"/>
      <c r="BG209" s="296"/>
      <c r="BH209" s="296"/>
      <c r="BI209" s="296"/>
      <c r="BJ209" s="296"/>
      <c r="BK209" s="296"/>
      <c r="BL209" s="296"/>
      <c r="BM209" s="296"/>
      <c r="BN209" s="296"/>
      <c r="BO209" s="296"/>
      <c r="BP209" s="296"/>
      <c r="BQ209" s="296"/>
      <c r="BR209" s="296"/>
      <c r="BS209" s="296"/>
      <c r="BT209" s="296"/>
      <c r="BU209" s="296"/>
      <c r="BV209" s="296"/>
      <c r="BW209" s="296"/>
      <c r="BX209" s="296"/>
      <c r="BY209" s="296"/>
      <c r="BZ209" s="296"/>
      <c r="CA209" s="296"/>
      <c r="CB209" s="296"/>
      <c r="CC209" s="296"/>
      <c r="CD209" s="296"/>
      <c r="CE209" s="296"/>
      <c r="CF209" s="296"/>
      <c r="CG209" s="296"/>
      <c r="CH209" s="296"/>
      <c r="CI209" s="296"/>
      <c r="CJ209" s="296"/>
      <c r="CK209" s="296"/>
      <c r="CL209" s="296"/>
      <c r="CM209" s="296"/>
      <c r="CN209" s="296"/>
      <c r="CO209" s="296"/>
      <c r="CP209" s="296"/>
      <c r="CQ209" s="296"/>
      <c r="CR209" s="296"/>
      <c r="CS209" s="296"/>
      <c r="CT209" s="296"/>
      <c r="CU209" s="296"/>
      <c r="CV209" s="296"/>
      <c r="CW209" s="296"/>
      <c r="CX209" s="296"/>
      <c r="CY209" s="296"/>
      <c r="CZ209" s="296"/>
      <c r="DA209" s="296"/>
      <c r="DB209" s="296"/>
      <c r="DC209" s="296"/>
      <c r="DD209" s="296"/>
      <c r="DE209" s="296"/>
      <c r="DF209" s="296"/>
      <c r="DG209" s="296"/>
      <c r="DH209" s="296"/>
      <c r="DI209" s="296"/>
      <c r="DJ209" s="296"/>
      <c r="DK209" s="296"/>
      <c r="DL209" s="296"/>
      <c r="DM209" s="296"/>
      <c r="DN209" s="296"/>
      <c r="DO209" s="296"/>
      <c r="DP209" s="296"/>
      <c r="DQ209" s="296"/>
      <c r="DR209" s="296"/>
      <c r="DS209" s="296"/>
      <c r="DT209" s="296"/>
      <c r="DU209" s="296"/>
      <c r="DV209" s="296"/>
      <c r="DW209" s="296"/>
      <c r="DX209" s="296"/>
      <c r="DY209" s="296"/>
      <c r="DZ209" s="296"/>
      <c r="EA209" s="296"/>
      <c r="EB209" s="296"/>
      <c r="EC209" s="296"/>
      <c r="ED209" s="296"/>
      <c r="EE209" s="296"/>
      <c r="EF209" s="296"/>
      <c r="EG209" s="296"/>
      <c r="EH209" s="296"/>
      <c r="EI209" s="296"/>
      <c r="EJ209" s="296"/>
      <c r="EK209" s="296"/>
      <c r="EL209" s="296"/>
      <c r="EM209" s="296"/>
      <c r="EN209" s="296"/>
      <c r="EO209" s="296"/>
      <c r="EP209" s="296"/>
      <c r="EQ209" s="296"/>
      <c r="ER209" s="296"/>
      <c r="ES209" s="296"/>
      <c r="ET209" s="296"/>
      <c r="EU209" s="296"/>
      <c r="EV209" s="296"/>
      <c r="EW209" s="296"/>
      <c r="EX209" s="296"/>
      <c r="EY209" s="296"/>
      <c r="EZ209" s="296"/>
      <c r="FA209" s="296"/>
      <c r="FB209" s="296"/>
      <c r="FC209" s="296"/>
      <c r="FD209" s="296"/>
      <c r="FE209" s="296"/>
      <c r="FF209" s="296"/>
      <c r="FG209" s="296"/>
      <c r="FH209" s="296"/>
      <c r="FI209" s="296"/>
      <c r="FJ209" s="296"/>
      <c r="FK209" s="296"/>
      <c r="FL209" s="296"/>
      <c r="FM209" s="296"/>
      <c r="FN209" s="296"/>
      <c r="FO209" s="296"/>
      <c r="FP209" s="296"/>
      <c r="FQ209" s="296"/>
      <c r="FR209" s="296"/>
      <c r="FS209" s="296"/>
      <c r="FT209" s="296"/>
      <c r="FU209" s="296"/>
      <c r="FV209" s="296"/>
      <c r="FW209" s="296"/>
      <c r="FX209" s="296"/>
      <c r="FY209" s="296"/>
      <c r="FZ209" s="296"/>
      <c r="GA209" s="296"/>
      <c r="GB209" s="296"/>
      <c r="GC209" s="296"/>
      <c r="GD209" s="296"/>
      <c r="GE209" s="296"/>
      <c r="GF209" s="296"/>
      <c r="GG209" s="296"/>
      <c r="GH209" s="296"/>
      <c r="GI209" s="296"/>
      <c r="GJ209" s="296"/>
      <c r="GK209" s="296"/>
      <c r="GL209" s="296"/>
      <c r="GM209" s="296"/>
      <c r="GN209" s="296"/>
      <c r="GO209" s="296"/>
      <c r="GP209" s="296"/>
      <c r="GQ209" s="296"/>
      <c r="GR209" s="296"/>
      <c r="GS209" s="296"/>
      <c r="GT209" s="296"/>
      <c r="GU209" s="296"/>
      <c r="GV209" s="296"/>
      <c r="GW209" s="296"/>
      <c r="GX209" s="296"/>
      <c r="GY209" s="296"/>
      <c r="GZ209" s="296"/>
      <c r="HA209" s="296"/>
      <c r="HB209" s="296"/>
      <c r="HC209" s="296"/>
      <c r="HD209" s="296"/>
      <c r="HE209" s="296"/>
      <c r="HF209" s="296"/>
      <c r="HG209" s="296"/>
      <c r="HH209" s="296"/>
      <c r="HI209" s="296"/>
      <c r="HJ209" s="296"/>
      <c r="HK209" s="296"/>
      <c r="HL209" s="296"/>
      <c r="HM209" s="296"/>
      <c r="HN209" s="296"/>
      <c r="HO209" s="296"/>
      <c r="HP209" s="296"/>
      <c r="HQ209" s="296"/>
      <c r="HR209" s="296"/>
      <c r="HS209" s="296"/>
      <c r="HT209" s="296"/>
      <c r="HU209" s="296"/>
      <c r="HV209" s="296"/>
      <c r="HW209" s="296"/>
      <c r="HX209" s="296"/>
      <c r="HY209" s="296"/>
      <c r="HZ209" s="296"/>
      <c r="IA209" s="296"/>
      <c r="IB209" s="296"/>
      <c r="IC209" s="296"/>
      <c r="ID209" s="296"/>
      <c r="IE209" s="296"/>
      <c r="IF209" s="296"/>
      <c r="IG209" s="296"/>
      <c r="IH209" s="296"/>
      <c r="II209" s="296"/>
      <c r="IJ209" s="296"/>
      <c r="IK209" s="296"/>
      <c r="IL209" s="296"/>
      <c r="IM209" s="296"/>
      <c r="IN209" s="296"/>
      <c r="IO209" s="296"/>
      <c r="IP209" s="296"/>
      <c r="IQ209" s="296"/>
      <c r="IR209" s="296"/>
      <c r="IS209" s="296"/>
      <c r="IT209" s="296"/>
      <c r="IU209" s="296"/>
    </row>
  </sheetData>
  <sheetProtection formatCells="0" formatColumns="0" formatRows="0" insertRows="0" autoFilter="0"/>
  <protectedRanges>
    <protectedRange sqref="B2" name="区域4" securityDescriptor=""/>
    <protectedRange sqref="C1" name="区域3" securityDescriptor=""/>
    <protectedRange sqref="A181:XFD189" name="区域2" securityDescriptor=""/>
    <protectedRange sqref="E21:L108 E110:L189 E7:L19" name="区域1" securityDescriptor=""/>
    <protectedRange sqref="E20:L20" name="区域3_1" securityDescriptor=""/>
    <protectedRange sqref="E109:L109" name="区域1_1" securityDescriptor=""/>
    <protectedRange sqref="Z5:AP6" name="区域1_1_2" securityDescriptor=""/>
    <protectedRange sqref="E3:L5" name="区域3_3" securityDescriptor=""/>
    <protectedRange sqref="E6:L6" name="区域1_1_3" securityDescriptor=""/>
  </protectedRanges>
  <autoFilter ref="A6:IU207"/>
  <mergeCells count="17">
    <mergeCell ref="Y48:Y50"/>
    <mergeCell ref="Y51:Y53"/>
    <mergeCell ref="Z4:AG4"/>
    <mergeCell ref="AI4:AP4"/>
    <mergeCell ref="B3:B6"/>
    <mergeCell ref="C3:C6"/>
    <mergeCell ref="D3:D6"/>
    <mergeCell ref="M3:M5"/>
    <mergeCell ref="N4:N5"/>
    <mergeCell ref="O4:O5"/>
    <mergeCell ref="P4:P5"/>
    <mergeCell ref="Y3:Y6"/>
    <mergeCell ref="T1:Y1"/>
    <mergeCell ref="B2:Y2"/>
    <mergeCell ref="E3:L3"/>
    <mergeCell ref="N3:P3"/>
    <mergeCell ref="Q3:X3"/>
  </mergeCells>
  <phoneticPr fontId="7" type="noConversion"/>
  <printOptions horizontalCentered="1"/>
  <pageMargins left="0.39305555555555599" right="0.39305555555555599" top="0.55069444444444404" bottom="0.55069444444444404" header="0.31458333333333299" footer="0.31458333333333299"/>
  <pageSetup paperSize="9" scale="44" orientation="landscape" blackAndWhite="1" horizontalDpi="300" verticalDpi="300" r:id="rId1"/>
  <headerFooter alignWithMargins="0">
    <oddFooter>&amp;C第 &amp;P 页，共 &amp;N 页</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indexed="13"/>
    <pageSetUpPr fitToPage="1"/>
  </sheetPr>
  <dimension ref="A1:BB99"/>
  <sheetViews>
    <sheetView tabSelected="1" view="pageBreakPreview" zoomScaleSheetLayoutView="100" workbookViewId="0">
      <pane xSplit="4" ySplit="6" topLeftCell="E7" activePane="bottomRight" state="frozen"/>
      <selection activeCell="J6" sqref="J6"/>
      <selection pane="topRight" activeCell="J6" sqref="J6"/>
      <selection pane="bottomLeft" activeCell="J6" sqref="J6"/>
      <selection pane="bottomRight" activeCell="F8" sqref="F8"/>
    </sheetView>
  </sheetViews>
  <sheetFormatPr defaultColWidth="9.125" defaultRowHeight="14.25"/>
  <cols>
    <col min="1" max="1" width="0" style="812" hidden="1" customWidth="1"/>
    <col min="2" max="2" width="4.25" style="812" bestFit="1" customWidth="1"/>
    <col min="3" max="3" width="20.625" style="812" customWidth="1"/>
    <col min="4" max="4" width="4.25" style="812" bestFit="1" customWidth="1"/>
    <col min="5" max="5" width="8.125" style="813" customWidth="1"/>
    <col min="6" max="6" width="45.625" style="814" customWidth="1"/>
    <col min="7" max="7" width="8.625" style="813" customWidth="1"/>
    <col min="8" max="8" width="45.625" style="814" customWidth="1"/>
    <col min="9" max="9" width="8.625" style="813" customWidth="1"/>
    <col min="10" max="10" width="8.125" style="813" customWidth="1"/>
    <col min="11" max="11" width="45.625" style="813" customWidth="1"/>
    <col min="12" max="12" width="8.625" style="813" customWidth="1"/>
    <col min="13" max="13" width="8.375" style="813" customWidth="1"/>
    <col min="14" max="14" width="45.625" style="814" customWidth="1"/>
    <col min="15" max="15" width="8.5" style="813" customWidth="1"/>
    <col min="16" max="16" width="8.125" style="813" customWidth="1"/>
    <col min="17" max="17" width="45.625" style="814" customWidth="1"/>
    <col min="18" max="18" width="8.625" style="813" customWidth="1"/>
    <col min="19" max="19" width="8.125" style="813" customWidth="1"/>
    <col min="20" max="20" width="45.625" style="814" customWidth="1"/>
    <col min="21" max="21" width="8.625" style="813" customWidth="1"/>
    <col min="22" max="22" width="8.125" style="813" customWidth="1"/>
    <col min="23" max="23" width="45.625" style="814" customWidth="1"/>
    <col min="24" max="24" width="8.625" style="813" customWidth="1"/>
    <col min="25" max="25" width="8.125" style="813" customWidth="1"/>
    <col min="26" max="26" width="45.625" style="814" customWidth="1"/>
    <col min="27" max="27" width="8.125" style="813" customWidth="1"/>
    <col min="28" max="28" width="8.875" style="813" customWidth="1"/>
    <col min="29" max="29" width="8.25" style="813" bestFit="1" customWidth="1"/>
    <col min="30" max="30" width="7.75" style="815" customWidth="1"/>
    <col min="31" max="31" width="8" style="813" bestFit="1" customWidth="1"/>
    <col min="32" max="33" width="11.125" style="812" hidden="1" customWidth="1"/>
    <col min="34" max="34" width="11.75" style="812" hidden="1" customWidth="1"/>
    <col min="35" max="38" width="11.125" style="812" hidden="1" customWidth="1"/>
    <col min="39" max="39" width="11.125" style="812" customWidth="1"/>
    <col min="40" max="40" width="8.875" style="812" customWidth="1"/>
    <col min="41" max="41" width="9" style="812" customWidth="1"/>
    <col min="42" max="42" width="9.125" style="812" customWidth="1"/>
    <col min="43" max="43" width="9" style="812" customWidth="1"/>
    <col min="44" max="44" width="8.75" style="812" customWidth="1"/>
    <col min="45" max="45" width="9.25" style="812" customWidth="1"/>
    <col min="46" max="46" width="9.75" style="812" customWidth="1"/>
    <col min="47" max="47" width="7.125" style="812" customWidth="1"/>
    <col min="48" max="48" width="8.25" style="812" customWidth="1"/>
    <col min="49" max="49" width="8.5" style="812" bestFit="1" customWidth="1"/>
    <col min="50" max="50" width="8.875" style="812" customWidth="1"/>
    <col min="51" max="52" width="9.125" style="812" customWidth="1"/>
    <col min="53" max="54" width="8.625" style="812" customWidth="1"/>
    <col min="55" max="16384" width="9.125" style="812"/>
  </cols>
  <sheetData>
    <row r="1" spans="1:54">
      <c r="B1" s="866" t="s">
        <v>932</v>
      </c>
      <c r="C1" s="866"/>
      <c r="AI1" s="892" t="s">
        <v>196</v>
      </c>
      <c r="AJ1" s="892"/>
      <c r="AK1" s="892"/>
      <c r="AL1" s="892"/>
      <c r="AM1" s="893"/>
    </row>
    <row r="2" spans="1:54" ht="17.649999999999999" customHeight="1">
      <c r="B2" s="894" t="s">
        <v>1872</v>
      </c>
      <c r="C2" s="894"/>
      <c r="D2" s="894"/>
      <c r="E2" s="894"/>
      <c r="F2" s="894"/>
      <c r="G2" s="894"/>
      <c r="H2" s="894"/>
      <c r="I2" s="894"/>
      <c r="J2" s="894"/>
      <c r="K2" s="894"/>
      <c r="L2" s="894"/>
      <c r="M2" s="894"/>
      <c r="N2" s="894"/>
      <c r="O2" s="895"/>
      <c r="P2" s="894"/>
      <c r="Q2" s="894"/>
      <c r="R2" s="895"/>
      <c r="S2" s="894"/>
      <c r="T2" s="894"/>
      <c r="U2" s="895"/>
      <c r="V2" s="894"/>
      <c r="W2" s="894"/>
      <c r="X2" s="895"/>
      <c r="Y2" s="894"/>
      <c r="Z2" s="894"/>
      <c r="AA2" s="895"/>
      <c r="AB2" s="894"/>
      <c r="AC2" s="894"/>
      <c r="AD2" s="894"/>
      <c r="AE2" s="894"/>
      <c r="AF2" s="894"/>
      <c r="AG2" s="894"/>
      <c r="AH2" s="894"/>
      <c r="AI2" s="894"/>
      <c r="AJ2" s="894"/>
      <c r="AK2" s="894"/>
      <c r="AL2" s="894"/>
      <c r="AM2" s="894"/>
    </row>
    <row r="3" spans="1:54" s="816" customFormat="1" ht="11.25" customHeight="1">
      <c r="A3" s="438"/>
      <c r="B3" s="861" t="s">
        <v>54</v>
      </c>
      <c r="C3" s="861" t="s">
        <v>933</v>
      </c>
      <c r="D3" s="861" t="s">
        <v>198</v>
      </c>
      <c r="E3" s="871" t="s">
        <v>199</v>
      </c>
      <c r="F3" s="872"/>
      <c r="G3" s="872"/>
      <c r="H3" s="872"/>
      <c r="I3" s="872"/>
      <c r="J3" s="872"/>
      <c r="K3" s="872"/>
      <c r="L3" s="872"/>
      <c r="M3" s="872"/>
      <c r="N3" s="872"/>
      <c r="O3" s="905"/>
      <c r="P3" s="872"/>
      <c r="Q3" s="872"/>
      <c r="R3" s="905"/>
      <c r="S3" s="872"/>
      <c r="T3" s="872"/>
      <c r="U3" s="905"/>
      <c r="V3" s="872"/>
      <c r="W3" s="872"/>
      <c r="X3" s="905"/>
      <c r="Y3" s="872"/>
      <c r="Z3" s="872"/>
      <c r="AA3" s="906"/>
      <c r="AB3" s="896" t="s">
        <v>200</v>
      </c>
      <c r="AC3" s="856" t="s">
        <v>934</v>
      </c>
      <c r="AD3" s="856"/>
      <c r="AE3" s="856"/>
      <c r="AF3" s="856" t="s">
        <v>202</v>
      </c>
      <c r="AG3" s="856"/>
      <c r="AH3" s="856"/>
      <c r="AI3" s="856"/>
      <c r="AJ3" s="856"/>
      <c r="AK3" s="856"/>
      <c r="AL3" s="856"/>
      <c r="AM3" s="861" t="s">
        <v>57</v>
      </c>
      <c r="AN3" s="901"/>
      <c r="AO3" s="863"/>
      <c r="AP3" s="863"/>
      <c r="AQ3" s="863"/>
      <c r="AR3" s="863"/>
      <c r="AS3" s="863"/>
      <c r="AT3" s="863"/>
      <c r="AU3" s="863"/>
      <c r="AV3" s="902"/>
      <c r="AW3" s="275"/>
      <c r="AX3" s="275"/>
      <c r="AY3" s="275"/>
      <c r="AZ3" s="275"/>
      <c r="BA3" s="275"/>
      <c r="BB3" s="275"/>
    </row>
    <row r="4" spans="1:54" s="816" customFormat="1" ht="22.5" customHeight="1">
      <c r="A4" s="438"/>
      <c r="B4" s="861"/>
      <c r="C4" s="861"/>
      <c r="D4" s="861"/>
      <c r="E4" s="475" t="s">
        <v>187</v>
      </c>
      <c r="F4" s="897" t="s">
        <v>2026</v>
      </c>
      <c r="G4" s="897" t="s">
        <v>2024</v>
      </c>
      <c r="H4" s="897" t="s">
        <v>2027</v>
      </c>
      <c r="I4" s="897" t="s">
        <v>2025</v>
      </c>
      <c r="J4" s="811" t="s">
        <v>188</v>
      </c>
      <c r="K4" s="897" t="s">
        <v>2028</v>
      </c>
      <c r="L4" s="897" t="s">
        <v>2023</v>
      </c>
      <c r="M4" s="475" t="s">
        <v>1965</v>
      </c>
      <c r="N4" s="897" t="s">
        <v>2029</v>
      </c>
      <c r="O4" s="897" t="s">
        <v>2031</v>
      </c>
      <c r="P4" s="475" t="s">
        <v>1966</v>
      </c>
      <c r="Q4" s="897" t="s">
        <v>2030</v>
      </c>
      <c r="R4" s="897" t="s">
        <v>2032</v>
      </c>
      <c r="S4" s="475" t="s">
        <v>147</v>
      </c>
      <c r="T4" s="897" t="s">
        <v>2034</v>
      </c>
      <c r="U4" s="897" t="s">
        <v>2033</v>
      </c>
      <c r="V4" s="475" t="s">
        <v>151</v>
      </c>
      <c r="W4" s="897" t="s">
        <v>2035</v>
      </c>
      <c r="X4" s="897" t="s">
        <v>1952</v>
      </c>
      <c r="Y4" s="475" t="s">
        <v>153</v>
      </c>
      <c r="Z4" s="897" t="s">
        <v>2036</v>
      </c>
      <c r="AA4" s="897" t="s">
        <v>2037</v>
      </c>
      <c r="AB4" s="861"/>
      <c r="AC4" s="856" t="s">
        <v>203</v>
      </c>
      <c r="AD4" s="900" t="s">
        <v>204</v>
      </c>
      <c r="AE4" s="856" t="s">
        <v>205</v>
      </c>
      <c r="AF4" s="805" t="str">
        <f>+E4</f>
        <v>2、3层</v>
      </c>
      <c r="AG4" s="805" t="str">
        <f>+J4</f>
        <v>9层</v>
      </c>
      <c r="AH4" s="805" t="str">
        <f>+M4</f>
        <v>4-8、10-12层</v>
      </c>
      <c r="AI4" s="805" t="str">
        <f>+P4</f>
        <v>13层</v>
      </c>
      <c r="AJ4" s="805" t="str">
        <f>+S4</f>
        <v>14层</v>
      </c>
      <c r="AK4" s="805" t="str">
        <f>+V4</f>
        <v>15层</v>
      </c>
      <c r="AL4" s="805" t="str">
        <f t="shared" ref="AL4:AL5" si="0">+Y4</f>
        <v>16层</v>
      </c>
      <c r="AM4" s="861"/>
      <c r="AN4" s="903"/>
      <c r="AO4" s="904"/>
      <c r="AP4" s="904"/>
      <c r="AQ4" s="904"/>
      <c r="AR4" s="904"/>
      <c r="AS4" s="904"/>
      <c r="AT4" s="904"/>
      <c r="AU4" s="807"/>
      <c r="AV4" s="863"/>
      <c r="AW4" s="863"/>
      <c r="AX4" s="863"/>
      <c r="AY4" s="863"/>
      <c r="AZ4" s="863"/>
      <c r="BA4" s="863"/>
      <c r="BB4" s="863"/>
    </row>
    <row r="5" spans="1:54" s="816" customFormat="1" ht="24.75" customHeight="1">
      <c r="A5" s="438"/>
      <c r="B5" s="861"/>
      <c r="C5" s="861"/>
      <c r="D5" s="861"/>
      <c r="E5" s="811" t="s">
        <v>131</v>
      </c>
      <c r="F5" s="898"/>
      <c r="G5" s="898"/>
      <c r="H5" s="898"/>
      <c r="I5" s="898"/>
      <c r="J5" s="811" t="s">
        <v>131</v>
      </c>
      <c r="K5" s="898"/>
      <c r="L5" s="898"/>
      <c r="M5" s="811" t="s">
        <v>131</v>
      </c>
      <c r="N5" s="898"/>
      <c r="O5" s="898"/>
      <c r="P5" s="811" t="s">
        <v>131</v>
      </c>
      <c r="Q5" s="898"/>
      <c r="R5" s="898"/>
      <c r="S5" s="811" t="s">
        <v>131</v>
      </c>
      <c r="T5" s="898"/>
      <c r="U5" s="898"/>
      <c r="V5" s="811" t="s">
        <v>131</v>
      </c>
      <c r="W5" s="898"/>
      <c r="X5" s="898"/>
      <c r="Y5" s="811" t="s">
        <v>131</v>
      </c>
      <c r="Z5" s="898"/>
      <c r="AA5" s="898"/>
      <c r="AB5" s="856" t="s">
        <v>206</v>
      </c>
      <c r="AC5" s="856"/>
      <c r="AD5" s="900"/>
      <c r="AE5" s="856"/>
      <c r="AF5" s="805" t="str">
        <f>+E5</f>
        <v>1#</v>
      </c>
      <c r="AG5" s="805" t="str">
        <f>+J5</f>
        <v>1#</v>
      </c>
      <c r="AH5" s="805" t="str">
        <f>+M5</f>
        <v>1#</v>
      </c>
      <c r="AI5" s="805" t="str">
        <f>+P5</f>
        <v>1#</v>
      </c>
      <c r="AJ5" s="805" t="str">
        <f>+S5</f>
        <v>1#</v>
      </c>
      <c r="AK5" s="805" t="str">
        <f>+V5</f>
        <v>1#</v>
      </c>
      <c r="AL5" s="805" t="str">
        <f t="shared" si="0"/>
        <v>1#</v>
      </c>
      <c r="AM5" s="861"/>
      <c r="AN5" s="865" t="s">
        <v>593</v>
      </c>
      <c r="AO5" s="865"/>
      <c r="AP5" s="865"/>
      <c r="AQ5" s="865"/>
      <c r="AR5" s="865"/>
      <c r="AS5" s="865"/>
      <c r="AT5" s="865"/>
      <c r="AU5" s="817"/>
      <c r="AV5" s="865" t="s">
        <v>208</v>
      </c>
      <c r="AW5" s="865"/>
      <c r="AX5" s="865"/>
      <c r="AY5" s="865"/>
      <c r="AZ5" s="865"/>
      <c r="BA5" s="865"/>
      <c r="BB5" s="865"/>
    </row>
    <row r="6" spans="1:54" s="816" customFormat="1">
      <c r="A6" s="438"/>
      <c r="B6" s="861"/>
      <c r="C6" s="861"/>
      <c r="D6" s="861"/>
      <c r="E6" s="475" t="s">
        <v>209</v>
      </c>
      <c r="F6" s="899"/>
      <c r="G6" s="899"/>
      <c r="H6" s="899"/>
      <c r="I6" s="899"/>
      <c r="J6" s="475" t="s">
        <v>210</v>
      </c>
      <c r="K6" s="899"/>
      <c r="L6" s="899"/>
      <c r="M6" s="475" t="s">
        <v>211</v>
      </c>
      <c r="N6" s="899"/>
      <c r="O6" s="899"/>
      <c r="P6" s="475" t="s">
        <v>212</v>
      </c>
      <c r="Q6" s="899"/>
      <c r="R6" s="899"/>
      <c r="S6" s="475" t="s">
        <v>213</v>
      </c>
      <c r="T6" s="899"/>
      <c r="U6" s="899"/>
      <c r="V6" s="475" t="s">
        <v>214</v>
      </c>
      <c r="W6" s="899"/>
      <c r="X6" s="899"/>
      <c r="Y6" s="475" t="s">
        <v>215</v>
      </c>
      <c r="Z6" s="899"/>
      <c r="AA6" s="899"/>
      <c r="AB6" s="856"/>
      <c r="AC6" s="805" t="s">
        <v>217</v>
      </c>
      <c r="AD6" s="810" t="s">
        <v>218</v>
      </c>
      <c r="AE6" s="805" t="s">
        <v>219</v>
      </c>
      <c r="AF6" s="805" t="s">
        <v>220</v>
      </c>
      <c r="AG6" s="805" t="s">
        <v>221</v>
      </c>
      <c r="AH6" s="805" t="s">
        <v>222</v>
      </c>
      <c r="AI6" s="805" t="s">
        <v>223</v>
      </c>
      <c r="AJ6" s="805" t="s">
        <v>224</v>
      </c>
      <c r="AK6" s="805" t="s">
        <v>225</v>
      </c>
      <c r="AL6" s="805" t="s">
        <v>226</v>
      </c>
      <c r="AM6" s="806"/>
      <c r="AN6" s="447" t="s">
        <v>209</v>
      </c>
      <c r="AO6" s="447" t="s">
        <v>210</v>
      </c>
      <c r="AP6" s="447" t="s">
        <v>211</v>
      </c>
      <c r="AQ6" s="447" t="s">
        <v>212</v>
      </c>
      <c r="AR6" s="447" t="s">
        <v>213</v>
      </c>
      <c r="AS6" s="447" t="s">
        <v>214</v>
      </c>
      <c r="AT6" s="447" t="s">
        <v>215</v>
      </c>
      <c r="AU6" s="817"/>
      <c r="AV6" s="447" t="s">
        <v>209</v>
      </c>
      <c r="AW6" s="447" t="s">
        <v>210</v>
      </c>
      <c r="AX6" s="447" t="s">
        <v>211</v>
      </c>
      <c r="AY6" s="447" t="s">
        <v>212</v>
      </c>
      <c r="AZ6" s="447" t="s">
        <v>213</v>
      </c>
      <c r="BA6" s="447" t="s">
        <v>214</v>
      </c>
      <c r="BB6" s="447" t="s">
        <v>215</v>
      </c>
    </row>
    <row r="7" spans="1:54" s="818" customFormat="1">
      <c r="A7" s="300"/>
      <c r="B7" s="635" t="s">
        <v>58</v>
      </c>
      <c r="C7" s="636" t="s">
        <v>229</v>
      </c>
      <c r="D7" s="635"/>
      <c r="E7" s="636" t="s">
        <v>1859</v>
      </c>
      <c r="F7" s="636"/>
      <c r="G7" s="636"/>
      <c r="H7" s="636"/>
      <c r="I7" s="636"/>
      <c r="J7" s="636"/>
      <c r="K7" s="636"/>
      <c r="L7" s="636"/>
      <c r="M7" s="636"/>
      <c r="N7" s="636"/>
      <c r="O7" s="636"/>
      <c r="P7" s="636"/>
      <c r="Q7" s="636"/>
      <c r="R7" s="636"/>
      <c r="S7" s="636"/>
      <c r="T7" s="636"/>
      <c r="U7" s="636"/>
      <c r="V7" s="636"/>
      <c r="W7" s="636"/>
      <c r="X7" s="636"/>
      <c r="Y7" s="636"/>
      <c r="Z7" s="636"/>
      <c r="AA7" s="636"/>
      <c r="AB7" s="636"/>
      <c r="AC7" s="636"/>
      <c r="AD7" s="636"/>
      <c r="AE7" s="636"/>
      <c r="AF7" s="636"/>
      <c r="AG7" s="636"/>
      <c r="AH7" s="636"/>
      <c r="AI7" s="636"/>
      <c r="AJ7" s="636"/>
      <c r="AK7" s="636"/>
      <c r="AL7" s="636"/>
      <c r="AM7" s="636" t="s">
        <v>1868</v>
      </c>
      <c r="AN7" s="808"/>
      <c r="AO7" s="808"/>
      <c r="AP7" s="808"/>
      <c r="AQ7" s="808"/>
      <c r="AR7" s="808"/>
      <c r="AS7" s="808"/>
      <c r="AT7" s="808"/>
      <c r="AU7" s="275"/>
      <c r="AV7" s="808"/>
      <c r="AW7" s="808"/>
      <c r="AX7" s="808"/>
      <c r="AY7" s="808"/>
      <c r="AZ7" s="808"/>
      <c r="BA7" s="808"/>
      <c r="BB7" s="808"/>
    </row>
    <row r="8" spans="1:54" ht="85.5" customHeight="1">
      <c r="A8" s="300"/>
      <c r="B8" s="809">
        <v>1</v>
      </c>
      <c r="C8" s="407" t="s">
        <v>2002</v>
      </c>
      <c r="D8" s="809" t="s">
        <v>231</v>
      </c>
      <c r="E8" s="819">
        <f>13.98*0.1+14.94*0.2+11.58*0.05+(20.84+13.42)*0.18+E10+E11+(10.75+13.56+10.84+17.61+13.56*3+20.84*3)*0.18+13.98*0.1+14.94*0.2+11.58*0.05+(20.84+13.42)*0.18</f>
        <v>293.46640000000008</v>
      </c>
      <c r="F8" s="820" t="s">
        <v>2013</v>
      </c>
      <c r="G8" s="819"/>
      <c r="H8" s="820" t="s">
        <v>2042</v>
      </c>
      <c r="I8" s="819"/>
      <c r="J8" s="819">
        <f>13.98*0.1+14.94*0.2+11.58*0.05+(20.84+13.42)*0.18+J10+J11+(10.75+13.56+10.84+17.61+13.56*3+20.84*3)*0.18</f>
        <v>239.69060000000002</v>
      </c>
      <c r="K8" s="820"/>
      <c r="L8" s="819"/>
      <c r="M8" s="819">
        <f>13.98*0.1+14.94*0.2+11.58*0.05+(20.84+13.42)*0.18+M10+M11+(10.75+13.56+10.84+17.61+13.56*3+20.84*3)*0.18+13.98*0.1+14.94*0.2+11.58*0.05+(20.84+13.42)*0.18</f>
        <v>293.46640000000008</v>
      </c>
      <c r="N8" s="820" t="s">
        <v>2014</v>
      </c>
      <c r="O8" s="819"/>
      <c r="P8" s="819">
        <f>13.98*0.1+14.94*0.2+11.58*0.05+(20.84+13.42)*0.18+P10+P11+(10.75+13.56+10.84+17.61+13.56*3+20.84*3)*0.18+13.98*0.1+14.94*0.2+11.58*0.05+(20.84+13.42)*0.18-5.13*2*0.18</f>
        <v>288.01960000000008</v>
      </c>
      <c r="Q8" s="820" t="s">
        <v>2015</v>
      </c>
      <c r="R8" s="819"/>
      <c r="S8" s="819">
        <f>13.98*0.1+14.94*0.2+11.58*0.05+(20.84+13.42)*0.18+S10+S11+(10.75+13.56+10.84+17.61+13.56*3+20.84*3)*0.18+13.98*0.1+14.94*0.2+11.58*0.05+(20.84+13.42)*0.18-(5.13*2-5.51+2.54*2)*0.18</f>
        <v>281.30700000000007</v>
      </c>
      <c r="T8" s="820" t="s">
        <v>2016</v>
      </c>
      <c r="U8" s="819"/>
      <c r="V8" s="819">
        <f>13.98*0.1+14.94*0.2+11.58*0.05+(20.84+13.42)*0.18+V10+V11+(10.75+13.56+10.84+17.61+13.56*3+20.84*3)*0.18+13.98*0.1+14.94*0.2+11.58*0.05+(20.84+13.42)*0.18-(5.13*2-5.51+2.54*2-6.23-1.06+1.17)*0.18</f>
        <v>278.98860000000008</v>
      </c>
      <c r="W8" s="820" t="s">
        <v>2017</v>
      </c>
      <c r="X8" s="819"/>
      <c r="Y8" s="819">
        <f>13.98*0.1+14.94*0.2+11.58*0.05+(20.84+13.42)*0.18+Y10+Y11+(10.75+13.56+10.84+17.61+13.56*3+20.84*3)*0.18+13.98*0.1+14.94*0.2+11.58*0.05+(20.84+13.42)*0.18-(5.13*2-5.51+2.54*2-6.23-1.06+1.17+10.91+8.44)*0.18</f>
        <v>260.15560000000005</v>
      </c>
      <c r="Z8" s="820" t="s">
        <v>2018</v>
      </c>
      <c r="AA8" s="819"/>
      <c r="AB8" s="567">
        <f>AC8+AC8*AD8/100+AE8</f>
        <v>21.43271</v>
      </c>
      <c r="AC8" s="567">
        <f>'附件4-8甲供材料清单'!N220</f>
        <v>2.2087100000000004</v>
      </c>
      <c r="AD8" s="573">
        <v>0</v>
      </c>
      <c r="AE8" s="567">
        <v>19.224</v>
      </c>
      <c r="AF8" s="403">
        <f>E8*$AB8</f>
        <v>6289.7802459440018</v>
      </c>
      <c r="AG8" s="403">
        <f>J8*$AB8</f>
        <v>5137.2191195260002</v>
      </c>
      <c r="AH8" s="403">
        <f>M8*$AB8</f>
        <v>6289.7802459440018</v>
      </c>
      <c r="AI8" s="403">
        <f>P8*$AB8</f>
        <v>6173.0405611160022</v>
      </c>
      <c r="AJ8" s="403">
        <f>S8*$AB8</f>
        <v>6029.1713519700015</v>
      </c>
      <c r="AK8" s="403">
        <f>V8*$AB8</f>
        <v>5979.4817571060021</v>
      </c>
      <c r="AL8" s="403">
        <f>Y8*$AB8</f>
        <v>5575.8395296760009</v>
      </c>
      <c r="AM8" s="407" t="s">
        <v>244</v>
      </c>
      <c r="AN8" s="468">
        <f t="shared" ref="AN8:AT8" si="1">AF8</f>
        <v>6289.7802459440018</v>
      </c>
      <c r="AO8" s="468">
        <f t="shared" si="1"/>
        <v>5137.2191195260002</v>
      </c>
      <c r="AP8" s="468">
        <f t="shared" si="1"/>
        <v>6289.7802459440018</v>
      </c>
      <c r="AQ8" s="468">
        <f t="shared" si="1"/>
        <v>6173.0405611160022</v>
      </c>
      <c r="AR8" s="468">
        <f t="shared" si="1"/>
        <v>6029.1713519700015</v>
      </c>
      <c r="AS8" s="468">
        <f t="shared" si="1"/>
        <v>5979.4817571060021</v>
      </c>
      <c r="AT8" s="468">
        <f t="shared" si="1"/>
        <v>5575.8395296760009</v>
      </c>
      <c r="AU8" s="276"/>
      <c r="AV8" s="468">
        <f>E8*$AC8*(1+$AD8%)</f>
        <v>648.18217234400026</v>
      </c>
      <c r="AW8" s="468">
        <f>J8*$AC8*(1+$AD8%)</f>
        <v>529.40702512600012</v>
      </c>
      <c r="AX8" s="468">
        <f>M8*$AC8*(1+$AD8%)</f>
        <v>648.18217234400026</v>
      </c>
      <c r="AY8" s="468">
        <f>P8*$AC8*(1+$AD8%)</f>
        <v>636.15177071600033</v>
      </c>
      <c r="AZ8" s="468">
        <f>S8*$AC8*(1+$AD8%)</f>
        <v>621.32558397000025</v>
      </c>
      <c r="BA8" s="468">
        <f>V8*$AC8*(1+$AD8%)</f>
        <v>616.20491070600031</v>
      </c>
      <c r="BB8" s="468">
        <f>Y8*$AC8*(1+$AD8%)</f>
        <v>574.6082752760002</v>
      </c>
    </row>
    <row r="9" spans="1:54" ht="23.25" customHeight="1">
      <c r="A9" s="300"/>
      <c r="B9" s="809">
        <v>2</v>
      </c>
      <c r="C9" s="407" t="s">
        <v>935</v>
      </c>
      <c r="D9" s="809" t="s">
        <v>235</v>
      </c>
      <c r="E9" s="819"/>
      <c r="F9" s="820"/>
      <c r="G9" s="819"/>
      <c r="H9" s="820"/>
      <c r="I9" s="819"/>
      <c r="J9" s="819"/>
      <c r="K9" s="819"/>
      <c r="L9" s="819"/>
      <c r="M9" s="819"/>
      <c r="N9" s="820"/>
      <c r="O9" s="820"/>
      <c r="P9" s="819"/>
      <c r="Q9" s="820"/>
      <c r="R9" s="820"/>
      <c r="S9" s="819"/>
      <c r="T9" s="820"/>
      <c r="U9" s="820"/>
      <c r="V9" s="819"/>
      <c r="W9" s="820"/>
      <c r="X9" s="820"/>
      <c r="Y9" s="819"/>
      <c r="Z9" s="820"/>
      <c r="AA9" s="820"/>
      <c r="AB9" s="567">
        <f t="shared" ref="AB9" si="2">AC9+AC9*AD9/100+AE9</f>
        <v>13.108000000000001</v>
      </c>
      <c r="AC9" s="567">
        <v>4</v>
      </c>
      <c r="AD9" s="573">
        <v>9</v>
      </c>
      <c r="AE9" s="567">
        <v>8.7479999999999993</v>
      </c>
      <c r="AF9" s="403">
        <f>E9*$AB9</f>
        <v>0</v>
      </c>
      <c r="AG9" s="403">
        <f>J9*$AB9</f>
        <v>0</v>
      </c>
      <c r="AH9" s="403">
        <f>M9*$AB9</f>
        <v>0</v>
      </c>
      <c r="AI9" s="403">
        <f>P9*$AB9</f>
        <v>0</v>
      </c>
      <c r="AJ9" s="403">
        <f>S9*$AB9</f>
        <v>0</v>
      </c>
      <c r="AK9" s="403">
        <f>V9*$AB9</f>
        <v>0</v>
      </c>
      <c r="AL9" s="403">
        <f>Y9*$AB9</f>
        <v>0</v>
      </c>
      <c r="AM9" s="407"/>
      <c r="AN9" s="468"/>
      <c r="AO9" s="468"/>
      <c r="AP9" s="468"/>
      <c r="AQ9" s="468"/>
      <c r="AR9" s="468"/>
      <c r="AS9" s="468"/>
      <c r="AT9" s="468"/>
      <c r="AU9" s="276"/>
      <c r="AV9" s="468"/>
      <c r="AW9" s="468"/>
      <c r="AX9" s="468"/>
      <c r="AY9" s="468"/>
      <c r="AZ9" s="468"/>
      <c r="BA9" s="468"/>
      <c r="BB9" s="468"/>
    </row>
    <row r="10" spans="1:54" ht="33.75">
      <c r="A10" s="300"/>
      <c r="B10" s="809">
        <v>3</v>
      </c>
      <c r="C10" s="407" t="s">
        <v>2001</v>
      </c>
      <c r="D10" s="809" t="s">
        <v>231</v>
      </c>
      <c r="E10" s="819">
        <f>19.3-7.46+1.7*18.12+19.3-7.46+1.7*18.12+10.7*2+1.7*(8.03+0.87+16.62+27.32+27.42)-E11</f>
        <v>116.80000000000003</v>
      </c>
      <c r="F10" s="825" t="s">
        <v>1955</v>
      </c>
      <c r="G10" s="819"/>
      <c r="H10" s="820" t="s">
        <v>1967</v>
      </c>
      <c r="I10" s="819"/>
      <c r="J10" s="819">
        <f>19.3-7.46+1.7*18.12+10.7*2+1.7*(8.03+0.87+16.62+27.32+27.42)-J11</f>
        <v>97.356000000000023</v>
      </c>
      <c r="K10" s="819"/>
      <c r="L10" s="819"/>
      <c r="M10" s="819">
        <f>19.3-7.46+1.7*18.12+19.3-7.46+1.7*18.12+10.7*2+1.7*(8.03+0.87+16.62+27.32+27.42)-M11</f>
        <v>116.80000000000003</v>
      </c>
      <c r="N10" s="823" t="s">
        <v>1955</v>
      </c>
      <c r="O10" s="819"/>
      <c r="P10" s="819">
        <f>19.3-7.46+1.7*18.12+19.3-7.46+1.7*18.12+10.7*2+1.7*(8.03+0.87+16.62+27.32+27.42)-P11-3.6</f>
        <v>118.64000000000003</v>
      </c>
      <c r="Q10" s="823" t="s">
        <v>1955</v>
      </c>
      <c r="R10" s="819"/>
      <c r="S10" s="819">
        <f>19.3-7.46+1.7*18.12+19.3-7.46+1.7*18.12+10.7*2+1.7*(8.03+0.87+16.62+27.32+27.42)-S11-3.6-6.79</f>
        <v>116.90000000000002</v>
      </c>
      <c r="T10" s="823" t="s">
        <v>1955</v>
      </c>
      <c r="U10" s="819"/>
      <c r="V10" s="819">
        <f>19.3-7.46+1.7*18.12+19.3-7.46+1.7*18.12+10.7*2+1.7*(8.03+0.87+16.62+27.32+27.42)-V11-3.6-6.79-1.24-2.18</f>
        <v>119.34000000000003</v>
      </c>
      <c r="W10" s="823" t="s">
        <v>1957</v>
      </c>
      <c r="X10" s="819"/>
      <c r="Y10" s="819">
        <f>19.3-7.46+1.7*18.12+19.3-7.46+1.7*18.12+10.7*2+1.7*(8.03+0.87+16.62+27.32+27.42)-Y11-3.6-6.79-1.24-2.18-6.27-9.08</f>
        <v>112.64000000000001</v>
      </c>
      <c r="Z10" s="823" t="s">
        <v>1956</v>
      </c>
      <c r="AA10" s="819"/>
      <c r="AB10" s="567">
        <f t="shared" ref="AB10:AB18" si="3">AC10+AC10*AD10/100+AE10</f>
        <v>93.495999999999995</v>
      </c>
      <c r="AC10" s="567">
        <v>20</v>
      </c>
      <c r="AD10" s="573">
        <v>10</v>
      </c>
      <c r="AE10" s="567">
        <v>71.495999999999995</v>
      </c>
      <c r="AF10" s="403">
        <f>E10*$AB10</f>
        <v>10920.332800000002</v>
      </c>
      <c r="AG10" s="403">
        <f>J10*$AB10</f>
        <v>9102.396576000001</v>
      </c>
      <c r="AH10" s="403">
        <f>M10*$AB10</f>
        <v>10920.332800000002</v>
      </c>
      <c r="AI10" s="403">
        <f>P10*$AB10</f>
        <v>11092.365440000001</v>
      </c>
      <c r="AJ10" s="403">
        <f>S10*$AB10</f>
        <v>10929.682400000002</v>
      </c>
      <c r="AK10" s="403">
        <f>V10*$AB10</f>
        <v>11157.812640000002</v>
      </c>
      <c r="AL10" s="403">
        <f>Y10*$AB10</f>
        <v>10531.389440000001</v>
      </c>
      <c r="AM10" s="407"/>
      <c r="AN10" s="468"/>
      <c r="AO10" s="468"/>
      <c r="AP10" s="468"/>
      <c r="AQ10" s="468"/>
      <c r="AR10" s="468"/>
      <c r="AS10" s="468"/>
      <c r="AT10" s="468"/>
      <c r="AU10" s="276"/>
      <c r="AV10" s="468"/>
      <c r="AW10" s="468"/>
      <c r="AX10" s="468"/>
      <c r="AY10" s="468"/>
      <c r="AZ10" s="468"/>
      <c r="BA10" s="468"/>
      <c r="BB10" s="468"/>
    </row>
    <row r="11" spans="1:54" ht="55.15" customHeight="1">
      <c r="A11" s="300"/>
      <c r="B11" s="809">
        <v>4</v>
      </c>
      <c r="C11" s="407" t="s">
        <v>937</v>
      </c>
      <c r="D11" s="809" t="s">
        <v>231</v>
      </c>
      <c r="E11" s="819">
        <f>7.46+5.9+9.84+5.98+4.54+8.13+6.91*2+5.98*3+9.84*3+7.46+5.9+9.84</f>
        <v>126.33</v>
      </c>
      <c r="F11" s="825" t="s">
        <v>2039</v>
      </c>
      <c r="G11" s="819"/>
      <c r="H11" s="820" t="s">
        <v>1981</v>
      </c>
      <c r="I11" s="819"/>
      <c r="J11" s="819">
        <f>7.46+5.9+9.84+5.98+4.54+8.13+6.91*2+5.98*3+9.84*3</f>
        <v>103.13</v>
      </c>
      <c r="K11" s="819"/>
      <c r="L11" s="819"/>
      <c r="M11" s="819">
        <f>7.46+5.9+9.84+5.98+4.54+8.13+6.91*2+5.98*3+9.84*3+7.46+5.9+9.84</f>
        <v>126.33</v>
      </c>
      <c r="N11" s="820" t="s">
        <v>1991</v>
      </c>
      <c r="O11" s="819"/>
      <c r="P11" s="819">
        <f>7.46+5.9+9.84+5.98+4.54+8.13+6.91*2+5.98*3+9.84*3+7.46+5.9+9.84-5.44</f>
        <v>120.89</v>
      </c>
      <c r="Q11" s="820" t="s">
        <v>1983</v>
      </c>
      <c r="R11" s="819"/>
      <c r="S11" s="819">
        <f>7.46+5.9+9.84+5.98+4.54+8.13+6.91*2+5.98*3+9.84*3+7.46+5.9+9.84-5.44-2.69-2.36</f>
        <v>115.84</v>
      </c>
      <c r="T11" s="820" t="s">
        <v>1982</v>
      </c>
      <c r="U11" s="819"/>
      <c r="V11" s="819">
        <f>7.46+5.9+9.84+5.98+4.54+8.13+6.91*2+5.98*3+9.84*3+7.46+5.9+9.84-5.44-2.69-2.36-1.52-4.34</f>
        <v>109.98</v>
      </c>
      <c r="W11" s="820" t="s">
        <v>1964</v>
      </c>
      <c r="X11" s="819"/>
      <c r="Y11" s="819">
        <f>7.46+5.9+9.84+5.98+4.54+8.13+6.91*2+5.98*3+9.84*3+7.46+5.9+9.84-5.44-2.69-2.36-1.52-4.34-4.74-3.91</f>
        <v>101.33000000000001</v>
      </c>
      <c r="Z11" s="820" t="s">
        <v>1961</v>
      </c>
      <c r="AA11" s="819"/>
      <c r="AB11" s="567">
        <f t="shared" si="3"/>
        <v>84.64</v>
      </c>
      <c r="AC11" s="567">
        <v>20</v>
      </c>
      <c r="AD11" s="573">
        <v>10</v>
      </c>
      <c r="AE11" s="567">
        <v>62.64</v>
      </c>
      <c r="AF11" s="403">
        <f>E11*$AB11</f>
        <v>10692.5712</v>
      </c>
      <c r="AG11" s="403">
        <f>J11*$AB11</f>
        <v>8728.9231999999993</v>
      </c>
      <c r="AH11" s="403">
        <f>M11*$AB11</f>
        <v>10692.5712</v>
      </c>
      <c r="AI11" s="403">
        <f>P11*$AB11</f>
        <v>10232.1296</v>
      </c>
      <c r="AJ11" s="403">
        <f>S11*$AB11</f>
        <v>9804.6975999999995</v>
      </c>
      <c r="AK11" s="403">
        <f>V11*$AB11</f>
        <v>9308.7072000000007</v>
      </c>
      <c r="AL11" s="403">
        <f>Y11*$AB11</f>
        <v>8576.5712000000003</v>
      </c>
      <c r="AM11" s="407"/>
      <c r="AN11" s="468"/>
      <c r="AO11" s="468"/>
      <c r="AP11" s="468"/>
      <c r="AQ11" s="468"/>
      <c r="AR11" s="468"/>
      <c r="AS11" s="468"/>
      <c r="AT11" s="468"/>
      <c r="AU11" s="276"/>
      <c r="AV11" s="468"/>
      <c r="AW11" s="468"/>
      <c r="AX11" s="468"/>
      <c r="AY11" s="468"/>
      <c r="AZ11" s="468"/>
      <c r="BA11" s="468"/>
      <c r="BB11" s="468"/>
    </row>
    <row r="12" spans="1:54" s="818" customFormat="1" ht="21.75" customHeight="1">
      <c r="A12" s="300"/>
      <c r="B12" s="635" t="s">
        <v>60</v>
      </c>
      <c r="C12" s="636" t="s">
        <v>247</v>
      </c>
      <c r="D12" s="635"/>
      <c r="E12" s="636" t="s">
        <v>1859</v>
      </c>
      <c r="F12" s="636"/>
      <c r="G12" s="636"/>
      <c r="H12" s="636"/>
      <c r="I12" s="636"/>
      <c r="J12" s="636"/>
      <c r="K12" s="636"/>
      <c r="L12" s="636"/>
      <c r="M12" s="636"/>
      <c r="N12" s="636"/>
      <c r="O12" s="636"/>
      <c r="P12" s="636"/>
      <c r="Q12" s="636"/>
      <c r="R12" s="636"/>
      <c r="S12" s="636"/>
      <c r="T12" s="636"/>
      <c r="U12" s="636"/>
      <c r="V12" s="636"/>
      <c r="W12" s="636"/>
      <c r="X12" s="636"/>
      <c r="Y12" s="636"/>
      <c r="Z12" s="636"/>
      <c r="AA12" s="636"/>
      <c r="AB12" s="636"/>
      <c r="AC12" s="636"/>
      <c r="AD12" s="636"/>
      <c r="AE12" s="636"/>
      <c r="AF12" s="636"/>
      <c r="AG12" s="636"/>
      <c r="AH12" s="636"/>
      <c r="AI12" s="636"/>
      <c r="AJ12" s="636"/>
      <c r="AK12" s="636"/>
      <c r="AL12" s="636"/>
      <c r="AM12" s="636" t="s">
        <v>1868</v>
      </c>
      <c r="AN12" s="808"/>
      <c r="AO12" s="808"/>
      <c r="AP12" s="808"/>
      <c r="AQ12" s="808"/>
      <c r="AR12" s="808"/>
      <c r="AS12" s="808"/>
      <c r="AT12" s="808"/>
      <c r="AU12" s="275"/>
      <c r="AV12" s="808"/>
      <c r="AW12" s="808"/>
      <c r="AX12" s="808"/>
      <c r="AY12" s="808"/>
      <c r="AZ12" s="808"/>
      <c r="BA12" s="808"/>
      <c r="BB12" s="808"/>
    </row>
    <row r="13" spans="1:54" ht="34.5" customHeight="1">
      <c r="A13" s="300"/>
      <c r="B13" s="809">
        <v>1</v>
      </c>
      <c r="C13" s="407" t="s">
        <v>938</v>
      </c>
      <c r="D13" s="809" t="s">
        <v>231</v>
      </c>
      <c r="E13" s="723"/>
      <c r="F13" s="798"/>
      <c r="G13" s="819"/>
      <c r="H13" s="458"/>
      <c r="I13" s="723"/>
      <c r="J13" s="723"/>
      <c r="K13" s="723"/>
      <c r="L13" s="723"/>
      <c r="M13" s="723"/>
      <c r="N13" s="458"/>
      <c r="O13" s="458"/>
      <c r="P13" s="723"/>
      <c r="Q13" s="458"/>
      <c r="R13" s="458"/>
      <c r="S13" s="723"/>
      <c r="T13" s="458"/>
      <c r="U13" s="458"/>
      <c r="V13" s="723"/>
      <c r="W13" s="458"/>
      <c r="X13" s="458"/>
      <c r="Y13" s="723"/>
      <c r="Z13" s="458"/>
      <c r="AA13" s="458"/>
      <c r="AB13" s="567">
        <f t="shared" si="3"/>
        <v>120.86666666666667</v>
      </c>
      <c r="AC13" s="567">
        <f>'附件4-8甲供材料清单'!M186</f>
        <v>66.666666666666671</v>
      </c>
      <c r="AD13" s="573">
        <v>9</v>
      </c>
      <c r="AE13" s="567">
        <v>48.2</v>
      </c>
      <c r="AF13" s="403">
        <f t="shared" ref="AF13:AF24" si="4">E13*$AB13</f>
        <v>0</v>
      </c>
      <c r="AG13" s="403">
        <f t="shared" ref="AG13:AG24" si="5">J13*$AB13</f>
        <v>0</v>
      </c>
      <c r="AH13" s="403">
        <f t="shared" ref="AH13:AH24" si="6">M13*$AB13</f>
        <v>0</v>
      </c>
      <c r="AI13" s="403">
        <f t="shared" ref="AI13:AI24" si="7">P13*$AB13</f>
        <v>0</v>
      </c>
      <c r="AJ13" s="403">
        <f t="shared" ref="AJ13:AJ24" si="8">S13*$AB13</f>
        <v>0</v>
      </c>
      <c r="AK13" s="403">
        <f t="shared" ref="AK13:AK24" si="9">V13*$AB13</f>
        <v>0</v>
      </c>
      <c r="AL13" s="403">
        <f t="shared" ref="AL13:AL24" si="10">Y13*$AB13</f>
        <v>0</v>
      </c>
      <c r="AM13" s="407" t="s">
        <v>244</v>
      </c>
      <c r="AN13" s="468">
        <f t="shared" ref="AN13:AT14" si="11">AF13</f>
        <v>0</v>
      </c>
      <c r="AO13" s="468">
        <f t="shared" si="11"/>
        <v>0</v>
      </c>
      <c r="AP13" s="468">
        <f t="shared" si="11"/>
        <v>0</v>
      </c>
      <c r="AQ13" s="468">
        <f t="shared" si="11"/>
        <v>0</v>
      </c>
      <c r="AR13" s="468">
        <f t="shared" si="11"/>
        <v>0</v>
      </c>
      <c r="AS13" s="468">
        <f t="shared" si="11"/>
        <v>0</v>
      </c>
      <c r="AT13" s="468">
        <f t="shared" si="11"/>
        <v>0</v>
      </c>
      <c r="AU13" s="276"/>
      <c r="AV13" s="468">
        <f>E13*$AC13*(1+$AD13%)</f>
        <v>0</v>
      </c>
      <c r="AW13" s="468">
        <f>J13*$AC13*(1+$AD13%)</f>
        <v>0</v>
      </c>
      <c r="AX13" s="468">
        <f>M13*$AC13*(1+$AD13%)</f>
        <v>0</v>
      </c>
      <c r="AY13" s="468">
        <f>P13*$AC13*(1+$AD13%)</f>
        <v>0</v>
      </c>
      <c r="AZ13" s="468">
        <f>S13*$AC13*(1+$AD13%)</f>
        <v>0</v>
      </c>
      <c r="BA13" s="468">
        <f>V13*$AC13*(1+$AD13%)</f>
        <v>0</v>
      </c>
      <c r="BB13" s="468">
        <f>Y13*$AC13*(1+$AD13%)</f>
        <v>0</v>
      </c>
    </row>
    <row r="14" spans="1:54" ht="34.5" customHeight="1">
      <c r="A14" s="300"/>
      <c r="B14" s="809">
        <v>2</v>
      </c>
      <c r="C14" s="407" t="s">
        <v>939</v>
      </c>
      <c r="D14" s="809" t="s">
        <v>231</v>
      </c>
      <c r="E14" s="723"/>
      <c r="F14" s="458"/>
      <c r="G14" s="819"/>
      <c r="H14" s="458"/>
      <c r="I14" s="723"/>
      <c r="J14" s="723"/>
      <c r="K14" s="723"/>
      <c r="L14" s="723"/>
      <c r="M14" s="723"/>
      <c r="N14" s="458"/>
      <c r="O14" s="458"/>
      <c r="P14" s="723"/>
      <c r="Q14" s="458"/>
      <c r="R14" s="458"/>
      <c r="S14" s="723"/>
      <c r="T14" s="458"/>
      <c r="U14" s="458"/>
      <c r="V14" s="723"/>
      <c r="W14" s="458"/>
      <c r="X14" s="458"/>
      <c r="Y14" s="723"/>
      <c r="Z14" s="458"/>
      <c r="AA14" s="458"/>
      <c r="AB14" s="567">
        <f t="shared" si="3"/>
        <v>129.94999999999999</v>
      </c>
      <c r="AC14" s="567">
        <f>'附件4-8甲供材料清单'!M185</f>
        <v>75</v>
      </c>
      <c r="AD14" s="573">
        <v>9</v>
      </c>
      <c r="AE14" s="567">
        <v>48.2</v>
      </c>
      <c r="AF14" s="403">
        <f t="shared" si="4"/>
        <v>0</v>
      </c>
      <c r="AG14" s="403">
        <f t="shared" si="5"/>
        <v>0</v>
      </c>
      <c r="AH14" s="403">
        <f t="shared" si="6"/>
        <v>0</v>
      </c>
      <c r="AI14" s="403">
        <f t="shared" si="7"/>
        <v>0</v>
      </c>
      <c r="AJ14" s="403">
        <f t="shared" si="8"/>
        <v>0</v>
      </c>
      <c r="AK14" s="403">
        <f t="shared" si="9"/>
        <v>0</v>
      </c>
      <c r="AL14" s="403">
        <f t="shared" si="10"/>
        <v>0</v>
      </c>
      <c r="AM14" s="407" t="s">
        <v>244</v>
      </c>
      <c r="AN14" s="468">
        <f t="shared" si="11"/>
        <v>0</v>
      </c>
      <c r="AO14" s="468">
        <f t="shared" si="11"/>
        <v>0</v>
      </c>
      <c r="AP14" s="468">
        <f t="shared" si="11"/>
        <v>0</v>
      </c>
      <c r="AQ14" s="468">
        <f t="shared" si="11"/>
        <v>0</v>
      </c>
      <c r="AR14" s="468">
        <f t="shared" si="11"/>
        <v>0</v>
      </c>
      <c r="AS14" s="468">
        <f t="shared" si="11"/>
        <v>0</v>
      </c>
      <c r="AT14" s="468">
        <f t="shared" si="11"/>
        <v>0</v>
      </c>
      <c r="AU14" s="276"/>
      <c r="AV14" s="468">
        <f>E14*$AC14*(1+$AD14%)</f>
        <v>0</v>
      </c>
      <c r="AW14" s="468">
        <f>J14*$AC14*(1+$AD14%)</f>
        <v>0</v>
      </c>
      <c r="AX14" s="468">
        <f>M14*$AC14*(1+$AD14%)</f>
        <v>0</v>
      </c>
      <c r="AY14" s="468">
        <f>P14*$AC14*(1+$AD14%)</f>
        <v>0</v>
      </c>
      <c r="AZ14" s="468">
        <f>S14*$AC14*(1+$AD14%)</f>
        <v>0</v>
      </c>
      <c r="BA14" s="468">
        <f>V14*$AC14*(1+$AD14%)</f>
        <v>0</v>
      </c>
      <c r="BB14" s="468">
        <f>Y14*$AC14*(1+$AD14%)</f>
        <v>0</v>
      </c>
    </row>
    <row r="15" spans="1:54" ht="33" customHeight="1">
      <c r="A15" s="300"/>
      <c r="B15" s="809">
        <v>3</v>
      </c>
      <c r="C15" s="407" t="s">
        <v>630</v>
      </c>
      <c r="D15" s="809" t="s">
        <v>231</v>
      </c>
      <c r="E15" s="723"/>
      <c r="F15" s="458"/>
      <c r="G15" s="723"/>
      <c r="H15" s="458"/>
      <c r="I15" s="723"/>
      <c r="J15" s="723"/>
      <c r="K15" s="723"/>
      <c r="L15" s="723"/>
      <c r="M15" s="723"/>
      <c r="N15" s="458"/>
      <c r="O15" s="458"/>
      <c r="P15" s="723"/>
      <c r="Q15" s="458"/>
      <c r="R15" s="458"/>
      <c r="S15" s="723"/>
      <c r="T15" s="458"/>
      <c r="U15" s="458"/>
      <c r="V15" s="723"/>
      <c r="W15" s="458"/>
      <c r="X15" s="458"/>
      <c r="Y15" s="723"/>
      <c r="Z15" s="458"/>
      <c r="AA15" s="458"/>
      <c r="AB15" s="567">
        <f t="shared" si="3"/>
        <v>648.5</v>
      </c>
      <c r="AC15" s="567">
        <v>530</v>
      </c>
      <c r="AD15" s="573">
        <v>3</v>
      </c>
      <c r="AE15" s="567">
        <v>102.6</v>
      </c>
      <c r="AF15" s="403">
        <f t="shared" si="4"/>
        <v>0</v>
      </c>
      <c r="AG15" s="403">
        <f t="shared" si="5"/>
        <v>0</v>
      </c>
      <c r="AH15" s="403">
        <f t="shared" si="6"/>
        <v>0</v>
      </c>
      <c r="AI15" s="403">
        <f t="shared" si="7"/>
        <v>0</v>
      </c>
      <c r="AJ15" s="403">
        <f t="shared" si="8"/>
        <v>0</v>
      </c>
      <c r="AK15" s="403">
        <f t="shared" si="9"/>
        <v>0</v>
      </c>
      <c r="AL15" s="403">
        <f t="shared" si="10"/>
        <v>0</v>
      </c>
      <c r="AM15" s="431"/>
      <c r="AN15" s="468"/>
      <c r="AO15" s="468"/>
      <c r="AP15" s="468"/>
      <c r="AQ15" s="468"/>
      <c r="AR15" s="468"/>
      <c r="AS15" s="468"/>
      <c r="AT15" s="468"/>
      <c r="AU15" s="276"/>
      <c r="AV15" s="468"/>
      <c r="AW15" s="468"/>
      <c r="AX15" s="468"/>
      <c r="AY15" s="468"/>
      <c r="AZ15" s="468"/>
      <c r="BA15" s="468"/>
      <c r="BB15" s="468"/>
    </row>
    <row r="16" spans="1:54" ht="33" customHeight="1">
      <c r="A16" s="300"/>
      <c r="B16" s="809">
        <v>4</v>
      </c>
      <c r="C16" s="407" t="s">
        <v>629</v>
      </c>
      <c r="D16" s="809" t="s">
        <v>231</v>
      </c>
      <c r="E16" s="723"/>
      <c r="F16" s="458"/>
      <c r="G16" s="723"/>
      <c r="H16" s="458"/>
      <c r="I16" s="723"/>
      <c r="J16" s="723"/>
      <c r="K16" s="723"/>
      <c r="L16" s="723"/>
      <c r="M16" s="723"/>
      <c r="N16" s="458"/>
      <c r="O16" s="458"/>
      <c r="P16" s="723"/>
      <c r="Q16" s="458"/>
      <c r="R16" s="458"/>
      <c r="S16" s="723"/>
      <c r="T16" s="458"/>
      <c r="U16" s="458"/>
      <c r="V16" s="723"/>
      <c r="W16" s="458"/>
      <c r="X16" s="458"/>
      <c r="Y16" s="723"/>
      <c r="Z16" s="458"/>
      <c r="AA16" s="458"/>
      <c r="AB16" s="567">
        <f t="shared" si="3"/>
        <v>686.3</v>
      </c>
      <c r="AC16" s="567">
        <v>530</v>
      </c>
      <c r="AD16" s="573">
        <v>3</v>
      </c>
      <c r="AE16" s="567">
        <v>140.4</v>
      </c>
      <c r="AF16" s="403">
        <f t="shared" si="4"/>
        <v>0</v>
      </c>
      <c r="AG16" s="403">
        <f t="shared" si="5"/>
        <v>0</v>
      </c>
      <c r="AH16" s="403">
        <f t="shared" si="6"/>
        <v>0</v>
      </c>
      <c r="AI16" s="403">
        <f t="shared" si="7"/>
        <v>0</v>
      </c>
      <c r="AJ16" s="403">
        <f t="shared" si="8"/>
        <v>0</v>
      </c>
      <c r="AK16" s="403">
        <f t="shared" si="9"/>
        <v>0</v>
      </c>
      <c r="AL16" s="403">
        <f t="shared" si="10"/>
        <v>0</v>
      </c>
      <c r="AM16" s="431"/>
      <c r="AN16" s="468"/>
      <c r="AO16" s="468"/>
      <c r="AP16" s="468"/>
      <c r="AQ16" s="468"/>
      <c r="AR16" s="468"/>
      <c r="AS16" s="468"/>
      <c r="AT16" s="468"/>
      <c r="AU16" s="276"/>
      <c r="AV16" s="468"/>
      <c r="AW16" s="468"/>
      <c r="AX16" s="468"/>
      <c r="AY16" s="468"/>
      <c r="AZ16" s="468"/>
      <c r="BA16" s="468"/>
      <c r="BB16" s="468"/>
    </row>
    <row r="17" spans="1:54" ht="33" customHeight="1">
      <c r="A17" s="300"/>
      <c r="B17" s="809">
        <v>5</v>
      </c>
      <c r="C17" s="407" t="s">
        <v>832</v>
      </c>
      <c r="D17" s="809" t="s">
        <v>231</v>
      </c>
      <c r="E17" s="723"/>
      <c r="F17" s="458"/>
      <c r="G17" s="723"/>
      <c r="H17" s="458"/>
      <c r="I17" s="723"/>
      <c r="J17" s="723"/>
      <c r="K17" s="723"/>
      <c r="L17" s="723"/>
      <c r="M17" s="723"/>
      <c r="N17" s="458"/>
      <c r="O17" s="458"/>
      <c r="P17" s="723"/>
      <c r="Q17" s="458"/>
      <c r="R17" s="458"/>
      <c r="S17" s="723"/>
      <c r="T17" s="458"/>
      <c r="U17" s="458"/>
      <c r="V17" s="723"/>
      <c r="W17" s="458"/>
      <c r="X17" s="458"/>
      <c r="Y17" s="723"/>
      <c r="Z17" s="458"/>
      <c r="AA17" s="458"/>
      <c r="AB17" s="567">
        <f t="shared" si="3"/>
        <v>751.09999999999991</v>
      </c>
      <c r="AC17" s="567">
        <v>530</v>
      </c>
      <c r="AD17" s="573">
        <v>3</v>
      </c>
      <c r="AE17" s="567">
        <v>205.2</v>
      </c>
      <c r="AF17" s="403">
        <f t="shared" si="4"/>
        <v>0</v>
      </c>
      <c r="AG17" s="403">
        <f t="shared" si="5"/>
        <v>0</v>
      </c>
      <c r="AH17" s="403">
        <f t="shared" si="6"/>
        <v>0</v>
      </c>
      <c r="AI17" s="403">
        <f t="shared" si="7"/>
        <v>0</v>
      </c>
      <c r="AJ17" s="403">
        <f t="shared" si="8"/>
        <v>0</v>
      </c>
      <c r="AK17" s="403">
        <f t="shared" si="9"/>
        <v>0</v>
      </c>
      <c r="AL17" s="403">
        <f t="shared" si="10"/>
        <v>0</v>
      </c>
      <c r="AM17" s="431"/>
      <c r="AN17" s="468"/>
      <c r="AO17" s="468"/>
      <c r="AP17" s="468"/>
      <c r="AQ17" s="468"/>
      <c r="AR17" s="468"/>
      <c r="AS17" s="468"/>
      <c r="AT17" s="468"/>
      <c r="AU17" s="276"/>
      <c r="AV17" s="468"/>
      <c r="AW17" s="468"/>
      <c r="AX17" s="468"/>
      <c r="AY17" s="468"/>
      <c r="AZ17" s="468"/>
      <c r="BA17" s="468"/>
      <c r="BB17" s="468"/>
    </row>
    <row r="18" spans="1:54" ht="33" customHeight="1">
      <c r="A18" s="300"/>
      <c r="B18" s="809">
        <v>6</v>
      </c>
      <c r="C18" s="407" t="s">
        <v>940</v>
      </c>
      <c r="D18" s="809" t="s">
        <v>231</v>
      </c>
      <c r="E18" s="723"/>
      <c r="F18" s="458"/>
      <c r="G18" s="723"/>
      <c r="H18" s="458"/>
      <c r="I18" s="723"/>
      <c r="J18" s="723"/>
      <c r="K18" s="723"/>
      <c r="L18" s="723"/>
      <c r="M18" s="723"/>
      <c r="N18" s="458"/>
      <c r="O18" s="458"/>
      <c r="P18" s="723"/>
      <c r="Q18" s="458"/>
      <c r="R18" s="458"/>
      <c r="S18" s="723"/>
      <c r="T18" s="458"/>
      <c r="U18" s="458"/>
      <c r="V18" s="723"/>
      <c r="W18" s="458"/>
      <c r="X18" s="458"/>
      <c r="Y18" s="723"/>
      <c r="Z18" s="458"/>
      <c r="AA18" s="458"/>
      <c r="AB18" s="567">
        <f t="shared" si="3"/>
        <v>799.6</v>
      </c>
      <c r="AC18" s="567">
        <v>640</v>
      </c>
      <c r="AD18" s="573">
        <v>3</v>
      </c>
      <c r="AE18" s="567">
        <v>140.4</v>
      </c>
      <c r="AF18" s="403">
        <f t="shared" si="4"/>
        <v>0</v>
      </c>
      <c r="AG18" s="403">
        <f t="shared" si="5"/>
        <v>0</v>
      </c>
      <c r="AH18" s="403">
        <f t="shared" si="6"/>
        <v>0</v>
      </c>
      <c r="AI18" s="403">
        <f t="shared" si="7"/>
        <v>0</v>
      </c>
      <c r="AJ18" s="403">
        <f t="shared" si="8"/>
        <v>0</v>
      </c>
      <c r="AK18" s="403">
        <f t="shared" si="9"/>
        <v>0</v>
      </c>
      <c r="AL18" s="403">
        <f t="shared" si="10"/>
        <v>0</v>
      </c>
      <c r="AM18" s="431"/>
      <c r="AN18" s="468"/>
      <c r="AO18" s="468"/>
      <c r="AP18" s="468"/>
      <c r="AQ18" s="468"/>
      <c r="AR18" s="468"/>
      <c r="AS18" s="468"/>
      <c r="AT18" s="468"/>
      <c r="AU18" s="276"/>
      <c r="AV18" s="468"/>
      <c r="AW18" s="468"/>
      <c r="AX18" s="468"/>
      <c r="AY18" s="468"/>
      <c r="AZ18" s="468"/>
      <c r="BA18" s="468"/>
      <c r="BB18" s="468"/>
    </row>
    <row r="19" spans="1:54" ht="33" customHeight="1">
      <c r="A19" s="300" t="s">
        <v>278</v>
      </c>
      <c r="B19" s="809" t="s">
        <v>233</v>
      </c>
      <c r="C19" s="407" t="s">
        <v>632</v>
      </c>
      <c r="D19" s="809" t="s">
        <v>231</v>
      </c>
      <c r="E19" s="723"/>
      <c r="F19" s="458"/>
      <c r="G19" s="723"/>
      <c r="H19" s="458"/>
      <c r="I19" s="723"/>
      <c r="J19" s="723"/>
      <c r="K19" s="723"/>
      <c r="L19" s="723"/>
      <c r="M19" s="723"/>
      <c r="N19" s="458"/>
      <c r="O19" s="458"/>
      <c r="P19" s="723"/>
      <c r="Q19" s="458"/>
      <c r="R19" s="458"/>
      <c r="S19" s="723"/>
      <c r="T19" s="458"/>
      <c r="U19" s="458"/>
      <c r="V19" s="723"/>
      <c r="W19" s="458"/>
      <c r="X19" s="458"/>
      <c r="Y19" s="723"/>
      <c r="Z19" s="458"/>
      <c r="AA19" s="458"/>
      <c r="AB19" s="567">
        <f t="shared" ref="AB19" si="12">AC19+AC19*AD19/100+AE19</f>
        <v>411.6</v>
      </c>
      <c r="AC19" s="567">
        <v>300</v>
      </c>
      <c r="AD19" s="573">
        <v>3</v>
      </c>
      <c r="AE19" s="567">
        <v>102.6</v>
      </c>
      <c r="AF19" s="403">
        <f t="shared" si="4"/>
        <v>0</v>
      </c>
      <c r="AG19" s="403">
        <f t="shared" si="5"/>
        <v>0</v>
      </c>
      <c r="AH19" s="403">
        <f t="shared" si="6"/>
        <v>0</v>
      </c>
      <c r="AI19" s="403">
        <f t="shared" si="7"/>
        <v>0</v>
      </c>
      <c r="AJ19" s="403">
        <f t="shared" si="8"/>
        <v>0</v>
      </c>
      <c r="AK19" s="403">
        <f t="shared" si="9"/>
        <v>0</v>
      </c>
      <c r="AL19" s="403">
        <f t="shared" si="10"/>
        <v>0</v>
      </c>
      <c r="AM19" s="431"/>
      <c r="AN19" s="468"/>
      <c r="AO19" s="468"/>
      <c r="AP19" s="468"/>
      <c r="AQ19" s="468"/>
      <c r="AR19" s="468"/>
      <c r="AS19" s="468"/>
      <c r="AT19" s="468"/>
      <c r="AU19" s="276"/>
      <c r="AV19" s="468"/>
      <c r="AW19" s="468"/>
      <c r="AX19" s="468"/>
      <c r="AY19" s="468"/>
      <c r="AZ19" s="468"/>
      <c r="BA19" s="468"/>
      <c r="BB19" s="468"/>
    </row>
    <row r="20" spans="1:54" ht="33" customHeight="1">
      <c r="A20" s="300" t="s">
        <v>278</v>
      </c>
      <c r="B20" s="809" t="s">
        <v>233</v>
      </c>
      <c r="C20" s="407" t="s">
        <v>631</v>
      </c>
      <c r="D20" s="809" t="s">
        <v>231</v>
      </c>
      <c r="E20" s="723"/>
      <c r="F20" s="458"/>
      <c r="G20" s="723"/>
      <c r="H20" s="458"/>
      <c r="I20" s="723"/>
      <c r="J20" s="723"/>
      <c r="K20" s="723"/>
      <c r="L20" s="723"/>
      <c r="M20" s="723"/>
      <c r="N20" s="458"/>
      <c r="O20" s="458"/>
      <c r="P20" s="723"/>
      <c r="Q20" s="458"/>
      <c r="R20" s="458"/>
      <c r="S20" s="723"/>
      <c r="T20" s="458"/>
      <c r="U20" s="458"/>
      <c r="V20" s="723"/>
      <c r="W20" s="458"/>
      <c r="X20" s="458"/>
      <c r="Y20" s="723"/>
      <c r="Z20" s="458"/>
      <c r="AA20" s="458"/>
      <c r="AB20" s="567">
        <f>AC20+AC20*AD20/100+AE20</f>
        <v>449.4</v>
      </c>
      <c r="AC20" s="567">
        <v>300</v>
      </c>
      <c r="AD20" s="573">
        <v>3</v>
      </c>
      <c r="AE20" s="567">
        <v>140.4</v>
      </c>
      <c r="AF20" s="403">
        <f t="shared" si="4"/>
        <v>0</v>
      </c>
      <c r="AG20" s="403">
        <f t="shared" si="5"/>
        <v>0</v>
      </c>
      <c r="AH20" s="403">
        <f t="shared" si="6"/>
        <v>0</v>
      </c>
      <c r="AI20" s="403">
        <f t="shared" si="7"/>
        <v>0</v>
      </c>
      <c r="AJ20" s="403">
        <f t="shared" si="8"/>
        <v>0</v>
      </c>
      <c r="AK20" s="403">
        <f t="shared" si="9"/>
        <v>0</v>
      </c>
      <c r="AL20" s="403">
        <f t="shared" si="10"/>
        <v>0</v>
      </c>
      <c r="AM20" s="431"/>
      <c r="AN20" s="468"/>
      <c r="AO20" s="468"/>
      <c r="AP20" s="468"/>
      <c r="AQ20" s="468"/>
      <c r="AR20" s="468"/>
      <c r="AS20" s="468"/>
      <c r="AT20" s="468"/>
      <c r="AU20" s="276"/>
      <c r="AV20" s="468"/>
      <c r="AW20" s="468"/>
      <c r="AX20" s="468"/>
      <c r="AY20" s="468"/>
      <c r="AZ20" s="468"/>
      <c r="BA20" s="468"/>
      <c r="BB20" s="468"/>
    </row>
    <row r="21" spans="1:54" ht="33" customHeight="1">
      <c r="A21" s="300" t="s">
        <v>278</v>
      </c>
      <c r="B21" s="809" t="s">
        <v>233</v>
      </c>
      <c r="C21" s="407" t="s">
        <v>833</v>
      </c>
      <c r="D21" s="809" t="s">
        <v>231</v>
      </c>
      <c r="E21" s="723"/>
      <c r="F21" s="458"/>
      <c r="G21" s="723"/>
      <c r="H21" s="458"/>
      <c r="I21" s="723"/>
      <c r="J21" s="723"/>
      <c r="K21" s="723"/>
      <c r="L21" s="723"/>
      <c r="M21" s="723"/>
      <c r="N21" s="458"/>
      <c r="O21" s="458"/>
      <c r="P21" s="723"/>
      <c r="Q21" s="458"/>
      <c r="R21" s="458"/>
      <c r="S21" s="723"/>
      <c r="T21" s="458"/>
      <c r="U21" s="458"/>
      <c r="V21" s="723"/>
      <c r="W21" s="458"/>
      <c r="X21" s="458"/>
      <c r="Y21" s="723"/>
      <c r="Z21" s="458"/>
      <c r="AA21" s="458"/>
      <c r="AB21" s="567">
        <f t="shared" ref="AB21" si="13">AC21+AC21*AD21/100+AE21</f>
        <v>514.20000000000005</v>
      </c>
      <c r="AC21" s="567">
        <v>300</v>
      </c>
      <c r="AD21" s="573">
        <v>3</v>
      </c>
      <c r="AE21" s="567">
        <v>205.2</v>
      </c>
      <c r="AF21" s="403">
        <f t="shared" si="4"/>
        <v>0</v>
      </c>
      <c r="AG21" s="403">
        <f t="shared" si="5"/>
        <v>0</v>
      </c>
      <c r="AH21" s="403">
        <f t="shared" si="6"/>
        <v>0</v>
      </c>
      <c r="AI21" s="403">
        <f t="shared" si="7"/>
        <v>0</v>
      </c>
      <c r="AJ21" s="403">
        <f t="shared" si="8"/>
        <v>0</v>
      </c>
      <c r="AK21" s="403">
        <f t="shared" si="9"/>
        <v>0</v>
      </c>
      <c r="AL21" s="403">
        <f t="shared" si="10"/>
        <v>0</v>
      </c>
      <c r="AM21" s="431"/>
      <c r="AN21" s="468"/>
      <c r="AO21" s="468"/>
      <c r="AP21" s="468"/>
      <c r="AQ21" s="468"/>
      <c r="AR21" s="468"/>
      <c r="AS21" s="468"/>
      <c r="AT21" s="468"/>
      <c r="AU21" s="276"/>
      <c r="AV21" s="468"/>
      <c r="AW21" s="468"/>
      <c r="AX21" s="468"/>
      <c r="AY21" s="468"/>
      <c r="AZ21" s="468"/>
      <c r="BA21" s="468"/>
      <c r="BB21" s="468"/>
    </row>
    <row r="22" spans="1:54" ht="33" customHeight="1">
      <c r="A22" s="300"/>
      <c r="B22" s="809">
        <v>7</v>
      </c>
      <c r="C22" s="407" t="s">
        <v>941</v>
      </c>
      <c r="D22" s="809" t="s">
        <v>235</v>
      </c>
      <c r="E22" s="723"/>
      <c r="F22" s="458"/>
      <c r="G22" s="723"/>
      <c r="H22" s="458"/>
      <c r="I22" s="723"/>
      <c r="J22" s="723"/>
      <c r="K22" s="723"/>
      <c r="L22" s="723"/>
      <c r="M22" s="723"/>
      <c r="N22" s="458"/>
      <c r="O22" s="458"/>
      <c r="P22" s="723"/>
      <c r="Q22" s="458"/>
      <c r="R22" s="458"/>
      <c r="S22" s="723"/>
      <c r="T22" s="458"/>
      <c r="U22" s="458"/>
      <c r="V22" s="723"/>
      <c r="W22" s="458"/>
      <c r="X22" s="458"/>
      <c r="Y22" s="723"/>
      <c r="Z22" s="458"/>
      <c r="AA22" s="458"/>
      <c r="AB22" s="567">
        <f t="shared" ref="AB22:AB32" si="14">AC22+AC22*AD22/100+AE22</f>
        <v>30.278400000000001</v>
      </c>
      <c r="AC22" s="567">
        <v>23.28</v>
      </c>
      <c r="AD22" s="573">
        <v>3</v>
      </c>
      <c r="AE22" s="567">
        <v>6.3</v>
      </c>
      <c r="AF22" s="403">
        <f t="shared" si="4"/>
        <v>0</v>
      </c>
      <c r="AG22" s="403">
        <f t="shared" si="5"/>
        <v>0</v>
      </c>
      <c r="AH22" s="403">
        <f t="shared" si="6"/>
        <v>0</v>
      </c>
      <c r="AI22" s="403">
        <f t="shared" si="7"/>
        <v>0</v>
      </c>
      <c r="AJ22" s="403">
        <f t="shared" si="8"/>
        <v>0</v>
      </c>
      <c r="AK22" s="403">
        <f t="shared" si="9"/>
        <v>0</v>
      </c>
      <c r="AL22" s="403">
        <f t="shared" si="10"/>
        <v>0</v>
      </c>
      <c r="AM22" s="407"/>
      <c r="AN22" s="468"/>
      <c r="AO22" s="468"/>
      <c r="AP22" s="468"/>
      <c r="AQ22" s="468"/>
      <c r="AR22" s="468"/>
      <c r="AS22" s="468"/>
      <c r="AT22" s="468"/>
      <c r="AU22" s="276"/>
      <c r="AV22" s="468"/>
      <c r="AW22" s="468"/>
      <c r="AX22" s="468"/>
      <c r="AY22" s="468"/>
      <c r="AZ22" s="468"/>
      <c r="BA22" s="468"/>
      <c r="BB22" s="468"/>
    </row>
    <row r="23" spans="1:54" ht="33" customHeight="1">
      <c r="A23" s="300"/>
      <c r="B23" s="809">
        <v>9</v>
      </c>
      <c r="C23" s="407" t="s">
        <v>942</v>
      </c>
      <c r="D23" s="809" t="s">
        <v>235</v>
      </c>
      <c r="E23" s="723"/>
      <c r="F23" s="458"/>
      <c r="G23" s="723"/>
      <c r="H23" s="458"/>
      <c r="I23" s="723"/>
      <c r="J23" s="723"/>
      <c r="K23" s="723"/>
      <c r="L23" s="723"/>
      <c r="M23" s="723"/>
      <c r="N23" s="458"/>
      <c r="O23" s="458"/>
      <c r="P23" s="723"/>
      <c r="Q23" s="458"/>
      <c r="R23" s="458"/>
      <c r="S23" s="723"/>
      <c r="T23" s="458"/>
      <c r="U23" s="458"/>
      <c r="V23" s="723"/>
      <c r="W23" s="458"/>
      <c r="X23" s="458"/>
      <c r="Y23" s="723"/>
      <c r="Z23" s="458"/>
      <c r="AA23" s="458"/>
      <c r="AB23" s="567">
        <f t="shared" si="14"/>
        <v>60.556800000000003</v>
      </c>
      <c r="AC23" s="567">
        <v>46.56</v>
      </c>
      <c r="AD23" s="573">
        <v>3</v>
      </c>
      <c r="AE23" s="567">
        <v>12.6</v>
      </c>
      <c r="AF23" s="403">
        <f t="shared" si="4"/>
        <v>0</v>
      </c>
      <c r="AG23" s="403">
        <f t="shared" si="5"/>
        <v>0</v>
      </c>
      <c r="AH23" s="403">
        <f t="shared" si="6"/>
        <v>0</v>
      </c>
      <c r="AI23" s="403">
        <f t="shared" si="7"/>
        <v>0</v>
      </c>
      <c r="AJ23" s="403">
        <f t="shared" si="8"/>
        <v>0</v>
      </c>
      <c r="AK23" s="403">
        <f t="shared" si="9"/>
        <v>0</v>
      </c>
      <c r="AL23" s="403">
        <f t="shared" si="10"/>
        <v>0</v>
      </c>
      <c r="AM23" s="407"/>
      <c r="AN23" s="468"/>
      <c r="AO23" s="468"/>
      <c r="AP23" s="468"/>
      <c r="AQ23" s="468"/>
      <c r="AR23" s="468"/>
      <c r="AS23" s="468"/>
      <c r="AT23" s="468"/>
      <c r="AU23" s="276"/>
      <c r="AV23" s="468"/>
      <c r="AW23" s="468"/>
      <c r="AX23" s="468"/>
      <c r="AY23" s="468"/>
      <c r="AZ23" s="468"/>
      <c r="BA23" s="468"/>
      <c r="BB23" s="468"/>
    </row>
    <row r="24" spans="1:54" ht="33" customHeight="1">
      <c r="A24" s="300"/>
      <c r="B24" s="809">
        <v>10</v>
      </c>
      <c r="C24" s="407" t="s">
        <v>943</v>
      </c>
      <c r="D24" s="809" t="s">
        <v>235</v>
      </c>
      <c r="E24" s="723"/>
      <c r="F24" s="458"/>
      <c r="G24" s="723"/>
      <c r="H24" s="458"/>
      <c r="I24" s="723"/>
      <c r="J24" s="723"/>
      <c r="K24" s="723"/>
      <c r="L24" s="723"/>
      <c r="M24" s="723"/>
      <c r="N24" s="458"/>
      <c r="O24" s="458"/>
      <c r="P24" s="723"/>
      <c r="Q24" s="458"/>
      <c r="R24" s="458"/>
      <c r="S24" s="723"/>
      <c r="T24" s="458"/>
      <c r="U24" s="458"/>
      <c r="V24" s="723"/>
      <c r="W24" s="458"/>
      <c r="X24" s="458"/>
      <c r="Y24" s="723"/>
      <c r="Z24" s="458"/>
      <c r="AA24" s="458"/>
      <c r="AB24" s="567">
        <f t="shared" si="14"/>
        <v>75.695999999999998</v>
      </c>
      <c r="AC24" s="567">
        <v>58.2</v>
      </c>
      <c r="AD24" s="573">
        <v>3</v>
      </c>
      <c r="AE24" s="567">
        <v>15.75</v>
      </c>
      <c r="AF24" s="403">
        <f t="shared" si="4"/>
        <v>0</v>
      </c>
      <c r="AG24" s="403">
        <f t="shared" si="5"/>
        <v>0</v>
      </c>
      <c r="AH24" s="403">
        <f t="shared" si="6"/>
        <v>0</v>
      </c>
      <c r="AI24" s="403">
        <f t="shared" si="7"/>
        <v>0</v>
      </c>
      <c r="AJ24" s="403">
        <f t="shared" si="8"/>
        <v>0</v>
      </c>
      <c r="AK24" s="403">
        <f t="shared" si="9"/>
        <v>0</v>
      </c>
      <c r="AL24" s="403">
        <f t="shared" si="10"/>
        <v>0</v>
      </c>
      <c r="AM24" s="407"/>
      <c r="AN24" s="468"/>
      <c r="AO24" s="468"/>
      <c r="AP24" s="468"/>
      <c r="AQ24" s="468"/>
      <c r="AR24" s="468"/>
      <c r="AS24" s="468"/>
      <c r="AT24" s="468"/>
      <c r="AU24" s="276"/>
      <c r="AV24" s="468"/>
      <c r="AW24" s="468"/>
      <c r="AX24" s="468"/>
      <c r="AY24" s="468"/>
      <c r="AZ24" s="468"/>
      <c r="BA24" s="468"/>
      <c r="BB24" s="468"/>
    </row>
    <row r="25" spans="1:54" s="818" customFormat="1" ht="32.25" customHeight="1">
      <c r="A25" s="300"/>
      <c r="B25" s="635" t="s">
        <v>62</v>
      </c>
      <c r="C25" s="636" t="s">
        <v>261</v>
      </c>
      <c r="D25" s="635"/>
      <c r="E25" s="636" t="s">
        <v>1859</v>
      </c>
      <c r="F25" s="636"/>
      <c r="G25" s="636"/>
      <c r="H25" s="636"/>
      <c r="I25" s="636"/>
      <c r="J25" s="636"/>
      <c r="K25" s="636"/>
      <c r="L25" s="636"/>
      <c r="M25" s="636"/>
      <c r="N25" s="636"/>
      <c r="O25" s="636"/>
      <c r="P25" s="636"/>
      <c r="Q25" s="636"/>
      <c r="R25" s="636"/>
      <c r="S25" s="636"/>
      <c r="T25" s="636"/>
      <c r="U25" s="636"/>
      <c r="V25" s="636"/>
      <c r="W25" s="636"/>
      <c r="X25" s="636"/>
      <c r="Y25" s="636"/>
      <c r="Z25" s="636"/>
      <c r="AA25" s="636"/>
      <c r="AB25" s="636"/>
      <c r="AC25" s="636"/>
      <c r="AD25" s="636"/>
      <c r="AE25" s="636"/>
      <c r="AF25" s="636"/>
      <c r="AG25" s="636"/>
      <c r="AH25" s="636"/>
      <c r="AI25" s="636"/>
      <c r="AJ25" s="636"/>
      <c r="AK25" s="636"/>
      <c r="AL25" s="636"/>
      <c r="AM25" s="636" t="s">
        <v>1868</v>
      </c>
      <c r="AN25" s="808"/>
      <c r="AO25" s="808"/>
      <c r="AP25" s="808"/>
      <c r="AQ25" s="808"/>
      <c r="AR25" s="808"/>
      <c r="AS25" s="808"/>
      <c r="AT25" s="808"/>
      <c r="AU25" s="275"/>
      <c r="AV25" s="808"/>
      <c r="AW25" s="808"/>
      <c r="AX25" s="808"/>
      <c r="AY25" s="808"/>
      <c r="AZ25" s="808"/>
      <c r="BA25" s="808"/>
      <c r="BB25" s="808"/>
    </row>
    <row r="26" spans="1:54" ht="43.5" customHeight="1">
      <c r="A26" s="300"/>
      <c r="B26" s="809">
        <v>1</v>
      </c>
      <c r="C26" s="407" t="s">
        <v>944</v>
      </c>
      <c r="D26" s="809" t="s">
        <v>231</v>
      </c>
      <c r="E26" s="723"/>
      <c r="F26" s="458"/>
      <c r="G26" s="723"/>
      <c r="H26" s="458"/>
      <c r="I26" s="723"/>
      <c r="J26" s="723"/>
      <c r="K26" s="723"/>
      <c r="L26" s="723"/>
      <c r="M26" s="723"/>
      <c r="N26" s="458"/>
      <c r="O26" s="458"/>
      <c r="P26" s="723"/>
      <c r="Q26" s="458"/>
      <c r="R26" s="458"/>
      <c r="S26" s="723"/>
      <c r="T26" s="458"/>
      <c r="U26" s="458"/>
      <c r="V26" s="723"/>
      <c r="W26" s="458"/>
      <c r="X26" s="458"/>
      <c r="Y26" s="723"/>
      <c r="Z26" s="458"/>
      <c r="AA26" s="458"/>
      <c r="AB26" s="567">
        <f t="shared" si="14"/>
        <v>135.47466666666668</v>
      </c>
      <c r="AC26" s="567">
        <f>'附件4-8甲供材料清单'!M186</f>
        <v>66.666666666666671</v>
      </c>
      <c r="AD26" s="573">
        <v>10.5</v>
      </c>
      <c r="AE26" s="567">
        <v>61.808</v>
      </c>
      <c r="AF26" s="403">
        <f t="shared" ref="AF26:AF49" si="15">E26*$AB26</f>
        <v>0</v>
      </c>
      <c r="AG26" s="403">
        <f t="shared" ref="AG26:AG49" si="16">J26*$AB26</f>
        <v>0</v>
      </c>
      <c r="AH26" s="403">
        <f t="shared" ref="AH26:AH49" si="17">M26*$AB26</f>
        <v>0</v>
      </c>
      <c r="AI26" s="403">
        <f t="shared" ref="AI26:AI49" si="18">P26*$AB26</f>
        <v>0</v>
      </c>
      <c r="AJ26" s="403">
        <f t="shared" ref="AJ26:AJ49" si="19">S26*$AB26</f>
        <v>0</v>
      </c>
      <c r="AK26" s="403">
        <f t="shared" ref="AK26:AK49" si="20">V26*$AB26</f>
        <v>0</v>
      </c>
      <c r="AL26" s="403">
        <f t="shared" ref="AL26:AL49" si="21">Y26*$AB26</f>
        <v>0</v>
      </c>
      <c r="AM26" s="407" t="s">
        <v>244</v>
      </c>
      <c r="AN26" s="468">
        <f t="shared" ref="AN26:AT31" si="22">AF26</f>
        <v>0</v>
      </c>
      <c r="AO26" s="468">
        <f t="shared" si="22"/>
        <v>0</v>
      </c>
      <c r="AP26" s="468">
        <f t="shared" si="22"/>
        <v>0</v>
      </c>
      <c r="AQ26" s="468">
        <f t="shared" si="22"/>
        <v>0</v>
      </c>
      <c r="AR26" s="468">
        <f t="shared" si="22"/>
        <v>0</v>
      </c>
      <c r="AS26" s="468">
        <f t="shared" si="22"/>
        <v>0</v>
      </c>
      <c r="AT26" s="468">
        <f t="shared" si="22"/>
        <v>0</v>
      </c>
      <c r="AU26" s="276"/>
      <c r="AV26" s="468">
        <f t="shared" ref="AV26:AV31" si="23">E26*$AC26*(1+$AD26%)</f>
        <v>0</v>
      </c>
      <c r="AW26" s="468">
        <f t="shared" ref="AW26:AW31" si="24">J26*$AC26*(1+$AD26%)</f>
        <v>0</v>
      </c>
      <c r="AX26" s="468">
        <f t="shared" ref="AX26:AX31" si="25">M26*$AC26*(1+$AD26%)</f>
        <v>0</v>
      </c>
      <c r="AY26" s="468">
        <f t="shared" ref="AY26:AY31" si="26">P26*$AC26*(1+$AD26%)</f>
        <v>0</v>
      </c>
      <c r="AZ26" s="468">
        <f t="shared" ref="AZ26:AZ31" si="27">S26*$AC26*(1+$AD26%)</f>
        <v>0</v>
      </c>
      <c r="BA26" s="468">
        <f t="shared" ref="BA26:BA31" si="28">V26*$AC26*(1+$AD26%)</f>
        <v>0</v>
      </c>
      <c r="BB26" s="468">
        <f t="shared" ref="BB26:BB31" si="29">Y26*$AC26*(1+$AD26%)</f>
        <v>0</v>
      </c>
    </row>
    <row r="27" spans="1:54" ht="82.5" customHeight="1">
      <c r="A27" s="300"/>
      <c r="B27" s="821" t="s">
        <v>233</v>
      </c>
      <c r="C27" s="479" t="s">
        <v>945</v>
      </c>
      <c r="D27" s="822" t="s">
        <v>231</v>
      </c>
      <c r="E27" s="723"/>
      <c r="F27" s="458"/>
      <c r="G27" s="723"/>
      <c r="H27" s="458"/>
      <c r="I27" s="723"/>
      <c r="J27" s="723"/>
      <c r="K27" s="723"/>
      <c r="L27" s="723"/>
      <c r="M27" s="723"/>
      <c r="N27" s="458"/>
      <c r="O27" s="458"/>
      <c r="P27" s="723"/>
      <c r="Q27" s="458"/>
      <c r="R27" s="458"/>
      <c r="S27" s="723"/>
      <c r="T27" s="458"/>
      <c r="U27" s="458"/>
      <c r="V27" s="723"/>
      <c r="W27" s="458"/>
      <c r="X27" s="458"/>
      <c r="Y27" s="723"/>
      <c r="Z27" s="458"/>
      <c r="AA27" s="458"/>
      <c r="AB27" s="567">
        <f t="shared" si="14"/>
        <v>158.47666666666669</v>
      </c>
      <c r="AC27" s="567">
        <f>'附件4-8甲供材料清单'!M186</f>
        <v>66.666666666666671</v>
      </c>
      <c r="AD27" s="573">
        <v>10.5</v>
      </c>
      <c r="AE27" s="567">
        <v>84.81</v>
      </c>
      <c r="AF27" s="403">
        <f t="shared" si="15"/>
        <v>0</v>
      </c>
      <c r="AG27" s="403">
        <f t="shared" si="16"/>
        <v>0</v>
      </c>
      <c r="AH27" s="403">
        <f t="shared" si="17"/>
        <v>0</v>
      </c>
      <c r="AI27" s="403">
        <f t="shared" si="18"/>
        <v>0</v>
      </c>
      <c r="AJ27" s="403">
        <f t="shared" si="19"/>
        <v>0</v>
      </c>
      <c r="AK27" s="403">
        <f t="shared" si="20"/>
        <v>0</v>
      </c>
      <c r="AL27" s="403">
        <f t="shared" si="21"/>
        <v>0</v>
      </c>
      <c r="AM27" s="407" t="s">
        <v>244</v>
      </c>
      <c r="AN27" s="468">
        <f t="shared" si="22"/>
        <v>0</v>
      </c>
      <c r="AO27" s="468">
        <f t="shared" si="22"/>
        <v>0</v>
      </c>
      <c r="AP27" s="468">
        <f t="shared" si="22"/>
        <v>0</v>
      </c>
      <c r="AQ27" s="468">
        <f t="shared" si="22"/>
        <v>0</v>
      </c>
      <c r="AR27" s="468">
        <f t="shared" si="22"/>
        <v>0</v>
      </c>
      <c r="AS27" s="468">
        <f t="shared" si="22"/>
        <v>0</v>
      </c>
      <c r="AT27" s="468">
        <f t="shared" si="22"/>
        <v>0</v>
      </c>
      <c r="AU27" s="276"/>
      <c r="AV27" s="468">
        <f t="shared" si="23"/>
        <v>0</v>
      </c>
      <c r="AW27" s="468">
        <f t="shared" si="24"/>
        <v>0</v>
      </c>
      <c r="AX27" s="468">
        <f t="shared" si="25"/>
        <v>0</v>
      </c>
      <c r="AY27" s="468">
        <f t="shared" si="26"/>
        <v>0</v>
      </c>
      <c r="AZ27" s="468">
        <f t="shared" si="27"/>
        <v>0</v>
      </c>
      <c r="BA27" s="468">
        <f t="shared" si="28"/>
        <v>0</v>
      </c>
      <c r="BB27" s="468">
        <f t="shared" si="29"/>
        <v>0</v>
      </c>
    </row>
    <row r="28" spans="1:54" ht="101.25">
      <c r="A28" s="300"/>
      <c r="B28" s="821" t="s">
        <v>233</v>
      </c>
      <c r="C28" s="479" t="s">
        <v>721</v>
      </c>
      <c r="D28" s="822" t="s">
        <v>231</v>
      </c>
      <c r="E28" s="723"/>
      <c r="F28" s="458"/>
      <c r="G28" s="723"/>
      <c r="H28" s="458"/>
      <c r="I28" s="723"/>
      <c r="J28" s="723"/>
      <c r="K28" s="723"/>
      <c r="L28" s="723"/>
      <c r="M28" s="723"/>
      <c r="N28" s="458"/>
      <c r="O28" s="458"/>
      <c r="P28" s="723"/>
      <c r="Q28" s="458"/>
      <c r="R28" s="458"/>
      <c r="S28" s="723"/>
      <c r="T28" s="458"/>
      <c r="U28" s="458"/>
      <c r="V28" s="723"/>
      <c r="W28" s="458"/>
      <c r="X28" s="458"/>
      <c r="Y28" s="723"/>
      <c r="Z28" s="458"/>
      <c r="AA28" s="458"/>
      <c r="AB28" s="567">
        <f t="shared" si="14"/>
        <v>164.47666666666669</v>
      </c>
      <c r="AC28" s="567">
        <f>'附件4-8甲供材料清单'!M186</f>
        <v>66.666666666666671</v>
      </c>
      <c r="AD28" s="573">
        <v>10.5</v>
      </c>
      <c r="AE28" s="567">
        <v>90.81</v>
      </c>
      <c r="AF28" s="403">
        <f t="shared" si="15"/>
        <v>0</v>
      </c>
      <c r="AG28" s="403">
        <f t="shared" si="16"/>
        <v>0</v>
      </c>
      <c r="AH28" s="403">
        <f t="shared" si="17"/>
        <v>0</v>
      </c>
      <c r="AI28" s="403">
        <f t="shared" si="18"/>
        <v>0</v>
      </c>
      <c r="AJ28" s="403">
        <f t="shared" si="19"/>
        <v>0</v>
      </c>
      <c r="AK28" s="403">
        <f t="shared" si="20"/>
        <v>0</v>
      </c>
      <c r="AL28" s="403">
        <f t="shared" si="21"/>
        <v>0</v>
      </c>
      <c r="AM28" s="407" t="s">
        <v>244</v>
      </c>
      <c r="AN28" s="468">
        <f t="shared" si="22"/>
        <v>0</v>
      </c>
      <c r="AO28" s="468">
        <f t="shared" si="22"/>
        <v>0</v>
      </c>
      <c r="AP28" s="468">
        <f t="shared" si="22"/>
        <v>0</v>
      </c>
      <c r="AQ28" s="468">
        <f t="shared" si="22"/>
        <v>0</v>
      </c>
      <c r="AR28" s="468">
        <f t="shared" si="22"/>
        <v>0</v>
      </c>
      <c r="AS28" s="468">
        <f t="shared" si="22"/>
        <v>0</v>
      </c>
      <c r="AT28" s="468">
        <f t="shared" si="22"/>
        <v>0</v>
      </c>
      <c r="AU28" s="276"/>
      <c r="AV28" s="468">
        <f t="shared" si="23"/>
        <v>0</v>
      </c>
      <c r="AW28" s="468">
        <f t="shared" si="24"/>
        <v>0</v>
      </c>
      <c r="AX28" s="468">
        <f t="shared" si="25"/>
        <v>0</v>
      </c>
      <c r="AY28" s="468">
        <f t="shared" si="26"/>
        <v>0</v>
      </c>
      <c r="AZ28" s="468">
        <f t="shared" si="27"/>
        <v>0</v>
      </c>
      <c r="BA28" s="468">
        <f t="shared" si="28"/>
        <v>0</v>
      </c>
      <c r="BB28" s="468">
        <f t="shared" si="29"/>
        <v>0</v>
      </c>
    </row>
    <row r="29" spans="1:54" ht="82.5" customHeight="1">
      <c r="A29" s="300"/>
      <c r="B29" s="821" t="s">
        <v>233</v>
      </c>
      <c r="C29" s="479" t="s">
        <v>946</v>
      </c>
      <c r="D29" s="822" t="s">
        <v>231</v>
      </c>
      <c r="E29" s="723"/>
      <c r="F29" s="458"/>
      <c r="G29" s="723"/>
      <c r="H29" s="458"/>
      <c r="I29" s="723"/>
      <c r="J29" s="723"/>
      <c r="K29" s="723"/>
      <c r="L29" s="723"/>
      <c r="M29" s="723"/>
      <c r="N29" s="458"/>
      <c r="O29" s="458"/>
      <c r="P29" s="723"/>
      <c r="Q29" s="458"/>
      <c r="R29" s="458"/>
      <c r="S29" s="723"/>
      <c r="T29" s="458"/>
      <c r="U29" s="458"/>
      <c r="V29" s="723"/>
      <c r="W29" s="458"/>
      <c r="X29" s="458"/>
      <c r="Y29" s="723"/>
      <c r="Z29" s="458"/>
      <c r="AA29" s="458"/>
      <c r="AB29" s="567">
        <f t="shared" si="14"/>
        <v>150.15666666666667</v>
      </c>
      <c r="AC29" s="567">
        <f>'附件4-8甲供材料清单'!M186</f>
        <v>66.666666666666671</v>
      </c>
      <c r="AD29" s="573">
        <v>10.5</v>
      </c>
      <c r="AE29" s="567">
        <v>76.489999999999995</v>
      </c>
      <c r="AF29" s="403">
        <f t="shared" si="15"/>
        <v>0</v>
      </c>
      <c r="AG29" s="403">
        <f t="shared" si="16"/>
        <v>0</v>
      </c>
      <c r="AH29" s="403">
        <f t="shared" si="17"/>
        <v>0</v>
      </c>
      <c r="AI29" s="403">
        <f t="shared" si="18"/>
        <v>0</v>
      </c>
      <c r="AJ29" s="403">
        <f t="shared" si="19"/>
        <v>0</v>
      </c>
      <c r="AK29" s="403">
        <f t="shared" si="20"/>
        <v>0</v>
      </c>
      <c r="AL29" s="403">
        <f t="shared" si="21"/>
        <v>0</v>
      </c>
      <c r="AM29" s="407" t="s">
        <v>244</v>
      </c>
      <c r="AN29" s="468">
        <f t="shared" si="22"/>
        <v>0</v>
      </c>
      <c r="AO29" s="468">
        <f t="shared" si="22"/>
        <v>0</v>
      </c>
      <c r="AP29" s="468">
        <f t="shared" si="22"/>
        <v>0</v>
      </c>
      <c r="AQ29" s="468">
        <f t="shared" si="22"/>
        <v>0</v>
      </c>
      <c r="AR29" s="468">
        <f t="shared" si="22"/>
        <v>0</v>
      </c>
      <c r="AS29" s="468">
        <f t="shared" si="22"/>
        <v>0</v>
      </c>
      <c r="AT29" s="468">
        <f t="shared" si="22"/>
        <v>0</v>
      </c>
      <c r="AU29" s="276"/>
      <c r="AV29" s="468">
        <f t="shared" si="23"/>
        <v>0</v>
      </c>
      <c r="AW29" s="468">
        <f t="shared" si="24"/>
        <v>0</v>
      </c>
      <c r="AX29" s="468">
        <f t="shared" si="25"/>
        <v>0</v>
      </c>
      <c r="AY29" s="468">
        <f t="shared" si="26"/>
        <v>0</v>
      </c>
      <c r="AZ29" s="468">
        <f t="shared" si="27"/>
        <v>0</v>
      </c>
      <c r="BA29" s="468">
        <f t="shared" si="28"/>
        <v>0</v>
      </c>
      <c r="BB29" s="468">
        <f t="shared" si="29"/>
        <v>0</v>
      </c>
    </row>
    <row r="30" spans="1:54" ht="101.25">
      <c r="A30" s="300"/>
      <c r="B30" s="821" t="s">
        <v>233</v>
      </c>
      <c r="C30" s="479" t="s">
        <v>723</v>
      </c>
      <c r="D30" s="822" t="s">
        <v>231</v>
      </c>
      <c r="E30" s="723"/>
      <c r="F30" s="458"/>
      <c r="G30" s="723"/>
      <c r="H30" s="458"/>
      <c r="I30" s="723"/>
      <c r="J30" s="723"/>
      <c r="K30" s="723"/>
      <c r="L30" s="723"/>
      <c r="M30" s="723"/>
      <c r="N30" s="458"/>
      <c r="O30" s="458"/>
      <c r="P30" s="723"/>
      <c r="Q30" s="458"/>
      <c r="R30" s="458"/>
      <c r="S30" s="723"/>
      <c r="T30" s="458"/>
      <c r="U30" s="458"/>
      <c r="V30" s="723"/>
      <c r="W30" s="458"/>
      <c r="X30" s="458"/>
      <c r="Y30" s="723"/>
      <c r="Z30" s="458"/>
      <c r="AA30" s="458"/>
      <c r="AB30" s="567">
        <f t="shared" si="14"/>
        <v>156.15666666666667</v>
      </c>
      <c r="AC30" s="567">
        <f>'附件4-8甲供材料清单'!M186</f>
        <v>66.666666666666671</v>
      </c>
      <c r="AD30" s="573">
        <v>10.5</v>
      </c>
      <c r="AE30" s="567">
        <v>82.49</v>
      </c>
      <c r="AF30" s="403">
        <f t="shared" si="15"/>
        <v>0</v>
      </c>
      <c r="AG30" s="403">
        <f t="shared" si="16"/>
        <v>0</v>
      </c>
      <c r="AH30" s="403">
        <f t="shared" si="17"/>
        <v>0</v>
      </c>
      <c r="AI30" s="403">
        <f t="shared" si="18"/>
        <v>0</v>
      </c>
      <c r="AJ30" s="403">
        <f t="shared" si="19"/>
        <v>0</v>
      </c>
      <c r="AK30" s="403">
        <f t="shared" si="20"/>
        <v>0</v>
      </c>
      <c r="AL30" s="403">
        <f t="shared" si="21"/>
        <v>0</v>
      </c>
      <c r="AM30" s="407" t="s">
        <v>244</v>
      </c>
      <c r="AN30" s="468">
        <f t="shared" si="22"/>
        <v>0</v>
      </c>
      <c r="AO30" s="468">
        <f t="shared" si="22"/>
        <v>0</v>
      </c>
      <c r="AP30" s="468">
        <f t="shared" si="22"/>
        <v>0</v>
      </c>
      <c r="AQ30" s="468">
        <f t="shared" si="22"/>
        <v>0</v>
      </c>
      <c r="AR30" s="468">
        <f t="shared" si="22"/>
        <v>0</v>
      </c>
      <c r="AS30" s="468">
        <f t="shared" si="22"/>
        <v>0</v>
      </c>
      <c r="AT30" s="468">
        <f t="shared" si="22"/>
        <v>0</v>
      </c>
      <c r="AU30" s="276"/>
      <c r="AV30" s="468">
        <f t="shared" si="23"/>
        <v>0</v>
      </c>
      <c r="AW30" s="468">
        <f t="shared" si="24"/>
        <v>0</v>
      </c>
      <c r="AX30" s="468">
        <f t="shared" si="25"/>
        <v>0</v>
      </c>
      <c r="AY30" s="468">
        <f t="shared" si="26"/>
        <v>0</v>
      </c>
      <c r="AZ30" s="468">
        <f t="shared" si="27"/>
        <v>0</v>
      </c>
      <c r="BA30" s="468">
        <f t="shared" si="28"/>
        <v>0</v>
      </c>
      <c r="BB30" s="468">
        <f t="shared" si="29"/>
        <v>0</v>
      </c>
    </row>
    <row r="31" spans="1:54" ht="90">
      <c r="A31" s="300"/>
      <c r="B31" s="821" t="s">
        <v>233</v>
      </c>
      <c r="C31" s="479" t="s">
        <v>947</v>
      </c>
      <c r="D31" s="822" t="s">
        <v>231</v>
      </c>
      <c r="E31" s="723"/>
      <c r="F31" s="458"/>
      <c r="G31" s="723"/>
      <c r="H31" s="458"/>
      <c r="I31" s="723"/>
      <c r="J31" s="723"/>
      <c r="K31" s="723"/>
      <c r="L31" s="723"/>
      <c r="M31" s="723"/>
      <c r="N31" s="458"/>
      <c r="O31" s="458"/>
      <c r="P31" s="723"/>
      <c r="Q31" s="458"/>
      <c r="R31" s="458"/>
      <c r="S31" s="723"/>
      <c r="T31" s="458"/>
      <c r="U31" s="458"/>
      <c r="V31" s="723"/>
      <c r="W31" s="458"/>
      <c r="X31" s="458"/>
      <c r="Y31" s="723"/>
      <c r="Z31" s="458"/>
      <c r="AA31" s="458"/>
      <c r="AB31" s="567">
        <f t="shared" si="14"/>
        <v>203.36666666666667</v>
      </c>
      <c r="AC31" s="567">
        <f>'附件4-8甲供材料清单'!M186</f>
        <v>66.666666666666671</v>
      </c>
      <c r="AD31" s="573">
        <v>10.5</v>
      </c>
      <c r="AE31" s="567">
        <v>129.69999999999999</v>
      </c>
      <c r="AF31" s="403">
        <f t="shared" si="15"/>
        <v>0</v>
      </c>
      <c r="AG31" s="403">
        <f t="shared" si="16"/>
        <v>0</v>
      </c>
      <c r="AH31" s="403">
        <f t="shared" si="17"/>
        <v>0</v>
      </c>
      <c r="AI31" s="403">
        <f t="shared" si="18"/>
        <v>0</v>
      </c>
      <c r="AJ31" s="403">
        <f t="shared" si="19"/>
        <v>0</v>
      </c>
      <c r="AK31" s="403">
        <f t="shared" si="20"/>
        <v>0</v>
      </c>
      <c r="AL31" s="403">
        <f t="shared" si="21"/>
        <v>0</v>
      </c>
      <c r="AM31" s="407" t="s">
        <v>244</v>
      </c>
      <c r="AN31" s="468">
        <f t="shared" si="22"/>
        <v>0</v>
      </c>
      <c r="AO31" s="468">
        <f t="shared" si="22"/>
        <v>0</v>
      </c>
      <c r="AP31" s="468">
        <f t="shared" si="22"/>
        <v>0</v>
      </c>
      <c r="AQ31" s="468">
        <f t="shared" si="22"/>
        <v>0</v>
      </c>
      <c r="AR31" s="468">
        <f t="shared" si="22"/>
        <v>0</v>
      </c>
      <c r="AS31" s="468">
        <f t="shared" si="22"/>
        <v>0</v>
      </c>
      <c r="AT31" s="468">
        <f t="shared" si="22"/>
        <v>0</v>
      </c>
      <c r="AU31" s="276"/>
      <c r="AV31" s="468">
        <f t="shared" si="23"/>
        <v>0</v>
      </c>
      <c r="AW31" s="468">
        <f t="shared" si="24"/>
        <v>0</v>
      </c>
      <c r="AX31" s="468">
        <f t="shared" si="25"/>
        <v>0</v>
      </c>
      <c r="AY31" s="468">
        <f t="shared" si="26"/>
        <v>0</v>
      </c>
      <c r="AZ31" s="468">
        <f t="shared" si="27"/>
        <v>0</v>
      </c>
      <c r="BA31" s="468">
        <f t="shared" si="28"/>
        <v>0</v>
      </c>
      <c r="BB31" s="468">
        <f t="shared" si="29"/>
        <v>0</v>
      </c>
    </row>
    <row r="32" spans="1:54" ht="38.25" customHeight="1">
      <c r="A32" s="300"/>
      <c r="B32" s="809" t="s">
        <v>233</v>
      </c>
      <c r="C32" s="407" t="s">
        <v>726</v>
      </c>
      <c r="D32" s="809" t="s">
        <v>231</v>
      </c>
      <c r="E32" s="723"/>
      <c r="F32" s="458"/>
      <c r="G32" s="723"/>
      <c r="H32" s="458"/>
      <c r="I32" s="723"/>
      <c r="J32" s="723"/>
      <c r="K32" s="723"/>
      <c r="L32" s="723"/>
      <c r="M32" s="723"/>
      <c r="N32" s="458"/>
      <c r="O32" s="458"/>
      <c r="P32" s="723"/>
      <c r="Q32" s="458"/>
      <c r="R32" s="458"/>
      <c r="S32" s="723"/>
      <c r="T32" s="458"/>
      <c r="U32" s="458"/>
      <c r="V32" s="723"/>
      <c r="W32" s="458"/>
      <c r="X32" s="458"/>
      <c r="Y32" s="723"/>
      <c r="Z32" s="458"/>
      <c r="AA32" s="458"/>
      <c r="AB32" s="567">
        <f t="shared" si="14"/>
        <v>373.416</v>
      </c>
      <c r="AC32" s="567">
        <v>260</v>
      </c>
      <c r="AD32" s="573">
        <v>2</v>
      </c>
      <c r="AE32" s="567">
        <v>108.21599999999999</v>
      </c>
      <c r="AF32" s="403">
        <f t="shared" si="15"/>
        <v>0</v>
      </c>
      <c r="AG32" s="403">
        <f t="shared" si="16"/>
        <v>0</v>
      </c>
      <c r="AH32" s="403">
        <f t="shared" si="17"/>
        <v>0</v>
      </c>
      <c r="AI32" s="403">
        <f t="shared" si="18"/>
        <v>0</v>
      </c>
      <c r="AJ32" s="403">
        <f t="shared" si="19"/>
        <v>0</v>
      </c>
      <c r="AK32" s="403">
        <f t="shared" si="20"/>
        <v>0</v>
      </c>
      <c r="AL32" s="403">
        <f t="shared" si="21"/>
        <v>0</v>
      </c>
      <c r="AM32" s="407"/>
      <c r="AN32" s="468"/>
      <c r="AO32" s="468"/>
      <c r="AP32" s="468"/>
      <c r="AQ32" s="468"/>
      <c r="AR32" s="468"/>
      <c r="AS32" s="468"/>
      <c r="AT32" s="468"/>
      <c r="AU32" s="276"/>
      <c r="AV32" s="468"/>
      <c r="AW32" s="468"/>
      <c r="AX32" s="468"/>
      <c r="AY32" s="468"/>
      <c r="AZ32" s="468"/>
      <c r="BA32" s="468"/>
      <c r="BB32" s="468"/>
    </row>
    <row r="33" spans="1:54" ht="37.5" customHeight="1">
      <c r="A33" s="300" t="s">
        <v>277</v>
      </c>
      <c r="B33" s="809" t="s">
        <v>278</v>
      </c>
      <c r="C33" s="431" t="s">
        <v>725</v>
      </c>
      <c r="D33" s="809" t="s">
        <v>231</v>
      </c>
      <c r="E33" s="575"/>
      <c r="F33" s="798"/>
      <c r="G33" s="575"/>
      <c r="H33" s="798"/>
      <c r="I33" s="575"/>
      <c r="J33" s="575"/>
      <c r="K33" s="575"/>
      <c r="L33" s="575"/>
      <c r="M33" s="575"/>
      <c r="N33" s="798"/>
      <c r="O33" s="798"/>
      <c r="P33" s="575"/>
      <c r="Q33" s="798"/>
      <c r="R33" s="798"/>
      <c r="S33" s="575"/>
      <c r="T33" s="798"/>
      <c r="U33" s="798"/>
      <c r="V33" s="575"/>
      <c r="W33" s="798"/>
      <c r="X33" s="798"/>
      <c r="Y33" s="575"/>
      <c r="Z33" s="798"/>
      <c r="AA33" s="798"/>
      <c r="AB33" s="567">
        <f t="shared" ref="AB33" si="30">AC33+AC33*AD33/100+AE33</f>
        <v>14</v>
      </c>
      <c r="AC33" s="567">
        <v>8</v>
      </c>
      <c r="AD33" s="573"/>
      <c r="AE33" s="567">
        <v>6</v>
      </c>
      <c r="AF33" s="403">
        <f t="shared" si="15"/>
        <v>0</v>
      </c>
      <c r="AG33" s="403">
        <f t="shared" si="16"/>
        <v>0</v>
      </c>
      <c r="AH33" s="403">
        <f t="shared" si="17"/>
        <v>0</v>
      </c>
      <c r="AI33" s="403">
        <f t="shared" si="18"/>
        <v>0</v>
      </c>
      <c r="AJ33" s="403">
        <f t="shared" si="19"/>
        <v>0</v>
      </c>
      <c r="AK33" s="403">
        <f t="shared" si="20"/>
        <v>0</v>
      </c>
      <c r="AL33" s="403">
        <f t="shared" si="21"/>
        <v>0</v>
      </c>
      <c r="AM33" s="407"/>
      <c r="AN33" s="468"/>
      <c r="AO33" s="468"/>
      <c r="AP33" s="468"/>
      <c r="AQ33" s="468"/>
      <c r="AR33" s="468"/>
      <c r="AS33" s="468"/>
      <c r="AT33" s="468"/>
      <c r="AU33" s="276"/>
      <c r="AV33" s="468"/>
      <c r="AW33" s="468"/>
      <c r="AX33" s="468"/>
      <c r="AY33" s="468"/>
      <c r="AZ33" s="468"/>
      <c r="BA33" s="468"/>
      <c r="BB33" s="468"/>
    </row>
    <row r="34" spans="1:54" ht="22.5">
      <c r="A34" s="300"/>
      <c r="B34" s="809">
        <v>2</v>
      </c>
      <c r="C34" s="407" t="s">
        <v>948</v>
      </c>
      <c r="D34" s="809" t="s">
        <v>235</v>
      </c>
      <c r="E34" s="723"/>
      <c r="F34" s="458"/>
      <c r="G34" s="723"/>
      <c r="H34" s="458"/>
      <c r="I34" s="723"/>
      <c r="J34" s="723"/>
      <c r="K34" s="723"/>
      <c r="L34" s="723"/>
      <c r="M34" s="723"/>
      <c r="N34" s="458"/>
      <c r="O34" s="458"/>
      <c r="P34" s="723"/>
      <c r="Q34" s="458"/>
      <c r="R34" s="458"/>
      <c r="S34" s="723"/>
      <c r="T34" s="458"/>
      <c r="U34" s="458"/>
      <c r="V34" s="723"/>
      <c r="W34" s="458"/>
      <c r="X34" s="458"/>
      <c r="Y34" s="723"/>
      <c r="Z34" s="458"/>
      <c r="AA34" s="458"/>
      <c r="AB34" s="567">
        <f t="shared" ref="AB34:AB66" si="31">AC34+AC34*AD34/100+AE34</f>
        <v>32.590000000000003</v>
      </c>
      <c r="AC34" s="567">
        <f>'附件4-8甲供材料清单'!M187</f>
        <v>18.333333333333336</v>
      </c>
      <c r="AD34" s="573">
        <v>5</v>
      </c>
      <c r="AE34" s="567">
        <v>13.34</v>
      </c>
      <c r="AF34" s="403">
        <f t="shared" si="15"/>
        <v>0</v>
      </c>
      <c r="AG34" s="403">
        <f t="shared" si="16"/>
        <v>0</v>
      </c>
      <c r="AH34" s="403">
        <f t="shared" si="17"/>
        <v>0</v>
      </c>
      <c r="AI34" s="403">
        <f t="shared" si="18"/>
        <v>0</v>
      </c>
      <c r="AJ34" s="403">
        <f t="shared" si="19"/>
        <v>0</v>
      </c>
      <c r="AK34" s="403">
        <f t="shared" si="20"/>
        <v>0</v>
      </c>
      <c r="AL34" s="403">
        <f t="shared" si="21"/>
        <v>0</v>
      </c>
      <c r="AM34" s="407" t="s">
        <v>244</v>
      </c>
      <c r="AN34" s="468">
        <f t="shared" ref="AN34:AT34" si="32">AF34</f>
        <v>0</v>
      </c>
      <c r="AO34" s="468">
        <f t="shared" si="32"/>
        <v>0</v>
      </c>
      <c r="AP34" s="468">
        <f t="shared" si="32"/>
        <v>0</v>
      </c>
      <c r="AQ34" s="468">
        <f t="shared" si="32"/>
        <v>0</v>
      </c>
      <c r="AR34" s="468">
        <f t="shared" si="32"/>
        <v>0</v>
      </c>
      <c r="AS34" s="468">
        <f t="shared" si="32"/>
        <v>0</v>
      </c>
      <c r="AT34" s="468">
        <f t="shared" si="32"/>
        <v>0</v>
      </c>
      <c r="AU34" s="276"/>
      <c r="AV34" s="468">
        <f>E34*$AC34*(1+$AD34%)</f>
        <v>0</v>
      </c>
      <c r="AW34" s="468">
        <f>J34*$AC34*(1+$AD34%)</f>
        <v>0</v>
      </c>
      <c r="AX34" s="468">
        <f>M34*$AC34*(1+$AD34%)</f>
        <v>0</v>
      </c>
      <c r="AY34" s="468">
        <f>P34*$AC34*(1+$AD34%)</f>
        <v>0</v>
      </c>
      <c r="AZ34" s="468">
        <f>S34*$AC34*(1+$AD34%)</f>
        <v>0</v>
      </c>
      <c r="BA34" s="468">
        <f>V34*$AC34*(1+$AD34%)</f>
        <v>0</v>
      </c>
      <c r="BB34" s="468">
        <f>Y34*$AC34*(1+$AD34%)</f>
        <v>0</v>
      </c>
    </row>
    <row r="35" spans="1:54" ht="33.75">
      <c r="A35" s="300"/>
      <c r="B35" s="809">
        <v>3</v>
      </c>
      <c r="C35" s="407" t="s">
        <v>949</v>
      </c>
      <c r="D35" s="809" t="s">
        <v>231</v>
      </c>
      <c r="E35" s="735"/>
      <c r="F35" s="799"/>
      <c r="G35" s="735"/>
      <c r="H35" s="799"/>
      <c r="I35" s="735"/>
      <c r="J35" s="735"/>
      <c r="K35" s="735"/>
      <c r="L35" s="735"/>
      <c r="M35" s="735"/>
      <c r="N35" s="799"/>
      <c r="O35" s="799"/>
      <c r="P35" s="735"/>
      <c r="Q35" s="799"/>
      <c r="R35" s="799"/>
      <c r="S35" s="735"/>
      <c r="T35" s="799"/>
      <c r="U35" s="799"/>
      <c r="V35" s="735"/>
      <c r="W35" s="799"/>
      <c r="X35" s="799"/>
      <c r="Y35" s="735"/>
      <c r="Z35" s="799"/>
      <c r="AA35" s="799"/>
      <c r="AB35" s="567">
        <f t="shared" si="31"/>
        <v>542.52240000000006</v>
      </c>
      <c r="AC35" s="567">
        <v>260</v>
      </c>
      <c r="AD35" s="573">
        <v>2</v>
      </c>
      <c r="AE35" s="567">
        <v>277.32240000000002</v>
      </c>
      <c r="AF35" s="403">
        <f t="shared" si="15"/>
        <v>0</v>
      </c>
      <c r="AG35" s="403">
        <f t="shared" si="16"/>
        <v>0</v>
      </c>
      <c r="AH35" s="403">
        <f t="shared" si="17"/>
        <v>0</v>
      </c>
      <c r="AI35" s="403">
        <f t="shared" si="18"/>
        <v>0</v>
      </c>
      <c r="AJ35" s="403">
        <f t="shared" si="19"/>
        <v>0</v>
      </c>
      <c r="AK35" s="403">
        <f t="shared" si="20"/>
        <v>0</v>
      </c>
      <c r="AL35" s="403">
        <f t="shared" si="21"/>
        <v>0</v>
      </c>
      <c r="AM35" s="407" t="s">
        <v>792</v>
      </c>
      <c r="AN35" s="468"/>
      <c r="AO35" s="468"/>
      <c r="AP35" s="468"/>
      <c r="AQ35" s="468"/>
      <c r="AR35" s="468"/>
      <c r="AS35" s="468"/>
      <c r="AT35" s="468"/>
      <c r="AU35" s="276"/>
      <c r="AV35" s="468"/>
      <c r="AW35" s="468"/>
      <c r="AX35" s="468"/>
      <c r="AY35" s="468"/>
      <c r="AZ35" s="468"/>
      <c r="BA35" s="468"/>
      <c r="BB35" s="468"/>
    </row>
    <row r="36" spans="1:54" ht="34.5" customHeight="1">
      <c r="A36" s="300"/>
      <c r="B36" s="809">
        <v>4</v>
      </c>
      <c r="C36" s="407" t="s">
        <v>950</v>
      </c>
      <c r="D36" s="809" t="s">
        <v>231</v>
      </c>
      <c r="E36" s="723"/>
      <c r="F36" s="458"/>
      <c r="G36" s="723"/>
      <c r="H36" s="458"/>
      <c r="I36" s="723"/>
      <c r="J36" s="723"/>
      <c r="K36" s="723"/>
      <c r="L36" s="723"/>
      <c r="M36" s="723"/>
      <c r="N36" s="458"/>
      <c r="O36" s="458"/>
      <c r="P36" s="723"/>
      <c r="Q36" s="458"/>
      <c r="R36" s="458"/>
      <c r="S36" s="723"/>
      <c r="T36" s="458"/>
      <c r="U36" s="458"/>
      <c r="V36" s="723"/>
      <c r="W36" s="458"/>
      <c r="X36" s="458"/>
      <c r="Y36" s="723"/>
      <c r="Z36" s="458"/>
      <c r="AA36" s="458"/>
      <c r="AB36" s="567">
        <f t="shared" si="31"/>
        <v>358.84</v>
      </c>
      <c r="AC36" s="567">
        <v>260</v>
      </c>
      <c r="AD36" s="573">
        <v>2</v>
      </c>
      <c r="AE36" s="567">
        <v>93.64</v>
      </c>
      <c r="AF36" s="403">
        <f t="shared" si="15"/>
        <v>0</v>
      </c>
      <c r="AG36" s="403">
        <f t="shared" si="16"/>
        <v>0</v>
      </c>
      <c r="AH36" s="403">
        <f t="shared" si="17"/>
        <v>0</v>
      </c>
      <c r="AI36" s="403">
        <f t="shared" si="18"/>
        <v>0</v>
      </c>
      <c r="AJ36" s="403">
        <f t="shared" si="19"/>
        <v>0</v>
      </c>
      <c r="AK36" s="403">
        <f t="shared" si="20"/>
        <v>0</v>
      </c>
      <c r="AL36" s="403">
        <f t="shared" si="21"/>
        <v>0</v>
      </c>
      <c r="AM36" s="407"/>
      <c r="AN36" s="468"/>
      <c r="AO36" s="468"/>
      <c r="AP36" s="468"/>
      <c r="AQ36" s="468"/>
      <c r="AR36" s="468"/>
      <c r="AS36" s="468"/>
      <c r="AT36" s="468"/>
      <c r="AU36" s="276"/>
      <c r="AV36" s="468"/>
      <c r="AW36" s="468"/>
      <c r="AX36" s="468"/>
      <c r="AY36" s="468"/>
      <c r="AZ36" s="468"/>
      <c r="BA36" s="468"/>
      <c r="BB36" s="468"/>
    </row>
    <row r="37" spans="1:54" ht="34.5" customHeight="1">
      <c r="A37" s="300"/>
      <c r="B37" s="809">
        <v>5</v>
      </c>
      <c r="C37" s="407" t="s">
        <v>712</v>
      </c>
      <c r="D37" s="809" t="s">
        <v>231</v>
      </c>
      <c r="E37" s="723"/>
      <c r="F37" s="458"/>
      <c r="G37" s="723"/>
      <c r="H37" s="458"/>
      <c r="I37" s="723"/>
      <c r="J37" s="723"/>
      <c r="K37" s="723"/>
      <c r="L37" s="723"/>
      <c r="M37" s="723"/>
      <c r="N37" s="458"/>
      <c r="O37" s="458"/>
      <c r="P37" s="723"/>
      <c r="Q37" s="458"/>
      <c r="R37" s="458"/>
      <c r="S37" s="723"/>
      <c r="T37" s="458"/>
      <c r="U37" s="458"/>
      <c r="V37" s="723"/>
      <c r="W37" s="458"/>
      <c r="X37" s="458"/>
      <c r="Y37" s="723"/>
      <c r="Z37" s="458"/>
      <c r="AA37" s="458"/>
      <c r="AB37" s="567">
        <f t="shared" si="31"/>
        <v>373.416</v>
      </c>
      <c r="AC37" s="567">
        <v>260</v>
      </c>
      <c r="AD37" s="573">
        <v>2</v>
      </c>
      <c r="AE37" s="567">
        <v>108.21599999999999</v>
      </c>
      <c r="AF37" s="403">
        <f t="shared" si="15"/>
        <v>0</v>
      </c>
      <c r="AG37" s="403">
        <f t="shared" si="16"/>
        <v>0</v>
      </c>
      <c r="AH37" s="403">
        <f t="shared" si="17"/>
        <v>0</v>
      </c>
      <c r="AI37" s="403">
        <f t="shared" si="18"/>
        <v>0</v>
      </c>
      <c r="AJ37" s="403">
        <f t="shared" si="19"/>
        <v>0</v>
      </c>
      <c r="AK37" s="403">
        <f t="shared" si="20"/>
        <v>0</v>
      </c>
      <c r="AL37" s="403">
        <f t="shared" si="21"/>
        <v>0</v>
      </c>
      <c r="AM37" s="407"/>
      <c r="AN37" s="468"/>
      <c r="AO37" s="468"/>
      <c r="AP37" s="468"/>
      <c r="AQ37" s="468"/>
      <c r="AR37" s="468"/>
      <c r="AS37" s="468"/>
      <c r="AT37" s="468"/>
      <c r="AU37" s="276"/>
      <c r="AV37" s="468"/>
      <c r="AW37" s="468"/>
      <c r="AX37" s="468"/>
      <c r="AY37" s="468"/>
      <c r="AZ37" s="468"/>
      <c r="BA37" s="468"/>
      <c r="BB37" s="468"/>
    </row>
    <row r="38" spans="1:54" ht="34.5" customHeight="1">
      <c r="A38" s="300"/>
      <c r="B38" s="809">
        <v>6</v>
      </c>
      <c r="C38" s="407" t="s">
        <v>951</v>
      </c>
      <c r="D38" s="809" t="s">
        <v>235</v>
      </c>
      <c r="E38" s="723"/>
      <c r="F38" s="458"/>
      <c r="G38" s="723"/>
      <c r="H38" s="458"/>
      <c r="I38" s="723"/>
      <c r="J38" s="723"/>
      <c r="K38" s="723"/>
      <c r="L38" s="723"/>
      <c r="M38" s="723"/>
      <c r="N38" s="458"/>
      <c r="O38" s="458"/>
      <c r="P38" s="723"/>
      <c r="Q38" s="458"/>
      <c r="R38" s="458"/>
      <c r="S38" s="723"/>
      <c r="T38" s="458"/>
      <c r="U38" s="458"/>
      <c r="V38" s="723"/>
      <c r="W38" s="458"/>
      <c r="X38" s="458"/>
      <c r="Y38" s="723"/>
      <c r="Z38" s="458"/>
      <c r="AA38" s="458"/>
      <c r="AB38" s="567">
        <f t="shared" si="31"/>
        <v>171.45000000000002</v>
      </c>
      <c r="AC38" s="567">
        <v>135</v>
      </c>
      <c r="AD38" s="573">
        <v>3</v>
      </c>
      <c r="AE38" s="567">
        <v>32.4</v>
      </c>
      <c r="AF38" s="403">
        <f t="shared" si="15"/>
        <v>0</v>
      </c>
      <c r="AG38" s="403">
        <f t="shared" si="16"/>
        <v>0</v>
      </c>
      <c r="AH38" s="403">
        <f t="shared" si="17"/>
        <v>0</v>
      </c>
      <c r="AI38" s="403">
        <f t="shared" si="18"/>
        <v>0</v>
      </c>
      <c r="AJ38" s="403">
        <f t="shared" si="19"/>
        <v>0</v>
      </c>
      <c r="AK38" s="403">
        <f t="shared" si="20"/>
        <v>0</v>
      </c>
      <c r="AL38" s="403">
        <f t="shared" si="21"/>
        <v>0</v>
      </c>
      <c r="AM38" s="407" t="s">
        <v>795</v>
      </c>
      <c r="AN38" s="468"/>
      <c r="AO38" s="468"/>
      <c r="AP38" s="468"/>
      <c r="AQ38" s="468"/>
      <c r="AR38" s="468"/>
      <c r="AS38" s="468"/>
      <c r="AT38" s="468"/>
      <c r="AU38" s="276"/>
      <c r="AV38" s="468"/>
      <c r="AW38" s="468"/>
      <c r="AX38" s="468"/>
      <c r="AY38" s="468"/>
      <c r="AZ38" s="468"/>
      <c r="BA38" s="468"/>
      <c r="BB38" s="468"/>
    </row>
    <row r="39" spans="1:54" ht="34.5" customHeight="1">
      <c r="A39" s="300"/>
      <c r="B39" s="809">
        <v>7</v>
      </c>
      <c r="C39" s="407" t="s">
        <v>952</v>
      </c>
      <c r="D39" s="809" t="s">
        <v>270</v>
      </c>
      <c r="E39" s="723"/>
      <c r="F39" s="458"/>
      <c r="G39" s="723"/>
      <c r="H39" s="458"/>
      <c r="I39" s="723"/>
      <c r="J39" s="723"/>
      <c r="K39" s="723"/>
      <c r="L39" s="723"/>
      <c r="M39" s="723"/>
      <c r="N39" s="458"/>
      <c r="O39" s="458"/>
      <c r="P39" s="723"/>
      <c r="Q39" s="458"/>
      <c r="R39" s="458"/>
      <c r="S39" s="723"/>
      <c r="T39" s="458"/>
      <c r="U39" s="458"/>
      <c r="V39" s="723"/>
      <c r="W39" s="458"/>
      <c r="X39" s="458"/>
      <c r="Y39" s="723"/>
      <c r="Z39" s="458"/>
      <c r="AA39" s="458"/>
      <c r="AB39" s="567">
        <f t="shared" si="31"/>
        <v>40.849299999999999</v>
      </c>
      <c r="AC39" s="567">
        <v>26.33</v>
      </c>
      <c r="AD39" s="573">
        <v>1</v>
      </c>
      <c r="AE39" s="567">
        <v>14.256</v>
      </c>
      <c r="AF39" s="403">
        <f t="shared" si="15"/>
        <v>0</v>
      </c>
      <c r="AG39" s="403">
        <f t="shared" si="16"/>
        <v>0</v>
      </c>
      <c r="AH39" s="403">
        <f t="shared" si="17"/>
        <v>0</v>
      </c>
      <c r="AI39" s="403">
        <f t="shared" si="18"/>
        <v>0</v>
      </c>
      <c r="AJ39" s="403">
        <f t="shared" si="19"/>
        <v>0</v>
      </c>
      <c r="AK39" s="403">
        <f t="shared" si="20"/>
        <v>0</v>
      </c>
      <c r="AL39" s="403">
        <f t="shared" si="21"/>
        <v>0</v>
      </c>
      <c r="AM39" s="407" t="s">
        <v>795</v>
      </c>
      <c r="AN39" s="468"/>
      <c r="AO39" s="468"/>
      <c r="AP39" s="468"/>
      <c r="AQ39" s="468"/>
      <c r="AR39" s="468"/>
      <c r="AS39" s="468"/>
      <c r="AT39" s="468"/>
      <c r="AU39" s="276"/>
      <c r="AV39" s="468"/>
      <c r="AW39" s="468"/>
      <c r="AX39" s="468"/>
      <c r="AY39" s="468"/>
      <c r="AZ39" s="468"/>
      <c r="BA39" s="468"/>
      <c r="BB39" s="468"/>
    </row>
    <row r="40" spans="1:54" ht="33.75">
      <c r="A40" s="300"/>
      <c r="B40" s="809">
        <v>8</v>
      </c>
      <c r="C40" s="407" t="s">
        <v>717</v>
      </c>
      <c r="D40" s="809" t="s">
        <v>231</v>
      </c>
      <c r="E40" s="723"/>
      <c r="F40" s="458"/>
      <c r="G40" s="723"/>
      <c r="H40" s="458"/>
      <c r="I40" s="723"/>
      <c r="J40" s="723"/>
      <c r="K40" s="723"/>
      <c r="L40" s="723"/>
      <c r="M40" s="723"/>
      <c r="N40" s="458"/>
      <c r="O40" s="458"/>
      <c r="P40" s="723"/>
      <c r="Q40" s="458"/>
      <c r="R40" s="458"/>
      <c r="S40" s="723"/>
      <c r="T40" s="458"/>
      <c r="U40" s="458"/>
      <c r="V40" s="723"/>
      <c r="W40" s="458"/>
      <c r="X40" s="458"/>
      <c r="Y40" s="723"/>
      <c r="Z40" s="458"/>
      <c r="AA40" s="458"/>
      <c r="AB40" s="567">
        <f t="shared" si="31"/>
        <v>673.07999999999993</v>
      </c>
      <c r="AC40" s="567">
        <v>388</v>
      </c>
      <c r="AD40" s="573">
        <v>2</v>
      </c>
      <c r="AE40" s="567">
        <v>277.32</v>
      </c>
      <c r="AF40" s="403">
        <f t="shared" si="15"/>
        <v>0</v>
      </c>
      <c r="AG40" s="403">
        <f t="shared" si="16"/>
        <v>0</v>
      </c>
      <c r="AH40" s="403">
        <f t="shared" si="17"/>
        <v>0</v>
      </c>
      <c r="AI40" s="403">
        <f t="shared" si="18"/>
        <v>0</v>
      </c>
      <c r="AJ40" s="403">
        <f t="shared" si="19"/>
        <v>0</v>
      </c>
      <c r="AK40" s="403">
        <f t="shared" si="20"/>
        <v>0</v>
      </c>
      <c r="AL40" s="403">
        <f t="shared" si="21"/>
        <v>0</v>
      </c>
      <c r="AM40" s="407" t="s">
        <v>792</v>
      </c>
      <c r="AN40" s="468"/>
      <c r="AO40" s="468"/>
      <c r="AP40" s="468"/>
      <c r="AQ40" s="468"/>
      <c r="AR40" s="468"/>
      <c r="AS40" s="468"/>
      <c r="AT40" s="468"/>
      <c r="AU40" s="276"/>
      <c r="AV40" s="468"/>
      <c r="AW40" s="468"/>
      <c r="AX40" s="468"/>
      <c r="AY40" s="468"/>
      <c r="AZ40" s="468"/>
      <c r="BA40" s="468"/>
      <c r="BB40" s="468"/>
    </row>
    <row r="41" spans="1:54" ht="33.75">
      <c r="A41" s="300"/>
      <c r="B41" s="809">
        <v>9</v>
      </c>
      <c r="C41" s="407" t="s">
        <v>335</v>
      </c>
      <c r="D41" s="809" t="s">
        <v>336</v>
      </c>
      <c r="E41" s="723"/>
      <c r="F41" s="458"/>
      <c r="G41" s="723"/>
      <c r="H41" s="458"/>
      <c r="I41" s="723"/>
      <c r="J41" s="723"/>
      <c r="K41" s="723"/>
      <c r="L41" s="723"/>
      <c r="M41" s="723"/>
      <c r="N41" s="458"/>
      <c r="O41" s="458"/>
      <c r="P41" s="723"/>
      <c r="Q41" s="458"/>
      <c r="R41" s="458"/>
      <c r="S41" s="723"/>
      <c r="T41" s="458"/>
      <c r="U41" s="458"/>
      <c r="V41" s="723"/>
      <c r="W41" s="458"/>
      <c r="X41" s="458"/>
      <c r="Y41" s="723"/>
      <c r="Z41" s="458"/>
      <c r="AA41" s="458"/>
      <c r="AB41" s="567">
        <f t="shared" si="31"/>
        <v>440</v>
      </c>
      <c r="AC41" s="567">
        <v>0</v>
      </c>
      <c r="AD41" s="573">
        <v>0</v>
      </c>
      <c r="AE41" s="567">
        <v>440</v>
      </c>
      <c r="AF41" s="403">
        <f t="shared" si="15"/>
        <v>0</v>
      </c>
      <c r="AG41" s="403">
        <f t="shared" si="16"/>
        <v>0</v>
      </c>
      <c r="AH41" s="403">
        <f t="shared" si="17"/>
        <v>0</v>
      </c>
      <c r="AI41" s="403">
        <f t="shared" si="18"/>
        <v>0</v>
      </c>
      <c r="AJ41" s="403">
        <f t="shared" si="19"/>
        <v>0</v>
      </c>
      <c r="AK41" s="403">
        <f t="shared" si="20"/>
        <v>0</v>
      </c>
      <c r="AL41" s="403">
        <f t="shared" si="21"/>
        <v>0</v>
      </c>
      <c r="AM41" s="407" t="s">
        <v>742</v>
      </c>
      <c r="AN41" s="468"/>
      <c r="AO41" s="468"/>
      <c r="AP41" s="468"/>
      <c r="AQ41" s="468"/>
      <c r="AR41" s="468"/>
      <c r="AS41" s="468"/>
      <c r="AT41" s="468"/>
      <c r="AU41" s="276"/>
      <c r="AV41" s="468"/>
      <c r="AW41" s="468"/>
      <c r="AX41" s="468"/>
      <c r="AY41" s="468"/>
      <c r="AZ41" s="468"/>
      <c r="BA41" s="468"/>
      <c r="BB41" s="468"/>
    </row>
    <row r="42" spans="1:54" ht="33.75">
      <c r="A42" s="300"/>
      <c r="B42" s="809">
        <v>10</v>
      </c>
      <c r="C42" s="407" t="s">
        <v>338</v>
      </c>
      <c r="D42" s="809" t="s">
        <v>231</v>
      </c>
      <c r="E42" s="723"/>
      <c r="F42" s="458"/>
      <c r="G42" s="723"/>
      <c r="H42" s="458"/>
      <c r="I42" s="723"/>
      <c r="J42" s="723"/>
      <c r="K42" s="723"/>
      <c r="L42" s="723"/>
      <c r="M42" s="723"/>
      <c r="N42" s="458"/>
      <c r="O42" s="458"/>
      <c r="P42" s="723"/>
      <c r="Q42" s="458"/>
      <c r="R42" s="458"/>
      <c r="S42" s="723"/>
      <c r="T42" s="458"/>
      <c r="U42" s="458"/>
      <c r="V42" s="723"/>
      <c r="W42" s="458"/>
      <c r="X42" s="458"/>
      <c r="Y42" s="723"/>
      <c r="Z42" s="458"/>
      <c r="AA42" s="458"/>
      <c r="AB42" s="567">
        <f t="shared" si="31"/>
        <v>18.5</v>
      </c>
      <c r="AC42" s="567">
        <v>0</v>
      </c>
      <c r="AD42" s="573">
        <v>0</v>
      </c>
      <c r="AE42" s="567">
        <v>18.5</v>
      </c>
      <c r="AF42" s="403">
        <f t="shared" si="15"/>
        <v>0</v>
      </c>
      <c r="AG42" s="403">
        <f t="shared" si="16"/>
        <v>0</v>
      </c>
      <c r="AH42" s="403">
        <f t="shared" si="17"/>
        <v>0</v>
      </c>
      <c r="AI42" s="403">
        <f t="shared" si="18"/>
        <v>0</v>
      </c>
      <c r="AJ42" s="403">
        <f t="shared" si="19"/>
        <v>0</v>
      </c>
      <c r="AK42" s="403">
        <f t="shared" si="20"/>
        <v>0</v>
      </c>
      <c r="AL42" s="403">
        <f t="shared" si="21"/>
        <v>0</v>
      </c>
      <c r="AM42" s="407" t="s">
        <v>742</v>
      </c>
      <c r="AN42" s="468"/>
      <c r="AO42" s="468"/>
      <c r="AP42" s="468"/>
      <c r="AQ42" s="468"/>
      <c r="AR42" s="468"/>
      <c r="AS42" s="468"/>
      <c r="AT42" s="468"/>
      <c r="AU42" s="276"/>
      <c r="AV42" s="468"/>
      <c r="AW42" s="468"/>
      <c r="AX42" s="468"/>
      <c r="AY42" s="468"/>
      <c r="AZ42" s="468"/>
      <c r="BA42" s="468"/>
      <c r="BB42" s="468"/>
    </row>
    <row r="43" spans="1:54" ht="45">
      <c r="A43" s="300"/>
      <c r="B43" s="809">
        <v>11</v>
      </c>
      <c r="C43" s="407" t="s">
        <v>953</v>
      </c>
      <c r="D43" s="809" t="s">
        <v>231</v>
      </c>
      <c r="E43" s="723"/>
      <c r="F43" s="458"/>
      <c r="G43" s="723"/>
      <c r="H43" s="458"/>
      <c r="I43" s="723"/>
      <c r="J43" s="723"/>
      <c r="K43" s="723"/>
      <c r="L43" s="723"/>
      <c r="M43" s="723"/>
      <c r="N43" s="458"/>
      <c r="O43" s="458"/>
      <c r="P43" s="723"/>
      <c r="Q43" s="458"/>
      <c r="R43" s="458"/>
      <c r="S43" s="723"/>
      <c r="T43" s="458"/>
      <c r="U43" s="458"/>
      <c r="V43" s="723"/>
      <c r="W43" s="458"/>
      <c r="X43" s="458"/>
      <c r="Y43" s="723"/>
      <c r="Z43" s="458"/>
      <c r="AA43" s="458"/>
      <c r="AB43" s="567">
        <f t="shared" si="31"/>
        <v>135.47666666666669</v>
      </c>
      <c r="AC43" s="567">
        <f>'附件4-8甲供材料清单'!M186</f>
        <v>66.666666666666671</v>
      </c>
      <c r="AD43" s="573">
        <v>10.5</v>
      </c>
      <c r="AE43" s="567">
        <v>61.81</v>
      </c>
      <c r="AF43" s="403">
        <f t="shared" si="15"/>
        <v>0</v>
      </c>
      <c r="AG43" s="403">
        <f t="shared" si="16"/>
        <v>0</v>
      </c>
      <c r="AH43" s="403">
        <f t="shared" si="17"/>
        <v>0</v>
      </c>
      <c r="AI43" s="403">
        <f t="shared" si="18"/>
        <v>0</v>
      </c>
      <c r="AJ43" s="403">
        <f t="shared" si="19"/>
        <v>0</v>
      </c>
      <c r="AK43" s="403">
        <f t="shared" si="20"/>
        <v>0</v>
      </c>
      <c r="AL43" s="403">
        <f t="shared" si="21"/>
        <v>0</v>
      </c>
      <c r="AM43" s="407" t="s">
        <v>954</v>
      </c>
      <c r="AN43" s="468">
        <f t="shared" ref="AN43:AT43" si="33">AF43</f>
        <v>0</v>
      </c>
      <c r="AO43" s="468">
        <f t="shared" si="33"/>
        <v>0</v>
      </c>
      <c r="AP43" s="468">
        <f t="shared" si="33"/>
        <v>0</v>
      </c>
      <c r="AQ43" s="468">
        <f t="shared" si="33"/>
        <v>0</v>
      </c>
      <c r="AR43" s="468">
        <f t="shared" si="33"/>
        <v>0</v>
      </c>
      <c r="AS43" s="468">
        <f t="shared" si="33"/>
        <v>0</v>
      </c>
      <c r="AT43" s="468">
        <f t="shared" si="33"/>
        <v>0</v>
      </c>
      <c r="AU43" s="276"/>
      <c r="AV43" s="468">
        <f>E43*$AC43*(1+$AD43%)</f>
        <v>0</v>
      </c>
      <c r="AW43" s="468">
        <f>J43*$AC43*(1+$AD43%)</f>
        <v>0</v>
      </c>
      <c r="AX43" s="468">
        <f>M43*$AC43*(1+$AD43%)</f>
        <v>0</v>
      </c>
      <c r="AY43" s="468">
        <f>P43*$AC43*(1+$AD43%)</f>
        <v>0</v>
      </c>
      <c r="AZ43" s="468">
        <f>S43*$AC43*(1+$AD43%)</f>
        <v>0</v>
      </c>
      <c r="BA43" s="468">
        <f>V43*$AC43*(1+$AD43%)</f>
        <v>0</v>
      </c>
      <c r="BB43" s="468">
        <f>Y43*$AC43*(1+$AD43%)</f>
        <v>0</v>
      </c>
    </row>
    <row r="44" spans="1:54" ht="23.25" customHeight="1">
      <c r="A44" s="300"/>
      <c r="B44" s="809">
        <v>12</v>
      </c>
      <c r="C44" s="431" t="s">
        <v>735</v>
      </c>
      <c r="D44" s="809" t="s">
        <v>231</v>
      </c>
      <c r="E44" s="723"/>
      <c r="F44" s="458"/>
      <c r="G44" s="723"/>
      <c r="H44" s="458"/>
      <c r="I44" s="723"/>
      <c r="J44" s="723"/>
      <c r="K44" s="723"/>
      <c r="L44" s="723"/>
      <c r="M44" s="723"/>
      <c r="N44" s="458"/>
      <c r="O44" s="458"/>
      <c r="P44" s="723"/>
      <c r="Q44" s="458"/>
      <c r="R44" s="458"/>
      <c r="S44" s="723"/>
      <c r="T44" s="458"/>
      <c r="U44" s="458"/>
      <c r="V44" s="723"/>
      <c r="W44" s="458"/>
      <c r="X44" s="458"/>
      <c r="Y44" s="723"/>
      <c r="Z44" s="458"/>
      <c r="AA44" s="458"/>
      <c r="AB44" s="567">
        <f t="shared" si="31"/>
        <v>411.04</v>
      </c>
      <c r="AC44" s="567">
        <v>260</v>
      </c>
      <c r="AD44" s="573">
        <v>3</v>
      </c>
      <c r="AE44" s="567">
        <v>143.24</v>
      </c>
      <c r="AF44" s="403">
        <f t="shared" si="15"/>
        <v>0</v>
      </c>
      <c r="AG44" s="403">
        <f t="shared" si="16"/>
        <v>0</v>
      </c>
      <c r="AH44" s="403">
        <f t="shared" si="17"/>
        <v>0</v>
      </c>
      <c r="AI44" s="403">
        <f t="shared" si="18"/>
        <v>0</v>
      </c>
      <c r="AJ44" s="403">
        <f t="shared" si="19"/>
        <v>0</v>
      </c>
      <c r="AK44" s="403">
        <f t="shared" si="20"/>
        <v>0</v>
      </c>
      <c r="AL44" s="403">
        <f t="shared" si="21"/>
        <v>0</v>
      </c>
      <c r="AM44" s="407"/>
      <c r="AN44" s="468"/>
      <c r="AO44" s="468"/>
      <c r="AP44" s="468"/>
      <c r="AQ44" s="468"/>
      <c r="AR44" s="468"/>
      <c r="AS44" s="468"/>
      <c r="AT44" s="468"/>
      <c r="AU44" s="276"/>
      <c r="AV44" s="468"/>
      <c r="AW44" s="468"/>
      <c r="AX44" s="468"/>
      <c r="AY44" s="468"/>
      <c r="AZ44" s="468"/>
      <c r="BA44" s="468"/>
      <c r="BB44" s="468"/>
    </row>
    <row r="45" spans="1:54" ht="23.25" customHeight="1">
      <c r="A45" s="300"/>
      <c r="B45" s="809">
        <v>13</v>
      </c>
      <c r="C45" s="431" t="s">
        <v>955</v>
      </c>
      <c r="D45" s="809" t="s">
        <v>231</v>
      </c>
      <c r="E45" s="723"/>
      <c r="F45" s="458"/>
      <c r="G45" s="723"/>
      <c r="H45" s="458"/>
      <c r="I45" s="723"/>
      <c r="J45" s="723"/>
      <c r="K45" s="723"/>
      <c r="L45" s="723"/>
      <c r="M45" s="723"/>
      <c r="N45" s="458"/>
      <c r="O45" s="458"/>
      <c r="P45" s="723"/>
      <c r="Q45" s="458"/>
      <c r="R45" s="458"/>
      <c r="S45" s="723"/>
      <c r="T45" s="458"/>
      <c r="U45" s="458"/>
      <c r="V45" s="723"/>
      <c r="W45" s="458"/>
      <c r="X45" s="458"/>
      <c r="Y45" s="723"/>
      <c r="Z45" s="458"/>
      <c r="AA45" s="458"/>
      <c r="AB45" s="567">
        <f t="shared" si="31"/>
        <v>390.52</v>
      </c>
      <c r="AC45" s="567">
        <v>260</v>
      </c>
      <c r="AD45" s="573">
        <v>3</v>
      </c>
      <c r="AE45" s="567">
        <f>117.72+5</f>
        <v>122.72</v>
      </c>
      <c r="AF45" s="403">
        <f t="shared" si="15"/>
        <v>0</v>
      </c>
      <c r="AG45" s="403">
        <f t="shared" si="16"/>
        <v>0</v>
      </c>
      <c r="AH45" s="403">
        <f t="shared" si="17"/>
        <v>0</v>
      </c>
      <c r="AI45" s="403">
        <f t="shared" si="18"/>
        <v>0</v>
      </c>
      <c r="AJ45" s="403">
        <f t="shared" si="19"/>
        <v>0</v>
      </c>
      <c r="AK45" s="403">
        <f t="shared" si="20"/>
        <v>0</v>
      </c>
      <c r="AL45" s="403">
        <f t="shared" si="21"/>
        <v>0</v>
      </c>
      <c r="AM45" s="407"/>
      <c r="AN45" s="468"/>
      <c r="AO45" s="468"/>
      <c r="AP45" s="468"/>
      <c r="AQ45" s="468"/>
      <c r="AR45" s="468"/>
      <c r="AS45" s="468"/>
      <c r="AT45" s="468"/>
      <c r="AU45" s="276"/>
      <c r="AV45" s="468"/>
      <c r="AW45" s="468"/>
      <c r="AX45" s="468"/>
      <c r="AY45" s="468"/>
      <c r="AZ45" s="468"/>
      <c r="BA45" s="468"/>
      <c r="BB45" s="468"/>
    </row>
    <row r="46" spans="1:54" ht="22.5">
      <c r="A46" s="300"/>
      <c r="B46" s="809">
        <v>14</v>
      </c>
      <c r="C46" s="407" t="s">
        <v>956</v>
      </c>
      <c r="D46" s="809" t="s">
        <v>235</v>
      </c>
      <c r="E46" s="723"/>
      <c r="F46" s="458"/>
      <c r="G46" s="723"/>
      <c r="H46" s="458"/>
      <c r="I46" s="723"/>
      <c r="J46" s="723"/>
      <c r="K46" s="723"/>
      <c r="L46" s="723"/>
      <c r="M46" s="723"/>
      <c r="N46" s="458"/>
      <c r="O46" s="458"/>
      <c r="P46" s="723"/>
      <c r="Q46" s="458"/>
      <c r="R46" s="458"/>
      <c r="S46" s="723"/>
      <c r="T46" s="458"/>
      <c r="U46" s="458"/>
      <c r="V46" s="723"/>
      <c r="W46" s="458"/>
      <c r="X46" s="458"/>
      <c r="Y46" s="723"/>
      <c r="Z46" s="458"/>
      <c r="AA46" s="458"/>
      <c r="AB46" s="567">
        <f t="shared" si="31"/>
        <v>136.4</v>
      </c>
      <c r="AC46" s="567">
        <v>80</v>
      </c>
      <c r="AD46" s="573">
        <v>3</v>
      </c>
      <c r="AE46" s="567">
        <v>54</v>
      </c>
      <c r="AF46" s="403">
        <f t="shared" si="15"/>
        <v>0</v>
      </c>
      <c r="AG46" s="403">
        <f t="shared" si="16"/>
        <v>0</v>
      </c>
      <c r="AH46" s="403">
        <f t="shared" si="17"/>
        <v>0</v>
      </c>
      <c r="AI46" s="403">
        <f t="shared" si="18"/>
        <v>0</v>
      </c>
      <c r="AJ46" s="403">
        <f t="shared" si="19"/>
        <v>0</v>
      </c>
      <c r="AK46" s="403">
        <f t="shared" si="20"/>
        <v>0</v>
      </c>
      <c r="AL46" s="403">
        <f t="shared" si="21"/>
        <v>0</v>
      </c>
      <c r="AM46" s="407"/>
      <c r="AN46" s="468"/>
      <c r="AO46" s="468"/>
      <c r="AP46" s="468"/>
      <c r="AQ46" s="468"/>
      <c r="AR46" s="468"/>
      <c r="AS46" s="468"/>
      <c r="AT46" s="468"/>
      <c r="AU46" s="276"/>
      <c r="AV46" s="468"/>
      <c r="AW46" s="468"/>
      <c r="AX46" s="468"/>
      <c r="AY46" s="468"/>
      <c r="AZ46" s="468"/>
      <c r="BA46" s="468"/>
      <c r="BB46" s="468"/>
    </row>
    <row r="47" spans="1:54" ht="22.5">
      <c r="A47" s="300"/>
      <c r="B47" s="809">
        <v>15</v>
      </c>
      <c r="C47" s="407" t="s">
        <v>957</v>
      </c>
      <c r="D47" s="809" t="s">
        <v>235</v>
      </c>
      <c r="E47" s="723"/>
      <c r="F47" s="458"/>
      <c r="G47" s="723"/>
      <c r="H47" s="458"/>
      <c r="I47" s="723"/>
      <c r="J47" s="723"/>
      <c r="K47" s="723"/>
      <c r="L47" s="723"/>
      <c r="M47" s="723"/>
      <c r="N47" s="458"/>
      <c r="O47" s="458"/>
      <c r="P47" s="723"/>
      <c r="Q47" s="458"/>
      <c r="R47" s="458"/>
      <c r="S47" s="723"/>
      <c r="T47" s="458"/>
      <c r="U47" s="458"/>
      <c r="V47" s="723"/>
      <c r="W47" s="458"/>
      <c r="X47" s="458"/>
      <c r="Y47" s="723"/>
      <c r="Z47" s="458"/>
      <c r="AA47" s="458"/>
      <c r="AB47" s="567">
        <f t="shared" si="31"/>
        <v>396.87</v>
      </c>
      <c r="AC47" s="567">
        <f>'附件4-8甲供材料清单'!K167</f>
        <v>363</v>
      </c>
      <c r="AD47" s="573">
        <v>1</v>
      </c>
      <c r="AE47" s="567">
        <v>30.24</v>
      </c>
      <c r="AF47" s="403">
        <f t="shared" si="15"/>
        <v>0</v>
      </c>
      <c r="AG47" s="403">
        <f t="shared" si="16"/>
        <v>0</v>
      </c>
      <c r="AH47" s="403">
        <f t="shared" si="17"/>
        <v>0</v>
      </c>
      <c r="AI47" s="403">
        <f t="shared" si="18"/>
        <v>0</v>
      </c>
      <c r="AJ47" s="403">
        <f t="shared" si="19"/>
        <v>0</v>
      </c>
      <c r="AK47" s="403">
        <f t="shared" si="20"/>
        <v>0</v>
      </c>
      <c r="AL47" s="403">
        <f t="shared" si="21"/>
        <v>0</v>
      </c>
      <c r="AM47" s="407" t="s">
        <v>244</v>
      </c>
      <c r="AN47" s="468">
        <f t="shared" ref="AN47:AT48" si="34">AF47</f>
        <v>0</v>
      </c>
      <c r="AO47" s="468">
        <f t="shared" si="34"/>
        <v>0</v>
      </c>
      <c r="AP47" s="468">
        <f t="shared" si="34"/>
        <v>0</v>
      </c>
      <c r="AQ47" s="468">
        <f t="shared" si="34"/>
        <v>0</v>
      </c>
      <c r="AR47" s="468">
        <f t="shared" si="34"/>
        <v>0</v>
      </c>
      <c r="AS47" s="468">
        <f t="shared" si="34"/>
        <v>0</v>
      </c>
      <c r="AT47" s="468">
        <f t="shared" si="34"/>
        <v>0</v>
      </c>
      <c r="AU47" s="276"/>
      <c r="AV47" s="468">
        <f>E47*$AC47*(1+$AD47%)</f>
        <v>0</v>
      </c>
      <c r="AW47" s="468">
        <f>J47*$AC47*(1+$AD47%)</f>
        <v>0</v>
      </c>
      <c r="AX47" s="468">
        <f>M47*$AC47*(1+$AD47%)</f>
        <v>0</v>
      </c>
      <c r="AY47" s="468">
        <f>P47*$AC47*(1+$AD47%)</f>
        <v>0</v>
      </c>
      <c r="AZ47" s="468">
        <f>S47*$AC47*(1+$AD47%)</f>
        <v>0</v>
      </c>
      <c r="BA47" s="468">
        <f>V47*$AC47*(1+$AD47%)</f>
        <v>0</v>
      </c>
      <c r="BB47" s="468">
        <f>Y47*$AC47*(1+$AD47%)</f>
        <v>0</v>
      </c>
    </row>
    <row r="48" spans="1:54" ht="56.25">
      <c r="A48" s="300"/>
      <c r="B48" s="809" t="s">
        <v>233</v>
      </c>
      <c r="C48" s="407" t="s">
        <v>959</v>
      </c>
      <c r="D48" s="809" t="s">
        <v>231</v>
      </c>
      <c r="E48" s="723"/>
      <c r="F48" s="458"/>
      <c r="G48" s="723"/>
      <c r="H48" s="458"/>
      <c r="I48" s="723"/>
      <c r="J48" s="723"/>
      <c r="K48" s="723"/>
      <c r="L48" s="723"/>
      <c r="M48" s="723"/>
      <c r="N48" s="458"/>
      <c r="O48" s="458"/>
      <c r="P48" s="723"/>
      <c r="Q48" s="458"/>
      <c r="R48" s="458"/>
      <c r="S48" s="723"/>
      <c r="T48" s="458"/>
      <c r="U48" s="458"/>
      <c r="V48" s="723"/>
      <c r="W48" s="458"/>
      <c r="X48" s="458"/>
      <c r="Y48" s="723"/>
      <c r="Z48" s="458"/>
      <c r="AA48" s="458"/>
      <c r="AB48" s="567">
        <f t="shared" si="31"/>
        <v>350.98666666666668</v>
      </c>
      <c r="AC48" s="567">
        <f>'附件4-8甲供材料清单'!M186</f>
        <v>66.666666666666671</v>
      </c>
      <c r="AD48" s="573">
        <v>10.5</v>
      </c>
      <c r="AE48" s="567">
        <v>277.32</v>
      </c>
      <c r="AF48" s="403">
        <f t="shared" si="15"/>
        <v>0</v>
      </c>
      <c r="AG48" s="403">
        <f t="shared" si="16"/>
        <v>0</v>
      </c>
      <c r="AH48" s="403">
        <f t="shared" si="17"/>
        <v>0</v>
      </c>
      <c r="AI48" s="403">
        <f t="shared" si="18"/>
        <v>0</v>
      </c>
      <c r="AJ48" s="403">
        <f t="shared" si="19"/>
        <v>0</v>
      </c>
      <c r="AK48" s="403">
        <f t="shared" si="20"/>
        <v>0</v>
      </c>
      <c r="AL48" s="403">
        <f t="shared" si="21"/>
        <v>0</v>
      </c>
      <c r="AM48" s="407" t="s">
        <v>244</v>
      </c>
      <c r="AN48" s="468">
        <f t="shared" si="34"/>
        <v>0</v>
      </c>
      <c r="AO48" s="468">
        <f t="shared" si="34"/>
        <v>0</v>
      </c>
      <c r="AP48" s="468">
        <f t="shared" si="34"/>
        <v>0</v>
      </c>
      <c r="AQ48" s="468">
        <f t="shared" si="34"/>
        <v>0</v>
      </c>
      <c r="AR48" s="468">
        <f t="shared" si="34"/>
        <v>0</v>
      </c>
      <c r="AS48" s="468">
        <f t="shared" si="34"/>
        <v>0</v>
      </c>
      <c r="AT48" s="468">
        <f t="shared" si="34"/>
        <v>0</v>
      </c>
      <c r="AU48" s="276"/>
      <c r="AV48" s="468">
        <f>E48*$AC48*(1+$AD48%)</f>
        <v>0</v>
      </c>
      <c r="AW48" s="468">
        <f>J48*$AC48*(1+$AD48%)</f>
        <v>0</v>
      </c>
      <c r="AX48" s="468">
        <f>M48*$AC48*(1+$AD48%)</f>
        <v>0</v>
      </c>
      <c r="AY48" s="468">
        <f>P48*$AC48*(1+$AD48%)</f>
        <v>0</v>
      </c>
      <c r="AZ48" s="468">
        <f>S48*$AC48*(1+$AD48%)</f>
        <v>0</v>
      </c>
      <c r="BA48" s="468">
        <f>V48*$AC48*(1+$AD48%)</f>
        <v>0</v>
      </c>
      <c r="BB48" s="468">
        <f>Y48*$AC48*(1+$AD48%)</f>
        <v>0</v>
      </c>
    </row>
    <row r="49" spans="1:54" ht="33.75">
      <c r="A49" s="300"/>
      <c r="B49" s="809" t="s">
        <v>233</v>
      </c>
      <c r="C49" s="407" t="s">
        <v>960</v>
      </c>
      <c r="D49" s="809" t="s">
        <v>436</v>
      </c>
      <c r="E49" s="723"/>
      <c r="F49" s="458"/>
      <c r="G49" s="723"/>
      <c r="H49" s="458"/>
      <c r="I49" s="723"/>
      <c r="J49" s="723"/>
      <c r="K49" s="723"/>
      <c r="L49" s="723"/>
      <c r="M49" s="723"/>
      <c r="N49" s="458"/>
      <c r="O49" s="458"/>
      <c r="P49" s="723"/>
      <c r="Q49" s="458"/>
      <c r="R49" s="458"/>
      <c r="S49" s="723"/>
      <c r="T49" s="458"/>
      <c r="U49" s="458"/>
      <c r="V49" s="723"/>
      <c r="W49" s="458"/>
      <c r="X49" s="458"/>
      <c r="Y49" s="723"/>
      <c r="Z49" s="458"/>
      <c r="AA49" s="458"/>
      <c r="AB49" s="567">
        <f t="shared" si="31"/>
        <v>148</v>
      </c>
      <c r="AC49" s="567"/>
      <c r="AD49" s="573"/>
      <c r="AE49" s="567">
        <v>148</v>
      </c>
      <c r="AF49" s="403">
        <f t="shared" si="15"/>
        <v>0</v>
      </c>
      <c r="AG49" s="403">
        <f t="shared" si="16"/>
        <v>0</v>
      </c>
      <c r="AH49" s="403">
        <f t="shared" si="17"/>
        <v>0</v>
      </c>
      <c r="AI49" s="403">
        <f t="shared" si="18"/>
        <v>0</v>
      </c>
      <c r="AJ49" s="403">
        <f t="shared" si="19"/>
        <v>0</v>
      </c>
      <c r="AK49" s="403">
        <f t="shared" si="20"/>
        <v>0</v>
      </c>
      <c r="AL49" s="403">
        <f t="shared" si="21"/>
        <v>0</v>
      </c>
      <c r="AM49" s="407"/>
      <c r="AN49" s="468"/>
      <c r="AO49" s="468"/>
      <c r="AP49" s="468"/>
      <c r="AQ49" s="468"/>
      <c r="AR49" s="468"/>
      <c r="AS49" s="468"/>
      <c r="AT49" s="468"/>
      <c r="AU49" s="276"/>
      <c r="AV49" s="468"/>
      <c r="AW49" s="468"/>
      <c r="AX49" s="468"/>
      <c r="AY49" s="468"/>
      <c r="AZ49" s="468"/>
      <c r="BA49" s="468"/>
      <c r="BB49" s="468"/>
    </row>
    <row r="50" spans="1:54" s="818" customFormat="1" ht="24.75" customHeight="1">
      <c r="A50" s="300"/>
      <c r="B50" s="635" t="s">
        <v>64</v>
      </c>
      <c r="C50" s="636" t="s">
        <v>743</v>
      </c>
      <c r="D50" s="635"/>
      <c r="E50" s="636" t="s">
        <v>1859</v>
      </c>
      <c r="F50" s="636"/>
      <c r="G50" s="636"/>
      <c r="H50" s="636"/>
      <c r="I50" s="636"/>
      <c r="J50" s="636"/>
      <c r="K50" s="636"/>
      <c r="L50" s="636"/>
      <c r="M50" s="636"/>
      <c r="N50" s="636"/>
      <c r="O50" s="636"/>
      <c r="P50" s="636"/>
      <c r="Q50" s="636"/>
      <c r="R50" s="636"/>
      <c r="S50" s="636"/>
      <c r="T50" s="636"/>
      <c r="U50" s="636"/>
      <c r="V50" s="636"/>
      <c r="W50" s="636"/>
      <c r="X50" s="636"/>
      <c r="Y50" s="636"/>
      <c r="Z50" s="636"/>
      <c r="AA50" s="636"/>
      <c r="AB50" s="636"/>
      <c r="AC50" s="636"/>
      <c r="AD50" s="636"/>
      <c r="AE50" s="636"/>
      <c r="AF50" s="636"/>
      <c r="AG50" s="636"/>
      <c r="AH50" s="636"/>
      <c r="AI50" s="636"/>
      <c r="AJ50" s="636"/>
      <c r="AK50" s="636"/>
      <c r="AL50" s="636"/>
      <c r="AM50" s="636" t="s">
        <v>1868</v>
      </c>
      <c r="AN50" s="808"/>
      <c r="AO50" s="808"/>
      <c r="AP50" s="808"/>
      <c r="AQ50" s="808"/>
      <c r="AR50" s="808"/>
      <c r="AS50" s="808"/>
      <c r="AT50" s="808"/>
      <c r="AU50" s="275"/>
      <c r="AV50" s="808"/>
      <c r="AW50" s="808"/>
      <c r="AX50" s="808"/>
      <c r="AY50" s="808"/>
      <c r="AZ50" s="808"/>
      <c r="BA50" s="808"/>
      <c r="BB50" s="808"/>
    </row>
    <row r="51" spans="1:54" ht="22.5">
      <c r="A51" s="300"/>
      <c r="B51" s="809">
        <v>1</v>
      </c>
      <c r="C51" s="407" t="s">
        <v>2009</v>
      </c>
      <c r="D51" s="809" t="s">
        <v>320</v>
      </c>
      <c r="E51" s="575">
        <v>4</v>
      </c>
      <c r="F51" s="798" t="s">
        <v>1993</v>
      </c>
      <c r="G51" s="819"/>
      <c r="H51" s="798" t="s">
        <v>1995</v>
      </c>
      <c r="I51" s="819"/>
      <c r="J51" s="575">
        <v>2</v>
      </c>
      <c r="K51" s="575"/>
      <c r="L51" s="819"/>
      <c r="M51" s="575">
        <v>4</v>
      </c>
      <c r="N51" s="798" t="s">
        <v>1989</v>
      </c>
      <c r="O51" s="819"/>
      <c r="P51" s="575">
        <v>4</v>
      </c>
      <c r="Q51" s="798" t="s">
        <v>1975</v>
      </c>
      <c r="R51" s="819"/>
      <c r="S51" s="575">
        <v>4</v>
      </c>
      <c r="T51" s="798" t="s">
        <v>1971</v>
      </c>
      <c r="U51" s="819"/>
      <c r="V51" s="575">
        <v>4</v>
      </c>
      <c r="W51" s="798" t="s">
        <v>1970</v>
      </c>
      <c r="X51" s="819"/>
      <c r="Y51" s="575">
        <v>4</v>
      </c>
      <c r="Z51" s="798" t="s">
        <v>1953</v>
      </c>
      <c r="AA51" s="819"/>
      <c r="AB51" s="567">
        <f t="shared" si="31"/>
        <v>12.473199999999999</v>
      </c>
      <c r="AC51" s="567">
        <f>'附件4-8甲供材料清单'!K93</f>
        <v>5.72</v>
      </c>
      <c r="AD51" s="573">
        <v>1</v>
      </c>
      <c r="AE51" s="567">
        <v>6.6959999999999997</v>
      </c>
      <c r="AF51" s="403">
        <f t="shared" ref="AF51:AF66" si="35">E51*$AB51</f>
        <v>49.892799999999994</v>
      </c>
      <c r="AG51" s="403">
        <f t="shared" ref="AG51:AG66" si="36">J51*$AB51</f>
        <v>24.946399999999997</v>
      </c>
      <c r="AH51" s="403">
        <f t="shared" ref="AH51:AH66" si="37">M51*$AB51</f>
        <v>49.892799999999994</v>
      </c>
      <c r="AI51" s="403">
        <f t="shared" ref="AI51:AI66" si="38">P51*$AB51</f>
        <v>49.892799999999994</v>
      </c>
      <c r="AJ51" s="403">
        <f t="shared" ref="AJ51:AJ66" si="39">S51*$AB51</f>
        <v>49.892799999999994</v>
      </c>
      <c r="AK51" s="403">
        <f t="shared" ref="AK51:AK66" si="40">V51*$AB51</f>
        <v>49.892799999999994</v>
      </c>
      <c r="AL51" s="403">
        <f t="shared" ref="AL51:AL66" si="41">Y51*$AB51</f>
        <v>49.892799999999994</v>
      </c>
      <c r="AM51" s="407" t="s">
        <v>244</v>
      </c>
      <c r="AN51" s="468">
        <f t="shared" ref="AN51:AT58" si="42">AF51</f>
        <v>49.892799999999994</v>
      </c>
      <c r="AO51" s="468">
        <f t="shared" si="42"/>
        <v>24.946399999999997</v>
      </c>
      <c r="AP51" s="468">
        <f t="shared" si="42"/>
        <v>49.892799999999994</v>
      </c>
      <c r="AQ51" s="468">
        <f t="shared" si="42"/>
        <v>49.892799999999994</v>
      </c>
      <c r="AR51" s="468">
        <f t="shared" si="42"/>
        <v>49.892799999999994</v>
      </c>
      <c r="AS51" s="468">
        <f t="shared" si="42"/>
        <v>49.892799999999994</v>
      </c>
      <c r="AT51" s="468">
        <f t="shared" si="42"/>
        <v>49.892799999999994</v>
      </c>
      <c r="AU51" s="276"/>
      <c r="AV51" s="468">
        <f t="shared" ref="AV51:AV58" si="43">E51*$AC51*(1+$AD51%)</f>
        <v>23.108799999999999</v>
      </c>
      <c r="AW51" s="468">
        <f t="shared" ref="AW51:AW58" si="44">J51*$AC51*(1+$AD51%)</f>
        <v>11.554399999999999</v>
      </c>
      <c r="AX51" s="468">
        <f t="shared" ref="AX51:AX58" si="45">M51*$AC51*(1+$AD51%)</f>
        <v>23.108799999999999</v>
      </c>
      <c r="AY51" s="468">
        <f t="shared" ref="AY51:AY58" si="46">P51*$AC51*(1+$AD51%)</f>
        <v>23.108799999999999</v>
      </c>
      <c r="AZ51" s="468">
        <f t="shared" ref="AZ51:AZ58" si="47">S51*$AC51*(1+$AD51%)</f>
        <v>23.108799999999999</v>
      </c>
      <c r="BA51" s="468">
        <f t="shared" ref="BA51:BA58" si="48">V51*$AC51*(1+$AD51%)</f>
        <v>23.108799999999999</v>
      </c>
      <c r="BB51" s="468">
        <f t="shared" ref="BB51:BB58" si="49">Y51*$AC51*(1+$AD51%)</f>
        <v>23.108799999999999</v>
      </c>
    </row>
    <row r="52" spans="1:54" ht="22.5">
      <c r="A52" s="300"/>
      <c r="B52" s="809">
        <v>2</v>
      </c>
      <c r="C52" s="407" t="s">
        <v>962</v>
      </c>
      <c r="D52" s="809" t="s">
        <v>320</v>
      </c>
      <c r="E52" s="575"/>
      <c r="F52" s="798" t="s">
        <v>1954</v>
      </c>
      <c r="G52" s="819"/>
      <c r="H52" s="798" t="s">
        <v>1954</v>
      </c>
      <c r="I52" s="819"/>
      <c r="J52" s="575"/>
      <c r="K52" s="575"/>
      <c r="L52" s="575"/>
      <c r="M52" s="575"/>
      <c r="N52" s="798" t="s">
        <v>1958</v>
      </c>
      <c r="O52" s="798"/>
      <c r="P52" s="575"/>
      <c r="Q52" s="798" t="s">
        <v>1958</v>
      </c>
      <c r="R52" s="819"/>
      <c r="S52" s="575"/>
      <c r="T52" s="798" t="s">
        <v>1958</v>
      </c>
      <c r="U52" s="798"/>
      <c r="V52" s="575"/>
      <c r="W52" s="798" t="s">
        <v>1958</v>
      </c>
      <c r="X52" s="798"/>
      <c r="Y52" s="575"/>
      <c r="Z52" s="798" t="s">
        <v>1954</v>
      </c>
      <c r="AA52" s="798"/>
      <c r="AB52" s="567">
        <f t="shared" si="31"/>
        <v>18.815999999999999</v>
      </c>
      <c r="AC52" s="567">
        <f>'附件4-8甲供材料清单'!K95</f>
        <v>12</v>
      </c>
      <c r="AD52" s="573">
        <v>1</v>
      </c>
      <c r="AE52" s="567">
        <v>6.6959999999999997</v>
      </c>
      <c r="AF52" s="403">
        <f t="shared" si="35"/>
        <v>0</v>
      </c>
      <c r="AG52" s="403">
        <f t="shared" si="36"/>
        <v>0</v>
      </c>
      <c r="AH52" s="403">
        <f t="shared" si="37"/>
        <v>0</v>
      </c>
      <c r="AI52" s="403">
        <f t="shared" si="38"/>
        <v>0</v>
      </c>
      <c r="AJ52" s="403">
        <f t="shared" si="39"/>
        <v>0</v>
      </c>
      <c r="AK52" s="403">
        <f t="shared" si="40"/>
        <v>0</v>
      </c>
      <c r="AL52" s="403">
        <f t="shared" si="41"/>
        <v>0</v>
      </c>
      <c r="AM52" s="407" t="s">
        <v>244</v>
      </c>
      <c r="AN52" s="468">
        <f t="shared" si="42"/>
        <v>0</v>
      </c>
      <c r="AO52" s="468">
        <f t="shared" si="42"/>
        <v>0</v>
      </c>
      <c r="AP52" s="468">
        <f t="shared" si="42"/>
        <v>0</v>
      </c>
      <c r="AQ52" s="468">
        <f t="shared" si="42"/>
        <v>0</v>
      </c>
      <c r="AR52" s="468">
        <f t="shared" si="42"/>
        <v>0</v>
      </c>
      <c r="AS52" s="468">
        <f t="shared" si="42"/>
        <v>0</v>
      </c>
      <c r="AT52" s="468">
        <f t="shared" si="42"/>
        <v>0</v>
      </c>
      <c r="AU52" s="276"/>
      <c r="AV52" s="468">
        <f t="shared" si="43"/>
        <v>0</v>
      </c>
      <c r="AW52" s="468">
        <f t="shared" si="44"/>
        <v>0</v>
      </c>
      <c r="AX52" s="468">
        <f t="shared" si="45"/>
        <v>0</v>
      </c>
      <c r="AY52" s="468">
        <f t="shared" si="46"/>
        <v>0</v>
      </c>
      <c r="AZ52" s="468">
        <f t="shared" si="47"/>
        <v>0</v>
      </c>
      <c r="BA52" s="468">
        <f t="shared" si="48"/>
        <v>0</v>
      </c>
      <c r="BB52" s="468">
        <f t="shared" si="49"/>
        <v>0</v>
      </c>
    </row>
    <row r="53" spans="1:54" ht="22.5">
      <c r="A53" s="300"/>
      <c r="B53" s="809">
        <v>3</v>
      </c>
      <c r="C53" s="407" t="s">
        <v>2008</v>
      </c>
      <c r="D53" s="809" t="s">
        <v>320</v>
      </c>
      <c r="E53" s="575"/>
      <c r="F53" s="798" t="s">
        <v>1994</v>
      </c>
      <c r="G53" s="819"/>
      <c r="H53" s="798" t="s">
        <v>1996</v>
      </c>
      <c r="I53" s="819"/>
      <c r="J53" s="575"/>
      <c r="K53" s="575"/>
      <c r="L53" s="575"/>
      <c r="M53" s="575"/>
      <c r="N53" s="798" t="s">
        <v>1990</v>
      </c>
      <c r="O53" s="798"/>
      <c r="P53" s="575"/>
      <c r="Q53" s="798"/>
      <c r="R53" s="798"/>
      <c r="S53" s="575"/>
      <c r="T53" s="798"/>
      <c r="U53" s="798"/>
      <c r="V53" s="575"/>
      <c r="W53" s="798"/>
      <c r="X53" s="798"/>
      <c r="Y53" s="575"/>
      <c r="Z53" s="798"/>
      <c r="AA53" s="798"/>
      <c r="AB53" s="567">
        <f t="shared" si="31"/>
        <v>15.109299999999999</v>
      </c>
      <c r="AC53" s="567">
        <f>'附件4-8甲供材料清单'!K94</f>
        <v>8.33</v>
      </c>
      <c r="AD53" s="573">
        <v>1</v>
      </c>
      <c r="AE53" s="567">
        <v>6.6959999999999997</v>
      </c>
      <c r="AF53" s="403">
        <f t="shared" si="35"/>
        <v>0</v>
      </c>
      <c r="AG53" s="403">
        <f t="shared" si="36"/>
        <v>0</v>
      </c>
      <c r="AH53" s="403">
        <f t="shared" si="37"/>
        <v>0</v>
      </c>
      <c r="AI53" s="403">
        <f t="shared" si="38"/>
        <v>0</v>
      </c>
      <c r="AJ53" s="403">
        <f t="shared" si="39"/>
        <v>0</v>
      </c>
      <c r="AK53" s="403">
        <f t="shared" si="40"/>
        <v>0</v>
      </c>
      <c r="AL53" s="403">
        <f t="shared" si="41"/>
        <v>0</v>
      </c>
      <c r="AM53" s="407" t="s">
        <v>244</v>
      </c>
      <c r="AN53" s="468">
        <f t="shared" si="42"/>
        <v>0</v>
      </c>
      <c r="AO53" s="468">
        <f t="shared" si="42"/>
        <v>0</v>
      </c>
      <c r="AP53" s="468">
        <f t="shared" si="42"/>
        <v>0</v>
      </c>
      <c r="AQ53" s="468">
        <f t="shared" si="42"/>
        <v>0</v>
      </c>
      <c r="AR53" s="468">
        <f t="shared" si="42"/>
        <v>0</v>
      </c>
      <c r="AS53" s="468">
        <f t="shared" si="42"/>
        <v>0</v>
      </c>
      <c r="AT53" s="468">
        <f t="shared" si="42"/>
        <v>0</v>
      </c>
      <c r="AU53" s="276"/>
      <c r="AV53" s="468">
        <f t="shared" si="43"/>
        <v>0</v>
      </c>
      <c r="AW53" s="468">
        <f t="shared" si="44"/>
        <v>0</v>
      </c>
      <c r="AX53" s="468">
        <f t="shared" si="45"/>
        <v>0</v>
      </c>
      <c r="AY53" s="468">
        <f t="shared" si="46"/>
        <v>0</v>
      </c>
      <c r="AZ53" s="468">
        <f t="shared" si="47"/>
        <v>0</v>
      </c>
      <c r="BA53" s="468">
        <f t="shared" si="48"/>
        <v>0</v>
      </c>
      <c r="BB53" s="468">
        <f t="shared" si="49"/>
        <v>0</v>
      </c>
    </row>
    <row r="54" spans="1:54" ht="22.5">
      <c r="A54" s="300"/>
      <c r="B54" s="809">
        <v>4</v>
      </c>
      <c r="C54" s="407" t="s">
        <v>964</v>
      </c>
      <c r="D54" s="809" t="s">
        <v>320</v>
      </c>
      <c r="E54" s="575">
        <v>4</v>
      </c>
      <c r="F54" s="798" t="s">
        <v>1992</v>
      </c>
      <c r="G54" s="819"/>
      <c r="H54" s="798" t="s">
        <v>1997</v>
      </c>
      <c r="I54" s="819"/>
      <c r="J54" s="575">
        <v>2</v>
      </c>
      <c r="K54" s="575"/>
      <c r="L54" s="819"/>
      <c r="M54" s="575">
        <v>4</v>
      </c>
      <c r="N54" s="798" t="s">
        <v>1976</v>
      </c>
      <c r="O54" s="819"/>
      <c r="P54" s="575">
        <v>4</v>
      </c>
      <c r="Q54" s="798" t="s">
        <v>1976</v>
      </c>
      <c r="R54" s="819"/>
      <c r="S54" s="575">
        <v>4</v>
      </c>
      <c r="T54" s="798" t="s">
        <v>1973</v>
      </c>
      <c r="U54" s="819"/>
      <c r="V54" s="575">
        <v>4</v>
      </c>
      <c r="W54" s="798" t="s">
        <v>1972</v>
      </c>
      <c r="X54" s="819"/>
      <c r="Y54" s="575">
        <v>4</v>
      </c>
      <c r="Z54" s="798" t="s">
        <v>1959</v>
      </c>
      <c r="AA54" s="819"/>
      <c r="AB54" s="567">
        <f t="shared" si="31"/>
        <v>97.596000000000004</v>
      </c>
      <c r="AC54" s="567">
        <f>'附件4-8甲供材料清单'!K92</f>
        <v>90</v>
      </c>
      <c r="AD54" s="573">
        <v>1</v>
      </c>
      <c r="AE54" s="567">
        <v>6.6959999999999997</v>
      </c>
      <c r="AF54" s="403">
        <f t="shared" si="35"/>
        <v>390.38400000000001</v>
      </c>
      <c r="AG54" s="403">
        <f t="shared" si="36"/>
        <v>195.19200000000001</v>
      </c>
      <c r="AH54" s="403">
        <f t="shared" si="37"/>
        <v>390.38400000000001</v>
      </c>
      <c r="AI54" s="403">
        <f t="shared" si="38"/>
        <v>390.38400000000001</v>
      </c>
      <c r="AJ54" s="403">
        <f t="shared" si="39"/>
        <v>390.38400000000001</v>
      </c>
      <c r="AK54" s="403">
        <f t="shared" si="40"/>
        <v>390.38400000000001</v>
      </c>
      <c r="AL54" s="403">
        <f t="shared" si="41"/>
        <v>390.38400000000001</v>
      </c>
      <c r="AM54" s="407" t="s">
        <v>244</v>
      </c>
      <c r="AN54" s="468">
        <f t="shared" si="42"/>
        <v>390.38400000000001</v>
      </c>
      <c r="AO54" s="468">
        <f t="shared" si="42"/>
        <v>195.19200000000001</v>
      </c>
      <c r="AP54" s="468">
        <f t="shared" si="42"/>
        <v>390.38400000000001</v>
      </c>
      <c r="AQ54" s="468">
        <f t="shared" si="42"/>
        <v>390.38400000000001</v>
      </c>
      <c r="AR54" s="468">
        <f t="shared" si="42"/>
        <v>390.38400000000001</v>
      </c>
      <c r="AS54" s="468">
        <f t="shared" si="42"/>
        <v>390.38400000000001</v>
      </c>
      <c r="AT54" s="468">
        <f t="shared" si="42"/>
        <v>390.38400000000001</v>
      </c>
      <c r="AU54" s="276"/>
      <c r="AV54" s="468">
        <f t="shared" si="43"/>
        <v>363.6</v>
      </c>
      <c r="AW54" s="468">
        <f t="shared" si="44"/>
        <v>181.8</v>
      </c>
      <c r="AX54" s="468">
        <f t="shared" si="45"/>
        <v>363.6</v>
      </c>
      <c r="AY54" s="468">
        <f t="shared" si="46"/>
        <v>363.6</v>
      </c>
      <c r="AZ54" s="468">
        <f t="shared" si="47"/>
        <v>363.6</v>
      </c>
      <c r="BA54" s="468">
        <f t="shared" si="48"/>
        <v>363.6</v>
      </c>
      <c r="BB54" s="468">
        <f t="shared" si="49"/>
        <v>363.6</v>
      </c>
    </row>
    <row r="55" spans="1:54" ht="22.5">
      <c r="A55" s="300"/>
      <c r="B55" s="809" t="s">
        <v>57</v>
      </c>
      <c r="C55" s="431" t="s">
        <v>750</v>
      </c>
      <c r="D55" s="809" t="s">
        <v>320</v>
      </c>
      <c r="E55" s="575"/>
      <c r="F55" s="798"/>
      <c r="G55" s="819"/>
      <c r="H55" s="798"/>
      <c r="I55" s="575"/>
      <c r="J55" s="575"/>
      <c r="K55" s="575"/>
      <c r="L55" s="575"/>
      <c r="M55" s="723"/>
      <c r="N55" s="458"/>
      <c r="O55" s="458"/>
      <c r="P55" s="575"/>
      <c r="Q55" s="798"/>
      <c r="R55" s="798"/>
      <c r="S55" s="575"/>
      <c r="T55" s="798"/>
      <c r="U55" s="798"/>
      <c r="V55" s="575"/>
      <c r="W55" s="798"/>
      <c r="X55" s="798"/>
      <c r="Y55" s="575"/>
      <c r="Z55" s="798"/>
      <c r="AA55" s="798"/>
      <c r="AB55" s="567">
        <f t="shared" si="31"/>
        <v>52.146000000000001</v>
      </c>
      <c r="AC55" s="567">
        <f>'附件4-8甲供材料清单'!K91</f>
        <v>45</v>
      </c>
      <c r="AD55" s="573">
        <v>1</v>
      </c>
      <c r="AE55" s="567">
        <v>6.6959999999999997</v>
      </c>
      <c r="AF55" s="403">
        <f t="shared" si="35"/>
        <v>0</v>
      </c>
      <c r="AG55" s="403">
        <f t="shared" si="36"/>
        <v>0</v>
      </c>
      <c r="AH55" s="403">
        <f t="shared" si="37"/>
        <v>0</v>
      </c>
      <c r="AI55" s="403">
        <f t="shared" si="38"/>
        <v>0</v>
      </c>
      <c r="AJ55" s="403">
        <f t="shared" si="39"/>
        <v>0</v>
      </c>
      <c r="AK55" s="403">
        <f t="shared" si="40"/>
        <v>0</v>
      </c>
      <c r="AL55" s="403">
        <f t="shared" si="41"/>
        <v>0</v>
      </c>
      <c r="AM55" s="407" t="s">
        <v>244</v>
      </c>
      <c r="AN55" s="468">
        <f t="shared" si="42"/>
        <v>0</v>
      </c>
      <c r="AO55" s="468">
        <f t="shared" si="42"/>
        <v>0</v>
      </c>
      <c r="AP55" s="468">
        <f t="shared" si="42"/>
        <v>0</v>
      </c>
      <c r="AQ55" s="468">
        <f t="shared" si="42"/>
        <v>0</v>
      </c>
      <c r="AR55" s="468">
        <f t="shared" si="42"/>
        <v>0</v>
      </c>
      <c r="AS55" s="468">
        <f t="shared" si="42"/>
        <v>0</v>
      </c>
      <c r="AT55" s="468">
        <f t="shared" si="42"/>
        <v>0</v>
      </c>
      <c r="AU55" s="276"/>
      <c r="AV55" s="468">
        <f t="shared" si="43"/>
        <v>0</v>
      </c>
      <c r="AW55" s="468">
        <f t="shared" si="44"/>
        <v>0</v>
      </c>
      <c r="AX55" s="468">
        <f t="shared" si="45"/>
        <v>0</v>
      </c>
      <c r="AY55" s="468">
        <f t="shared" si="46"/>
        <v>0</v>
      </c>
      <c r="AZ55" s="468">
        <f t="shared" si="47"/>
        <v>0</v>
      </c>
      <c r="BA55" s="468">
        <f t="shared" si="48"/>
        <v>0</v>
      </c>
      <c r="BB55" s="468">
        <f t="shared" si="49"/>
        <v>0</v>
      </c>
    </row>
    <row r="56" spans="1:54" ht="22.5">
      <c r="A56" s="300"/>
      <c r="B56" s="809">
        <v>5</v>
      </c>
      <c r="C56" s="407" t="s">
        <v>965</v>
      </c>
      <c r="D56" s="809" t="s">
        <v>320</v>
      </c>
      <c r="E56" s="575"/>
      <c r="F56" s="798"/>
      <c r="G56" s="575"/>
      <c r="H56" s="798"/>
      <c r="I56" s="575"/>
      <c r="J56" s="575"/>
      <c r="K56" s="575"/>
      <c r="L56" s="575"/>
      <c r="M56" s="723"/>
      <c r="N56" s="458"/>
      <c r="O56" s="458"/>
      <c r="P56" s="575"/>
      <c r="Q56" s="798"/>
      <c r="R56" s="798"/>
      <c r="S56" s="575"/>
      <c r="T56" s="798"/>
      <c r="U56" s="798"/>
      <c r="V56" s="575"/>
      <c r="W56" s="798"/>
      <c r="X56" s="798"/>
      <c r="Y56" s="575"/>
      <c r="Z56" s="798"/>
      <c r="AA56" s="798"/>
      <c r="AB56" s="567">
        <f t="shared" si="31"/>
        <v>83.070000000000007</v>
      </c>
      <c r="AC56" s="567">
        <f>'附件4-8甲供材料清单'!K208</f>
        <v>63</v>
      </c>
      <c r="AD56" s="573">
        <v>1</v>
      </c>
      <c r="AE56" s="567">
        <v>19.440000000000001</v>
      </c>
      <c r="AF56" s="403">
        <f t="shared" si="35"/>
        <v>0</v>
      </c>
      <c r="AG56" s="403">
        <f t="shared" si="36"/>
        <v>0</v>
      </c>
      <c r="AH56" s="403">
        <f t="shared" si="37"/>
        <v>0</v>
      </c>
      <c r="AI56" s="403">
        <f t="shared" si="38"/>
        <v>0</v>
      </c>
      <c r="AJ56" s="403">
        <f t="shared" si="39"/>
        <v>0</v>
      </c>
      <c r="AK56" s="403">
        <f t="shared" si="40"/>
        <v>0</v>
      </c>
      <c r="AL56" s="403">
        <f t="shared" si="41"/>
        <v>0</v>
      </c>
      <c r="AM56" s="407" t="s">
        <v>244</v>
      </c>
      <c r="AN56" s="468">
        <f t="shared" si="42"/>
        <v>0</v>
      </c>
      <c r="AO56" s="468">
        <f t="shared" si="42"/>
        <v>0</v>
      </c>
      <c r="AP56" s="468">
        <f t="shared" si="42"/>
        <v>0</v>
      </c>
      <c r="AQ56" s="468">
        <f t="shared" si="42"/>
        <v>0</v>
      </c>
      <c r="AR56" s="468">
        <f t="shared" si="42"/>
        <v>0</v>
      </c>
      <c r="AS56" s="468">
        <f t="shared" si="42"/>
        <v>0</v>
      </c>
      <c r="AT56" s="468">
        <f t="shared" si="42"/>
        <v>0</v>
      </c>
      <c r="AU56" s="276"/>
      <c r="AV56" s="468">
        <f t="shared" si="43"/>
        <v>0</v>
      </c>
      <c r="AW56" s="468">
        <f t="shared" si="44"/>
        <v>0</v>
      </c>
      <c r="AX56" s="468">
        <f t="shared" si="45"/>
        <v>0</v>
      </c>
      <c r="AY56" s="468">
        <f t="shared" si="46"/>
        <v>0</v>
      </c>
      <c r="AZ56" s="468">
        <f t="shared" si="47"/>
        <v>0</v>
      </c>
      <c r="BA56" s="468">
        <f t="shared" si="48"/>
        <v>0</v>
      </c>
      <c r="BB56" s="468">
        <f t="shared" si="49"/>
        <v>0</v>
      </c>
    </row>
    <row r="57" spans="1:54" ht="22.5">
      <c r="A57" s="300"/>
      <c r="B57" s="809">
        <v>6</v>
      </c>
      <c r="C57" s="407" t="s">
        <v>2007</v>
      </c>
      <c r="D57" s="809" t="s">
        <v>482</v>
      </c>
      <c r="E57" s="575">
        <v>56</v>
      </c>
      <c r="F57" s="798" t="s">
        <v>1968</v>
      </c>
      <c r="G57" s="819"/>
      <c r="H57" s="798" t="s">
        <v>1969</v>
      </c>
      <c r="I57" s="819"/>
      <c r="J57" s="575">
        <v>45</v>
      </c>
      <c r="K57" s="575"/>
      <c r="L57" s="819"/>
      <c r="M57" s="575">
        <v>56</v>
      </c>
      <c r="N57" s="798" t="s">
        <v>1988</v>
      </c>
      <c r="O57" s="819"/>
      <c r="P57" s="575">
        <v>56</v>
      </c>
      <c r="Q57" s="798" t="s">
        <v>1987</v>
      </c>
      <c r="R57" s="819"/>
      <c r="S57" s="575">
        <v>56</v>
      </c>
      <c r="T57" s="798" t="s">
        <v>1977</v>
      </c>
      <c r="U57" s="819"/>
      <c r="V57" s="575">
        <v>56</v>
      </c>
      <c r="W57" s="798" t="s">
        <v>1974</v>
      </c>
      <c r="X57" s="819"/>
      <c r="Y57" s="575">
        <v>56</v>
      </c>
      <c r="Z57" s="798" t="s">
        <v>1960</v>
      </c>
      <c r="AA57" s="819"/>
      <c r="AB57" s="567">
        <f t="shared" si="31"/>
        <v>47.300000000000004</v>
      </c>
      <c r="AC57" s="567">
        <f>'附件4-8甲供材料清单'!K207</f>
        <v>34</v>
      </c>
      <c r="AD57" s="573">
        <v>1</v>
      </c>
      <c r="AE57" s="567">
        <v>12.96</v>
      </c>
      <c r="AF57" s="403">
        <f t="shared" si="35"/>
        <v>2648.8</v>
      </c>
      <c r="AG57" s="403">
        <f t="shared" si="36"/>
        <v>2128.5</v>
      </c>
      <c r="AH57" s="403">
        <f t="shared" si="37"/>
        <v>2648.8</v>
      </c>
      <c r="AI57" s="403">
        <f t="shared" si="38"/>
        <v>2648.8</v>
      </c>
      <c r="AJ57" s="403">
        <f t="shared" si="39"/>
        <v>2648.8</v>
      </c>
      <c r="AK57" s="403">
        <f t="shared" si="40"/>
        <v>2648.8</v>
      </c>
      <c r="AL57" s="403">
        <f t="shared" si="41"/>
        <v>2648.8</v>
      </c>
      <c r="AM57" s="407" t="s">
        <v>244</v>
      </c>
      <c r="AN57" s="468">
        <f t="shared" si="42"/>
        <v>2648.8</v>
      </c>
      <c r="AO57" s="468">
        <f t="shared" si="42"/>
        <v>2128.5</v>
      </c>
      <c r="AP57" s="468">
        <f t="shared" si="42"/>
        <v>2648.8</v>
      </c>
      <c r="AQ57" s="468">
        <f t="shared" si="42"/>
        <v>2648.8</v>
      </c>
      <c r="AR57" s="468">
        <f t="shared" si="42"/>
        <v>2648.8</v>
      </c>
      <c r="AS57" s="468">
        <f t="shared" si="42"/>
        <v>2648.8</v>
      </c>
      <c r="AT57" s="468">
        <f t="shared" si="42"/>
        <v>2648.8</v>
      </c>
      <c r="AU57" s="276"/>
      <c r="AV57" s="468">
        <f t="shared" si="43"/>
        <v>1923.04</v>
      </c>
      <c r="AW57" s="468">
        <f t="shared" si="44"/>
        <v>1545.3</v>
      </c>
      <c r="AX57" s="468">
        <f t="shared" si="45"/>
        <v>1923.04</v>
      </c>
      <c r="AY57" s="468">
        <f t="shared" si="46"/>
        <v>1923.04</v>
      </c>
      <c r="AZ57" s="468">
        <f t="shared" si="47"/>
        <v>1923.04</v>
      </c>
      <c r="BA57" s="468">
        <f t="shared" si="48"/>
        <v>1923.04</v>
      </c>
      <c r="BB57" s="468">
        <f t="shared" si="49"/>
        <v>1923.04</v>
      </c>
    </row>
    <row r="58" spans="1:54" ht="22.5">
      <c r="A58" s="300"/>
      <c r="B58" s="809">
        <v>7</v>
      </c>
      <c r="C58" s="407" t="s">
        <v>968</v>
      </c>
      <c r="D58" s="809" t="s">
        <v>235</v>
      </c>
      <c r="E58" s="575">
        <v>670.2</v>
      </c>
      <c r="F58" s="826" t="s">
        <v>2019</v>
      </c>
      <c r="G58" s="575"/>
      <c r="H58" s="826" t="s">
        <v>2019</v>
      </c>
      <c r="I58" s="819"/>
      <c r="J58" s="575">
        <v>674.84</v>
      </c>
      <c r="K58" s="826" t="s">
        <v>2019</v>
      </c>
      <c r="L58" s="819"/>
      <c r="M58" s="723">
        <v>901.04</v>
      </c>
      <c r="N58" s="826" t="s">
        <v>2019</v>
      </c>
      <c r="O58" s="819"/>
      <c r="P58" s="575">
        <v>864</v>
      </c>
      <c r="Q58" s="826" t="s">
        <v>2019</v>
      </c>
      <c r="R58" s="819"/>
      <c r="S58" s="575">
        <v>816.36</v>
      </c>
      <c r="T58" s="826" t="s">
        <v>2019</v>
      </c>
      <c r="U58" s="819"/>
      <c r="V58" s="575">
        <v>778.56</v>
      </c>
      <c r="W58" s="826" t="s">
        <v>2019</v>
      </c>
      <c r="X58" s="819"/>
      <c r="Y58" s="575">
        <v>681.08</v>
      </c>
      <c r="Z58" s="826" t="s">
        <v>2019</v>
      </c>
      <c r="AA58" s="819"/>
      <c r="AB58" s="567">
        <f t="shared" si="31"/>
        <v>2.5367999999999999</v>
      </c>
      <c r="AC58" s="567">
        <f>'附件4-8甲供材料清单'!K110</f>
        <v>1.47</v>
      </c>
      <c r="AD58" s="573">
        <v>16</v>
      </c>
      <c r="AE58" s="567">
        <v>0.83160000000000001</v>
      </c>
      <c r="AF58" s="403">
        <f t="shared" si="35"/>
        <v>1700.16336</v>
      </c>
      <c r="AG58" s="403">
        <f t="shared" si="36"/>
        <v>1711.9341120000001</v>
      </c>
      <c r="AH58" s="403">
        <f t="shared" si="37"/>
        <v>2285.758272</v>
      </c>
      <c r="AI58" s="403">
        <f t="shared" si="38"/>
        <v>2191.7952</v>
      </c>
      <c r="AJ58" s="403">
        <f t="shared" si="39"/>
        <v>2070.9420479999999</v>
      </c>
      <c r="AK58" s="403">
        <f t="shared" si="40"/>
        <v>1975.0510079999999</v>
      </c>
      <c r="AL58" s="403">
        <f t="shared" si="41"/>
        <v>1727.7637440000001</v>
      </c>
      <c r="AM58" s="407" t="s">
        <v>244</v>
      </c>
      <c r="AN58" s="468">
        <f t="shared" si="42"/>
        <v>1700.16336</v>
      </c>
      <c r="AO58" s="468">
        <f t="shared" si="42"/>
        <v>1711.9341120000001</v>
      </c>
      <c r="AP58" s="468">
        <f t="shared" si="42"/>
        <v>2285.758272</v>
      </c>
      <c r="AQ58" s="468">
        <f t="shared" si="42"/>
        <v>2191.7952</v>
      </c>
      <c r="AR58" s="468">
        <f t="shared" si="42"/>
        <v>2070.9420479999999</v>
      </c>
      <c r="AS58" s="468">
        <f t="shared" si="42"/>
        <v>1975.0510079999999</v>
      </c>
      <c r="AT58" s="468">
        <f t="shared" si="42"/>
        <v>1727.7637440000001</v>
      </c>
      <c r="AU58" s="276"/>
      <c r="AV58" s="468">
        <f t="shared" si="43"/>
        <v>1142.8250399999999</v>
      </c>
      <c r="AW58" s="468">
        <f t="shared" si="44"/>
        <v>1150.7371679999999</v>
      </c>
      <c r="AX58" s="468">
        <f t="shared" si="45"/>
        <v>1536.4534079999996</v>
      </c>
      <c r="AY58" s="468">
        <f t="shared" si="46"/>
        <v>1473.2927999999997</v>
      </c>
      <c r="AZ58" s="468">
        <f t="shared" si="47"/>
        <v>1392.0570719999998</v>
      </c>
      <c r="BA58" s="468">
        <f t="shared" si="48"/>
        <v>1327.6005119999998</v>
      </c>
      <c r="BB58" s="468">
        <f t="shared" si="49"/>
        <v>1161.377616</v>
      </c>
    </row>
    <row r="59" spans="1:54" ht="22.5">
      <c r="A59" s="300"/>
      <c r="B59" s="809">
        <v>8</v>
      </c>
      <c r="C59" s="407" t="s">
        <v>769</v>
      </c>
      <c r="D59" s="809" t="s">
        <v>235</v>
      </c>
      <c r="E59" s="723"/>
      <c r="F59" s="458"/>
      <c r="G59" s="723"/>
      <c r="H59" s="458"/>
      <c r="I59" s="723"/>
      <c r="J59" s="723"/>
      <c r="K59" s="723"/>
      <c r="L59" s="723" t="s">
        <v>2043</v>
      </c>
      <c r="M59" s="723"/>
      <c r="N59" s="458"/>
      <c r="O59" s="458"/>
      <c r="P59" s="723"/>
      <c r="Q59" s="458"/>
      <c r="R59" s="458"/>
      <c r="S59" s="723"/>
      <c r="T59" s="458"/>
      <c r="U59" s="458"/>
      <c r="V59" s="723"/>
      <c r="W59" s="458"/>
      <c r="X59" s="458"/>
      <c r="Y59" s="723"/>
      <c r="Z59" s="458"/>
      <c r="AA59" s="458"/>
      <c r="AB59" s="567">
        <f t="shared" si="31"/>
        <v>7.5</v>
      </c>
      <c r="AC59" s="567">
        <v>2</v>
      </c>
      <c r="AD59" s="573">
        <v>5</v>
      </c>
      <c r="AE59" s="567">
        <v>5.4</v>
      </c>
      <c r="AF59" s="403">
        <f t="shared" si="35"/>
        <v>0</v>
      </c>
      <c r="AG59" s="403">
        <f t="shared" si="36"/>
        <v>0</v>
      </c>
      <c r="AH59" s="403">
        <f t="shared" si="37"/>
        <v>0</v>
      </c>
      <c r="AI59" s="403">
        <f t="shared" si="38"/>
        <v>0</v>
      </c>
      <c r="AJ59" s="403">
        <f t="shared" si="39"/>
        <v>0</v>
      </c>
      <c r="AK59" s="403">
        <f t="shared" si="40"/>
        <v>0</v>
      </c>
      <c r="AL59" s="403">
        <f t="shared" si="41"/>
        <v>0</v>
      </c>
      <c r="AM59" s="407"/>
      <c r="AN59" s="468"/>
      <c r="AO59" s="468"/>
      <c r="AP59" s="468"/>
      <c r="AQ59" s="468"/>
      <c r="AR59" s="468"/>
      <c r="AS59" s="468"/>
      <c r="AT59" s="468"/>
      <c r="AU59" s="276"/>
      <c r="AV59" s="468"/>
      <c r="AW59" s="468"/>
      <c r="AX59" s="468"/>
      <c r="AY59" s="468"/>
      <c r="AZ59" s="468"/>
      <c r="BA59" s="468"/>
      <c r="BB59" s="468"/>
    </row>
    <row r="60" spans="1:54" ht="45">
      <c r="A60" s="300"/>
      <c r="B60" s="809">
        <v>9</v>
      </c>
      <c r="C60" s="407" t="s">
        <v>771</v>
      </c>
      <c r="D60" s="809" t="s">
        <v>235</v>
      </c>
      <c r="E60" s="723"/>
      <c r="F60" s="458"/>
      <c r="G60" s="723"/>
      <c r="H60" s="458"/>
      <c r="I60" s="723"/>
      <c r="J60" s="723"/>
      <c r="K60" s="723"/>
      <c r="L60" s="723" t="s">
        <v>2041</v>
      </c>
      <c r="M60" s="723"/>
      <c r="N60" s="458"/>
      <c r="O60" s="458"/>
      <c r="P60" s="723"/>
      <c r="Q60" s="458"/>
      <c r="R60" s="458"/>
      <c r="S60" s="723"/>
      <c r="T60" s="458"/>
      <c r="U60" s="458"/>
      <c r="V60" s="723"/>
      <c r="W60" s="458"/>
      <c r="X60" s="458"/>
      <c r="Y60" s="723"/>
      <c r="Z60" s="458"/>
      <c r="AA60" s="458"/>
      <c r="AB60" s="567">
        <f t="shared" si="31"/>
        <v>7.0274999999999999</v>
      </c>
      <c r="AC60" s="567">
        <f>'附件4-8甲供材料清单'!K116</f>
        <v>1.19</v>
      </c>
      <c r="AD60" s="573">
        <v>5</v>
      </c>
      <c r="AE60" s="567">
        <v>5.7779999999999996</v>
      </c>
      <c r="AF60" s="403">
        <f t="shared" si="35"/>
        <v>0</v>
      </c>
      <c r="AG60" s="403">
        <f t="shared" si="36"/>
        <v>0</v>
      </c>
      <c r="AH60" s="403">
        <f t="shared" si="37"/>
        <v>0</v>
      </c>
      <c r="AI60" s="403">
        <f t="shared" si="38"/>
        <v>0</v>
      </c>
      <c r="AJ60" s="403">
        <f t="shared" si="39"/>
        <v>0</v>
      </c>
      <c r="AK60" s="403">
        <f t="shared" si="40"/>
        <v>0</v>
      </c>
      <c r="AL60" s="403">
        <f t="shared" si="41"/>
        <v>0</v>
      </c>
      <c r="AM60" s="481" t="s">
        <v>499</v>
      </c>
      <c r="AN60" s="468">
        <f t="shared" ref="AN60:AT65" si="50">AF60</f>
        <v>0</v>
      </c>
      <c r="AO60" s="468">
        <f t="shared" si="50"/>
        <v>0</v>
      </c>
      <c r="AP60" s="468">
        <f t="shared" si="50"/>
        <v>0</v>
      </c>
      <c r="AQ60" s="468">
        <f t="shared" si="50"/>
        <v>0</v>
      </c>
      <c r="AR60" s="468">
        <f t="shared" si="50"/>
        <v>0</v>
      </c>
      <c r="AS60" s="468">
        <f t="shared" si="50"/>
        <v>0</v>
      </c>
      <c r="AT60" s="468">
        <f t="shared" si="50"/>
        <v>0</v>
      </c>
      <c r="AU60" s="276"/>
      <c r="AV60" s="468">
        <f t="shared" ref="AV60:AV65" si="51">E60*$AC60*(1+$AD60%)</f>
        <v>0</v>
      </c>
      <c r="AW60" s="468">
        <f t="shared" ref="AW60:AW65" si="52">J60*$AC60*(1+$AD60%)</f>
        <v>0</v>
      </c>
      <c r="AX60" s="468">
        <f t="shared" ref="AX60:AX65" si="53">M60*$AC60*(1+$AD60%)</f>
        <v>0</v>
      </c>
      <c r="AY60" s="468">
        <f t="shared" ref="AY60:AY65" si="54">P60*$AC60*(1+$AD60%)</f>
        <v>0</v>
      </c>
      <c r="AZ60" s="468">
        <f t="shared" ref="AZ60:AZ65" si="55">S60*$AC60*(1+$AD60%)</f>
        <v>0</v>
      </c>
      <c r="BA60" s="468">
        <f t="shared" ref="BA60:BA65" si="56">V60*$AC60*(1+$AD60%)</f>
        <v>0</v>
      </c>
      <c r="BB60" s="468">
        <f t="shared" ref="BB60:BB65" si="57">Y60*$AC60*(1+$AD60%)</f>
        <v>0</v>
      </c>
    </row>
    <row r="61" spans="1:54" ht="22.5">
      <c r="A61" s="300"/>
      <c r="B61" s="809">
        <v>10</v>
      </c>
      <c r="C61" s="407" t="s">
        <v>969</v>
      </c>
      <c r="D61" s="809" t="s">
        <v>482</v>
      </c>
      <c r="E61" s="723"/>
      <c r="F61" s="458"/>
      <c r="G61" s="723"/>
      <c r="H61" s="458"/>
      <c r="I61" s="723"/>
      <c r="J61" s="723"/>
      <c r="K61" s="723"/>
      <c r="L61" s="723" t="s">
        <v>2040</v>
      </c>
      <c r="M61" s="723"/>
      <c r="N61" s="458"/>
      <c r="O61" s="458"/>
      <c r="P61" s="723"/>
      <c r="Q61" s="458"/>
      <c r="R61" s="458"/>
      <c r="S61" s="723"/>
      <c r="T61" s="458"/>
      <c r="U61" s="458"/>
      <c r="V61" s="723"/>
      <c r="W61" s="458"/>
      <c r="X61" s="458"/>
      <c r="Y61" s="723"/>
      <c r="Z61" s="458"/>
      <c r="AA61" s="458"/>
      <c r="AB61" s="567">
        <f t="shared" si="31"/>
        <v>856.93999999999994</v>
      </c>
      <c r="AC61" s="567">
        <f>'附件4-8甲供材料清单'!K204</f>
        <v>718</v>
      </c>
      <c r="AD61" s="573">
        <v>1</v>
      </c>
      <c r="AE61" s="567">
        <v>131.76</v>
      </c>
      <c r="AF61" s="403">
        <f t="shared" si="35"/>
        <v>0</v>
      </c>
      <c r="AG61" s="403">
        <f t="shared" si="36"/>
        <v>0</v>
      </c>
      <c r="AH61" s="403">
        <f t="shared" si="37"/>
        <v>0</v>
      </c>
      <c r="AI61" s="403">
        <f t="shared" si="38"/>
        <v>0</v>
      </c>
      <c r="AJ61" s="403">
        <f t="shared" si="39"/>
        <v>0</v>
      </c>
      <c r="AK61" s="403">
        <f t="shared" si="40"/>
        <v>0</v>
      </c>
      <c r="AL61" s="403">
        <f t="shared" si="41"/>
        <v>0</v>
      </c>
      <c r="AM61" s="407" t="s">
        <v>244</v>
      </c>
      <c r="AN61" s="468">
        <f t="shared" si="50"/>
        <v>0</v>
      </c>
      <c r="AO61" s="468">
        <f t="shared" si="50"/>
        <v>0</v>
      </c>
      <c r="AP61" s="468">
        <f t="shared" si="50"/>
        <v>0</v>
      </c>
      <c r="AQ61" s="468">
        <f t="shared" si="50"/>
        <v>0</v>
      </c>
      <c r="AR61" s="468">
        <f t="shared" si="50"/>
        <v>0</v>
      </c>
      <c r="AS61" s="468">
        <f t="shared" si="50"/>
        <v>0</v>
      </c>
      <c r="AT61" s="468">
        <f t="shared" si="50"/>
        <v>0</v>
      </c>
      <c r="AU61" s="276"/>
      <c r="AV61" s="468">
        <f t="shared" si="51"/>
        <v>0</v>
      </c>
      <c r="AW61" s="468">
        <f t="shared" si="52"/>
        <v>0</v>
      </c>
      <c r="AX61" s="468">
        <f t="shared" si="53"/>
        <v>0</v>
      </c>
      <c r="AY61" s="468">
        <f t="shared" si="54"/>
        <v>0</v>
      </c>
      <c r="AZ61" s="468">
        <f t="shared" si="55"/>
        <v>0</v>
      </c>
      <c r="BA61" s="468">
        <f t="shared" si="56"/>
        <v>0</v>
      </c>
      <c r="BB61" s="468">
        <f t="shared" si="57"/>
        <v>0</v>
      </c>
    </row>
    <row r="62" spans="1:54" ht="22.5">
      <c r="A62" s="300"/>
      <c r="B62" s="809">
        <v>11</v>
      </c>
      <c r="C62" s="407" t="s">
        <v>970</v>
      </c>
      <c r="D62" s="809" t="s">
        <v>482</v>
      </c>
      <c r="E62" s="723"/>
      <c r="F62" s="458"/>
      <c r="G62" s="723"/>
      <c r="H62" s="458"/>
      <c r="I62" s="723"/>
      <c r="J62" s="723"/>
      <c r="K62" s="723"/>
      <c r="L62" s="723" t="s">
        <v>2040</v>
      </c>
      <c r="M62" s="723"/>
      <c r="N62" s="458"/>
      <c r="O62" s="458"/>
      <c r="P62" s="723"/>
      <c r="Q62" s="458"/>
      <c r="R62" s="458"/>
      <c r="S62" s="723"/>
      <c r="T62" s="458"/>
      <c r="U62" s="458"/>
      <c r="V62" s="723"/>
      <c r="W62" s="458"/>
      <c r="X62" s="458"/>
      <c r="Y62" s="723"/>
      <c r="Z62" s="458"/>
      <c r="AA62" s="458"/>
      <c r="AB62" s="567">
        <f t="shared" si="31"/>
        <v>13.083200000000001</v>
      </c>
      <c r="AC62" s="567">
        <f>'附件4-8甲供材料清单'!K99</f>
        <v>6.32</v>
      </c>
      <c r="AD62" s="573">
        <v>1</v>
      </c>
      <c r="AE62" s="567">
        <v>6.7</v>
      </c>
      <c r="AF62" s="403">
        <f t="shared" si="35"/>
        <v>0</v>
      </c>
      <c r="AG62" s="403">
        <f t="shared" si="36"/>
        <v>0</v>
      </c>
      <c r="AH62" s="403">
        <f t="shared" si="37"/>
        <v>0</v>
      </c>
      <c r="AI62" s="403">
        <f t="shared" si="38"/>
        <v>0</v>
      </c>
      <c r="AJ62" s="403">
        <f t="shared" si="39"/>
        <v>0</v>
      </c>
      <c r="AK62" s="403">
        <f t="shared" si="40"/>
        <v>0</v>
      </c>
      <c r="AL62" s="403">
        <f t="shared" si="41"/>
        <v>0</v>
      </c>
      <c r="AM62" s="407" t="s">
        <v>244</v>
      </c>
      <c r="AN62" s="468">
        <f t="shared" si="50"/>
        <v>0</v>
      </c>
      <c r="AO62" s="468">
        <f t="shared" si="50"/>
        <v>0</v>
      </c>
      <c r="AP62" s="468">
        <f t="shared" si="50"/>
        <v>0</v>
      </c>
      <c r="AQ62" s="468">
        <f t="shared" si="50"/>
        <v>0</v>
      </c>
      <c r="AR62" s="468">
        <f t="shared" si="50"/>
        <v>0</v>
      </c>
      <c r="AS62" s="468">
        <f t="shared" si="50"/>
        <v>0</v>
      </c>
      <c r="AT62" s="468">
        <f t="shared" si="50"/>
        <v>0</v>
      </c>
      <c r="AU62" s="276"/>
      <c r="AV62" s="468">
        <f t="shared" si="51"/>
        <v>0</v>
      </c>
      <c r="AW62" s="468">
        <f t="shared" si="52"/>
        <v>0</v>
      </c>
      <c r="AX62" s="468">
        <f t="shared" si="53"/>
        <v>0</v>
      </c>
      <c r="AY62" s="468">
        <f t="shared" si="54"/>
        <v>0</v>
      </c>
      <c r="AZ62" s="468">
        <f t="shared" si="55"/>
        <v>0</v>
      </c>
      <c r="BA62" s="468">
        <f t="shared" si="56"/>
        <v>0</v>
      </c>
      <c r="BB62" s="468">
        <f t="shared" si="57"/>
        <v>0</v>
      </c>
    </row>
    <row r="63" spans="1:54" ht="22.5">
      <c r="A63" s="300"/>
      <c r="B63" s="809">
        <v>12</v>
      </c>
      <c r="C63" s="407" t="s">
        <v>971</v>
      </c>
      <c r="D63" s="809" t="s">
        <v>482</v>
      </c>
      <c r="E63" s="723"/>
      <c r="F63" s="458"/>
      <c r="G63" s="723"/>
      <c r="H63" s="458"/>
      <c r="I63" s="723"/>
      <c r="J63" s="723"/>
      <c r="K63" s="723"/>
      <c r="L63" s="723" t="s">
        <v>2043</v>
      </c>
      <c r="M63" s="723"/>
      <c r="N63" s="458"/>
      <c r="O63" s="458"/>
      <c r="P63" s="723"/>
      <c r="Q63" s="458"/>
      <c r="R63" s="458"/>
      <c r="S63" s="723"/>
      <c r="T63" s="458"/>
      <c r="U63" s="458"/>
      <c r="V63" s="723"/>
      <c r="W63" s="458"/>
      <c r="X63" s="458"/>
      <c r="Y63" s="723"/>
      <c r="Z63" s="458"/>
      <c r="AA63" s="458"/>
      <c r="AB63" s="567">
        <f t="shared" si="31"/>
        <v>58.410000000000004</v>
      </c>
      <c r="AC63" s="567">
        <f>'附件4-8甲供材料清单'!K210</f>
        <v>45</v>
      </c>
      <c r="AD63" s="573">
        <v>1</v>
      </c>
      <c r="AE63" s="567">
        <v>12.96</v>
      </c>
      <c r="AF63" s="403">
        <f t="shared" si="35"/>
        <v>0</v>
      </c>
      <c r="AG63" s="403">
        <f t="shared" si="36"/>
        <v>0</v>
      </c>
      <c r="AH63" s="403">
        <f t="shared" si="37"/>
        <v>0</v>
      </c>
      <c r="AI63" s="403">
        <f t="shared" si="38"/>
        <v>0</v>
      </c>
      <c r="AJ63" s="403">
        <f t="shared" si="39"/>
        <v>0</v>
      </c>
      <c r="AK63" s="403">
        <f t="shared" si="40"/>
        <v>0</v>
      </c>
      <c r="AL63" s="403">
        <f t="shared" si="41"/>
        <v>0</v>
      </c>
      <c r="AM63" s="407" t="s">
        <v>244</v>
      </c>
      <c r="AN63" s="468">
        <f t="shared" si="50"/>
        <v>0</v>
      </c>
      <c r="AO63" s="468">
        <f t="shared" si="50"/>
        <v>0</v>
      </c>
      <c r="AP63" s="468">
        <f t="shared" si="50"/>
        <v>0</v>
      </c>
      <c r="AQ63" s="468">
        <f t="shared" si="50"/>
        <v>0</v>
      </c>
      <c r="AR63" s="468">
        <f t="shared" si="50"/>
        <v>0</v>
      </c>
      <c r="AS63" s="468">
        <f t="shared" si="50"/>
        <v>0</v>
      </c>
      <c r="AT63" s="468">
        <f t="shared" si="50"/>
        <v>0</v>
      </c>
      <c r="AU63" s="276"/>
      <c r="AV63" s="468">
        <f t="shared" si="51"/>
        <v>0</v>
      </c>
      <c r="AW63" s="468">
        <f t="shared" si="52"/>
        <v>0</v>
      </c>
      <c r="AX63" s="468">
        <f t="shared" si="53"/>
        <v>0</v>
      </c>
      <c r="AY63" s="468">
        <f t="shared" si="54"/>
        <v>0</v>
      </c>
      <c r="AZ63" s="468">
        <f t="shared" si="55"/>
        <v>0</v>
      </c>
      <c r="BA63" s="468">
        <f t="shared" si="56"/>
        <v>0</v>
      </c>
      <c r="BB63" s="468">
        <f t="shared" si="57"/>
        <v>0</v>
      </c>
    </row>
    <row r="64" spans="1:54" ht="22.5">
      <c r="A64" s="300"/>
      <c r="B64" s="809">
        <v>13</v>
      </c>
      <c r="C64" s="407" t="s">
        <v>972</v>
      </c>
      <c r="D64" s="809" t="s">
        <v>482</v>
      </c>
      <c r="E64" s="723"/>
      <c r="F64" s="458"/>
      <c r="G64" s="723"/>
      <c r="H64" s="458"/>
      <c r="I64" s="723"/>
      <c r="J64" s="723"/>
      <c r="K64" s="723"/>
      <c r="L64" s="723" t="s">
        <v>2040</v>
      </c>
      <c r="M64" s="723"/>
      <c r="N64" s="458"/>
      <c r="O64" s="458"/>
      <c r="P64" s="723"/>
      <c r="Q64" s="458"/>
      <c r="R64" s="458"/>
      <c r="S64" s="723"/>
      <c r="T64" s="458"/>
      <c r="U64" s="458"/>
      <c r="V64" s="723"/>
      <c r="W64" s="458"/>
      <c r="X64" s="458"/>
      <c r="Y64" s="723"/>
      <c r="Z64" s="458"/>
      <c r="AA64" s="458"/>
      <c r="AB64" s="567">
        <f t="shared" si="31"/>
        <v>48.31</v>
      </c>
      <c r="AC64" s="567">
        <f>'附件4-8甲供材料清单'!K211</f>
        <v>35</v>
      </c>
      <c r="AD64" s="573">
        <v>1</v>
      </c>
      <c r="AE64" s="567">
        <v>12.96</v>
      </c>
      <c r="AF64" s="403">
        <f t="shared" si="35"/>
        <v>0</v>
      </c>
      <c r="AG64" s="403">
        <f t="shared" si="36"/>
        <v>0</v>
      </c>
      <c r="AH64" s="403">
        <f t="shared" si="37"/>
        <v>0</v>
      </c>
      <c r="AI64" s="403">
        <f t="shared" si="38"/>
        <v>0</v>
      </c>
      <c r="AJ64" s="403">
        <f t="shared" si="39"/>
        <v>0</v>
      </c>
      <c r="AK64" s="403">
        <f t="shared" si="40"/>
        <v>0</v>
      </c>
      <c r="AL64" s="403">
        <f t="shared" si="41"/>
        <v>0</v>
      </c>
      <c r="AM64" s="407" t="s">
        <v>244</v>
      </c>
      <c r="AN64" s="468">
        <f t="shared" si="50"/>
        <v>0</v>
      </c>
      <c r="AO64" s="468">
        <f t="shared" si="50"/>
        <v>0</v>
      </c>
      <c r="AP64" s="468">
        <f t="shared" si="50"/>
        <v>0</v>
      </c>
      <c r="AQ64" s="468">
        <f t="shared" si="50"/>
        <v>0</v>
      </c>
      <c r="AR64" s="468">
        <f t="shared" si="50"/>
        <v>0</v>
      </c>
      <c r="AS64" s="468">
        <f t="shared" si="50"/>
        <v>0</v>
      </c>
      <c r="AT64" s="468">
        <f t="shared" si="50"/>
        <v>0</v>
      </c>
      <c r="AU64" s="276"/>
      <c r="AV64" s="468">
        <f t="shared" si="51"/>
        <v>0</v>
      </c>
      <c r="AW64" s="468">
        <f t="shared" si="52"/>
        <v>0</v>
      </c>
      <c r="AX64" s="468">
        <f t="shared" si="53"/>
        <v>0</v>
      </c>
      <c r="AY64" s="468">
        <f t="shared" si="54"/>
        <v>0</v>
      </c>
      <c r="AZ64" s="468">
        <f t="shared" si="55"/>
        <v>0</v>
      </c>
      <c r="BA64" s="468">
        <f t="shared" si="56"/>
        <v>0</v>
      </c>
      <c r="BB64" s="468">
        <f t="shared" si="57"/>
        <v>0</v>
      </c>
    </row>
    <row r="65" spans="1:54" ht="22.5">
      <c r="A65" s="300"/>
      <c r="B65" s="809">
        <v>14</v>
      </c>
      <c r="C65" s="407" t="s">
        <v>973</v>
      </c>
      <c r="D65" s="809" t="s">
        <v>482</v>
      </c>
      <c r="E65" s="723"/>
      <c r="F65" s="458"/>
      <c r="G65" s="723"/>
      <c r="H65" s="458"/>
      <c r="I65" s="723"/>
      <c r="J65" s="723"/>
      <c r="K65" s="723"/>
      <c r="L65" s="723" t="s">
        <v>2040</v>
      </c>
      <c r="M65" s="723"/>
      <c r="N65" s="458"/>
      <c r="O65" s="458"/>
      <c r="P65" s="723"/>
      <c r="Q65" s="458"/>
      <c r="R65" s="458"/>
      <c r="S65" s="723"/>
      <c r="T65" s="458"/>
      <c r="U65" s="458"/>
      <c r="V65" s="723"/>
      <c r="W65" s="458"/>
      <c r="X65" s="458"/>
      <c r="Y65" s="723"/>
      <c r="Z65" s="458"/>
      <c r="AA65" s="458"/>
      <c r="AB65" s="567">
        <f t="shared" si="31"/>
        <v>48.31</v>
      </c>
      <c r="AC65" s="567">
        <f>'附件4-8甲供材料清单'!K212</f>
        <v>35</v>
      </c>
      <c r="AD65" s="573">
        <v>1</v>
      </c>
      <c r="AE65" s="567">
        <v>12.96</v>
      </c>
      <c r="AF65" s="403">
        <f t="shared" si="35"/>
        <v>0</v>
      </c>
      <c r="AG65" s="403">
        <f t="shared" si="36"/>
        <v>0</v>
      </c>
      <c r="AH65" s="403">
        <f t="shared" si="37"/>
        <v>0</v>
      </c>
      <c r="AI65" s="403">
        <f t="shared" si="38"/>
        <v>0</v>
      </c>
      <c r="AJ65" s="403">
        <f t="shared" si="39"/>
        <v>0</v>
      </c>
      <c r="AK65" s="403">
        <f t="shared" si="40"/>
        <v>0</v>
      </c>
      <c r="AL65" s="403">
        <f t="shared" si="41"/>
        <v>0</v>
      </c>
      <c r="AM65" s="407" t="s">
        <v>244</v>
      </c>
      <c r="AN65" s="468">
        <f t="shared" si="50"/>
        <v>0</v>
      </c>
      <c r="AO65" s="468">
        <f t="shared" si="50"/>
        <v>0</v>
      </c>
      <c r="AP65" s="468">
        <f t="shared" si="50"/>
        <v>0</v>
      </c>
      <c r="AQ65" s="468">
        <f t="shared" si="50"/>
        <v>0</v>
      </c>
      <c r="AR65" s="468">
        <f t="shared" si="50"/>
        <v>0</v>
      </c>
      <c r="AS65" s="468">
        <f t="shared" si="50"/>
        <v>0</v>
      </c>
      <c r="AT65" s="468">
        <f t="shared" si="50"/>
        <v>0</v>
      </c>
      <c r="AU65" s="276"/>
      <c r="AV65" s="468">
        <f t="shared" si="51"/>
        <v>0</v>
      </c>
      <c r="AW65" s="468">
        <f t="shared" si="52"/>
        <v>0</v>
      </c>
      <c r="AX65" s="468">
        <f t="shared" si="53"/>
        <v>0</v>
      </c>
      <c r="AY65" s="468">
        <f t="shared" si="54"/>
        <v>0</v>
      </c>
      <c r="AZ65" s="468">
        <f t="shared" si="55"/>
        <v>0</v>
      </c>
      <c r="BA65" s="468">
        <f t="shared" si="56"/>
        <v>0</v>
      </c>
      <c r="BB65" s="468">
        <f t="shared" si="57"/>
        <v>0</v>
      </c>
    </row>
    <row r="66" spans="1:54" ht="33.75">
      <c r="A66" s="300"/>
      <c r="B66" s="809">
        <v>15</v>
      </c>
      <c r="C66" s="407" t="s">
        <v>775</v>
      </c>
      <c r="D66" s="809" t="s">
        <v>235</v>
      </c>
      <c r="E66" s="723"/>
      <c r="F66" s="458"/>
      <c r="G66" s="723"/>
      <c r="H66" s="458"/>
      <c r="I66" s="723"/>
      <c r="J66" s="723"/>
      <c r="K66" s="723"/>
      <c r="L66" s="723" t="s">
        <v>2040</v>
      </c>
      <c r="M66" s="723"/>
      <c r="N66" s="458"/>
      <c r="O66" s="458"/>
      <c r="P66" s="723"/>
      <c r="Q66" s="458"/>
      <c r="R66" s="458"/>
      <c r="S66" s="723"/>
      <c r="T66" s="458"/>
      <c r="U66" s="458"/>
      <c r="V66" s="723"/>
      <c r="W66" s="458"/>
      <c r="X66" s="458"/>
      <c r="Y66" s="723"/>
      <c r="Z66" s="458"/>
      <c r="AA66" s="458"/>
      <c r="AB66" s="567">
        <f t="shared" si="31"/>
        <v>12.515000000000001</v>
      </c>
      <c r="AC66" s="567">
        <v>4.3</v>
      </c>
      <c r="AD66" s="573">
        <v>5</v>
      </c>
      <c r="AE66" s="567">
        <v>8</v>
      </c>
      <c r="AF66" s="403">
        <f t="shared" si="35"/>
        <v>0</v>
      </c>
      <c r="AG66" s="403">
        <f t="shared" si="36"/>
        <v>0</v>
      </c>
      <c r="AH66" s="403">
        <f t="shared" si="37"/>
        <v>0</v>
      </c>
      <c r="AI66" s="403">
        <f t="shared" si="38"/>
        <v>0</v>
      </c>
      <c r="AJ66" s="403">
        <f t="shared" si="39"/>
        <v>0</v>
      </c>
      <c r="AK66" s="403">
        <f t="shared" si="40"/>
        <v>0</v>
      </c>
      <c r="AL66" s="403">
        <f t="shared" si="41"/>
        <v>0</v>
      </c>
      <c r="AM66" s="481" t="s">
        <v>776</v>
      </c>
      <c r="AN66" s="468"/>
      <c r="AO66" s="468"/>
      <c r="AP66" s="468"/>
      <c r="AQ66" s="468"/>
      <c r="AR66" s="468"/>
      <c r="AS66" s="468"/>
      <c r="AT66" s="468"/>
      <c r="AU66" s="276"/>
      <c r="AV66" s="468"/>
      <c r="AW66" s="468"/>
      <c r="AX66" s="468"/>
      <c r="AY66" s="468"/>
      <c r="AZ66" s="468"/>
      <c r="BA66" s="468"/>
      <c r="BB66" s="468"/>
    </row>
    <row r="67" spans="1:54" s="818" customFormat="1">
      <c r="A67" s="300"/>
      <c r="B67" s="635"/>
      <c r="C67" s="644" t="s">
        <v>523</v>
      </c>
      <c r="D67" s="635"/>
      <c r="E67" s="636" t="s">
        <v>1859</v>
      </c>
      <c r="F67" s="636"/>
      <c r="G67" s="636"/>
      <c r="H67" s="636"/>
      <c r="I67" s="636"/>
      <c r="J67" s="636"/>
      <c r="K67" s="636"/>
      <c r="L67" s="636" t="s">
        <v>2041</v>
      </c>
      <c r="M67" s="636"/>
      <c r="N67" s="636"/>
      <c r="O67" s="636"/>
      <c r="P67" s="636"/>
      <c r="Q67" s="636"/>
      <c r="R67" s="636"/>
      <c r="S67" s="636"/>
      <c r="T67" s="636"/>
      <c r="U67" s="636"/>
      <c r="V67" s="636"/>
      <c r="W67" s="636"/>
      <c r="X67" s="636"/>
      <c r="Y67" s="636"/>
      <c r="Z67" s="636"/>
      <c r="AA67" s="636"/>
      <c r="AB67" s="636"/>
      <c r="AC67" s="636"/>
      <c r="AD67" s="636"/>
      <c r="AE67" s="636"/>
      <c r="AF67" s="636"/>
      <c r="AG67" s="636"/>
      <c r="AH67" s="636"/>
      <c r="AI67" s="636"/>
      <c r="AJ67" s="636"/>
      <c r="AK67" s="636"/>
      <c r="AL67" s="636"/>
      <c r="AM67" s="636" t="s">
        <v>1868</v>
      </c>
      <c r="AN67" s="808"/>
      <c r="AO67" s="808"/>
      <c r="AP67" s="808"/>
      <c r="AQ67" s="808"/>
      <c r="AR67" s="808"/>
      <c r="AS67" s="808"/>
      <c r="AT67" s="808"/>
      <c r="AU67" s="275"/>
      <c r="AV67" s="808"/>
      <c r="AW67" s="808"/>
      <c r="AX67" s="808"/>
      <c r="AY67" s="808"/>
      <c r="AZ67" s="808"/>
      <c r="BA67" s="808"/>
      <c r="BB67" s="808"/>
    </row>
    <row r="68" spans="1:54" ht="129" customHeight="1">
      <c r="A68" s="300"/>
      <c r="B68" s="809">
        <v>1</v>
      </c>
      <c r="C68" s="407" t="s">
        <v>2020</v>
      </c>
      <c r="D68" s="809" t="s">
        <v>231</v>
      </c>
      <c r="E68" s="575">
        <f>19.88-12.93+1.7*18.12-7.53-12.65+19.88-12.93+1.7*18.12-7.53-12.65+(10.7+1.7*(8.03+0.87+16.62)-7.53-5.48-10.6+27.32+27.42-1.1)</f>
        <v>119.26200000000001</v>
      </c>
      <c r="F68" s="798" t="s">
        <v>1998</v>
      </c>
      <c r="G68" s="819"/>
      <c r="H68" s="798" t="s">
        <v>1979</v>
      </c>
      <c r="I68" s="819"/>
      <c r="J68" s="575">
        <f>19.88-12.93+1.7*18.12-7.53-12.65+(10.7+1.7*(8.03+0.87+16.62)-7.53-5.48-10.6+27.32+27.42)</f>
        <v>102.78800000000001</v>
      </c>
      <c r="K68" s="575"/>
      <c r="L68" s="819" t="s">
        <v>2040</v>
      </c>
      <c r="M68" s="575">
        <f>19.88-12.93+1.7*18.12-7.53-12.65+19.88-12.93+1.7*18.12-7.53-12.65+(10.7+1.7*(8.03+0.87+16.62)-7.53-5.48-10.6+27.32+27.42)</f>
        <v>120.36200000000001</v>
      </c>
      <c r="N68" s="798" t="s">
        <v>1979</v>
      </c>
      <c r="O68" s="819"/>
      <c r="P68" s="575">
        <f>19.88-12.93+1.7*18.12-7.53-12.65+19.88-12.93+1.7*18.12-7.53-12.65+(10.7+1.7*(8.03+0.87+16.62)-7.53-5.48-10.6+27.32+27.42)-3.6</f>
        <v>116.76200000000001</v>
      </c>
      <c r="Q68" s="798" t="s">
        <v>1979</v>
      </c>
      <c r="R68" s="819"/>
      <c r="S68" s="575">
        <f>19.88-12.93+1.7*18.12-7.53-12.65+19.88-12.93+1.7*18.12-7.53-12.65+(10.7+1.7*(8.03+0.87+16.62)-7.53-5.48-10.6+27.32+27.42)-3.6-5.22</f>
        <v>111.54200000000002</v>
      </c>
      <c r="T68" s="824" t="s">
        <v>1979</v>
      </c>
      <c r="U68" s="819"/>
      <c r="V68" s="575">
        <f>19.88-12.93+1.7*18.12-7.53-12.65+19.88-12.93+1.7*18.12-7.53-12.65+(10.7+1.7*(8.03+0.87+16.62)-7.53-5.48-10.6+27.32+27.42)-3.6-5.22-3.99-1.18</f>
        <v>106.37200000000001</v>
      </c>
      <c r="W68" s="824" t="s">
        <v>1980</v>
      </c>
      <c r="X68" s="819"/>
      <c r="Y68" s="575">
        <f>19.88-12.93+1.7*18.12-7.53-12.65+19.88-12.93+1.7*18.12-7.53-12.65+(10.7+1.7*(8.03+0.87+16.62)-7.53-5.48-10.6+27.32+27.42)-3.6-5.22-3.99-1.18-5.33-8.28</f>
        <v>92.762000000000015</v>
      </c>
      <c r="Z68" s="824" t="s">
        <v>1980</v>
      </c>
      <c r="AA68" s="819"/>
      <c r="AB68" s="573">
        <f t="shared" ref="AB68" si="58">AC68+AC68*AD68/100+AE68</f>
        <v>137.26249999999999</v>
      </c>
      <c r="AC68" s="721">
        <f>'附件4-8甲供材料清单'!M235</f>
        <v>78.124999999999986</v>
      </c>
      <c r="AD68" s="573">
        <v>14</v>
      </c>
      <c r="AE68" s="567">
        <v>48.2</v>
      </c>
      <c r="AF68" s="403">
        <f t="shared" ref="AF68:AF79" si="59">E68*$AB68</f>
        <v>16370.200275000001</v>
      </c>
      <c r="AG68" s="403">
        <f t="shared" ref="AG68:AG79" si="60">J68*$AB68</f>
        <v>14108.93785</v>
      </c>
      <c r="AH68" s="403">
        <f t="shared" ref="AH68:AH79" si="61">M68*$AB68</f>
        <v>16521.189025</v>
      </c>
      <c r="AI68" s="403">
        <f t="shared" ref="AI68:AI79" si="62">P68*$AB68</f>
        <v>16027.044025000001</v>
      </c>
      <c r="AJ68" s="403">
        <f t="shared" ref="AJ68:AJ79" si="63">S68*$AB68</f>
        <v>15310.533775000002</v>
      </c>
      <c r="AK68" s="403">
        <f t="shared" ref="AK68:AK79" si="64">V68*$AB68</f>
        <v>14600.88665</v>
      </c>
      <c r="AL68" s="403">
        <f t="shared" ref="AL68:AL79" si="65">Y68*$AB68</f>
        <v>12732.744025000002</v>
      </c>
      <c r="AM68" s="407" t="s">
        <v>244</v>
      </c>
      <c r="AN68" s="468">
        <f t="shared" ref="AN68:AT71" si="66">AF68</f>
        <v>16370.200275000001</v>
      </c>
      <c r="AO68" s="468">
        <f t="shared" si="66"/>
        <v>14108.93785</v>
      </c>
      <c r="AP68" s="468">
        <f t="shared" si="66"/>
        <v>16521.189025</v>
      </c>
      <c r="AQ68" s="468">
        <f t="shared" si="66"/>
        <v>16027.044025000001</v>
      </c>
      <c r="AR68" s="468">
        <f t="shared" si="66"/>
        <v>15310.533775000002</v>
      </c>
      <c r="AS68" s="468">
        <f t="shared" si="66"/>
        <v>14600.88665</v>
      </c>
      <c r="AT68" s="468">
        <f t="shared" si="66"/>
        <v>12732.744025000002</v>
      </c>
      <c r="AU68" s="276"/>
      <c r="AV68" s="468">
        <f>E68*$AC68*(1+$AD68%)</f>
        <v>10621.771875</v>
      </c>
      <c r="AW68" s="468">
        <f>J68*$AC68*(1+$AD68%)</f>
        <v>9154.5562499999996</v>
      </c>
      <c r="AX68" s="468">
        <f>M68*$AC68*(1+$AD68%)</f>
        <v>10719.740624999999</v>
      </c>
      <c r="AY68" s="468">
        <f>P68*$AC68*(1+$AD68%)</f>
        <v>10399.115625</v>
      </c>
      <c r="AZ68" s="468">
        <f>S68*$AC68*(1+$AD68%)</f>
        <v>9934.2093750000004</v>
      </c>
      <c r="BA68" s="468">
        <f>V68*$AC68*(1+$AD68%)</f>
        <v>9473.7562500000004</v>
      </c>
      <c r="BB68" s="468">
        <f>Y68*$AC68*(1+$AD68%)</f>
        <v>8261.6156250000004</v>
      </c>
    </row>
    <row r="69" spans="1:54" ht="88.9" customHeight="1">
      <c r="A69" s="300"/>
      <c r="B69" s="809">
        <v>2</v>
      </c>
      <c r="C69" s="482" t="s">
        <v>2021</v>
      </c>
      <c r="D69" s="483" t="s">
        <v>231</v>
      </c>
      <c r="E69" s="575">
        <f>10.91+5.6+9.6+10.91+5.6+9.6+4+8+5.6*4+6.4*3</f>
        <v>105.82000000000001</v>
      </c>
      <c r="F69" s="798" t="s">
        <v>1999</v>
      </c>
      <c r="G69" s="819"/>
      <c r="H69" s="798" t="s">
        <v>1999</v>
      </c>
      <c r="I69" s="819"/>
      <c r="J69" s="575">
        <f>10.91+5.6+9.6+4+8+5.6*4+6.4*3</f>
        <v>79.710000000000008</v>
      </c>
      <c r="K69" s="575"/>
      <c r="L69" s="819" t="s">
        <v>2043</v>
      </c>
      <c r="M69" s="575">
        <f>10.91+5.6+9.6+10.91+5.6+9.6+4+8+5.6*4+6.4*3</f>
        <v>105.82000000000001</v>
      </c>
      <c r="N69" s="798"/>
      <c r="O69" s="819"/>
      <c r="P69" s="575">
        <f>10.91+5.6+9.6+10.91+5.6+9.6+4+8+5.6*4+6.4*3-5.45</f>
        <v>100.37</v>
      </c>
      <c r="Q69" s="798"/>
      <c r="R69" s="819"/>
      <c r="S69" s="575">
        <f>10.91+5.6+9.6+10.91+5.6+9.6+4+8+5.6*4+6.4*3-5.45-2.99-2.08</f>
        <v>95.300000000000011</v>
      </c>
      <c r="T69" s="798" t="s">
        <v>1978</v>
      </c>
      <c r="U69" s="819"/>
      <c r="V69" s="575">
        <f>10.91+5.6+9.6+10.91+5.6+9.6+4+8+5.6*4+6.4*3-5.45-2.99-2.08-1.92-1.15</f>
        <v>92.23</v>
      </c>
      <c r="W69" s="798" t="s">
        <v>1962</v>
      </c>
      <c r="X69" s="819"/>
      <c r="Y69" s="575">
        <f>10.91+5.6+9.6+10.91+5.6+9.6+4+8+5.6*4+6.4*3-5.45-2.99-2.08-1.92-1.15-4.45-3.67</f>
        <v>84.11</v>
      </c>
      <c r="Z69" s="798" t="s">
        <v>1963</v>
      </c>
      <c r="AA69" s="819"/>
      <c r="AB69" s="573">
        <f t="shared" ref="AB69:AB79" si="67">AC69+AC69*AD69/100+AE69</f>
        <v>137.26249999999999</v>
      </c>
      <c r="AC69" s="721">
        <f>'附件4-8甲供材料清单'!M237</f>
        <v>78.124999999999986</v>
      </c>
      <c r="AD69" s="573">
        <v>14</v>
      </c>
      <c r="AE69" s="567">
        <v>48.2</v>
      </c>
      <c r="AF69" s="403">
        <f t="shared" si="59"/>
        <v>14525.117749999999</v>
      </c>
      <c r="AG69" s="403">
        <f t="shared" si="60"/>
        <v>10941.193875000001</v>
      </c>
      <c r="AH69" s="403">
        <f t="shared" si="61"/>
        <v>14525.117749999999</v>
      </c>
      <c r="AI69" s="403">
        <f t="shared" si="62"/>
        <v>13777.037124999999</v>
      </c>
      <c r="AJ69" s="403">
        <f t="shared" si="63"/>
        <v>13081.116250000001</v>
      </c>
      <c r="AK69" s="403">
        <f t="shared" si="64"/>
        <v>12659.720374999999</v>
      </c>
      <c r="AL69" s="403">
        <f t="shared" si="65"/>
        <v>11545.148874999999</v>
      </c>
      <c r="AM69" s="407" t="s">
        <v>244</v>
      </c>
      <c r="AN69" s="468">
        <f t="shared" si="66"/>
        <v>14525.117749999999</v>
      </c>
      <c r="AO69" s="468">
        <f t="shared" si="66"/>
        <v>10941.193875000001</v>
      </c>
      <c r="AP69" s="468">
        <f t="shared" si="66"/>
        <v>14525.117749999999</v>
      </c>
      <c r="AQ69" s="468">
        <f t="shared" si="66"/>
        <v>13777.037124999999</v>
      </c>
      <c r="AR69" s="468">
        <f t="shared" si="66"/>
        <v>13081.116250000001</v>
      </c>
      <c r="AS69" s="468">
        <f t="shared" si="66"/>
        <v>12659.720374999999</v>
      </c>
      <c r="AT69" s="468">
        <f t="shared" si="66"/>
        <v>11545.148874999999</v>
      </c>
      <c r="AU69" s="276"/>
      <c r="AV69" s="468">
        <f>E69*$AC69*(1+$AD69%)</f>
        <v>9424.5937499999982</v>
      </c>
      <c r="AW69" s="468">
        <f>J69*$AC69*(1+$AD69%)</f>
        <v>7099.171875</v>
      </c>
      <c r="AX69" s="468">
        <f>M69*$AC69*(1+$AD69%)</f>
        <v>9424.5937499999982</v>
      </c>
      <c r="AY69" s="468">
        <f>P69*$AC69*(1+$AD69%)</f>
        <v>8939.203125</v>
      </c>
      <c r="AZ69" s="468">
        <f>S69*$AC69*(1+$AD69%)</f>
        <v>8487.65625</v>
      </c>
      <c r="BA69" s="468">
        <f>V69*$AC69*(1+$AD69%)</f>
        <v>8214.234375</v>
      </c>
      <c r="BB69" s="468">
        <f>Y69*$AC69*(1+$AD69%)</f>
        <v>7491.046875</v>
      </c>
    </row>
    <row r="70" spans="1:54" ht="55.15" customHeight="1">
      <c r="A70" s="300"/>
      <c r="B70" s="809">
        <v>3</v>
      </c>
      <c r="C70" s="407" t="s">
        <v>786</v>
      </c>
      <c r="D70" s="809" t="s">
        <v>235</v>
      </c>
      <c r="E70" s="575">
        <f>14.67+22.32+14.32+14.67+22.32+14.32+14.32+11.12+19.12+14.32*3+15.92*3</f>
        <v>237.9</v>
      </c>
      <c r="F70" s="828" t="s">
        <v>1946</v>
      </c>
      <c r="G70" s="819"/>
      <c r="H70" s="828" t="s">
        <v>1946</v>
      </c>
      <c r="I70" s="819"/>
      <c r="J70" s="575">
        <f>14.67+22.32+14.32+14.32+11.12+19.12+14.32*3+15.92*3</f>
        <v>186.59</v>
      </c>
      <c r="K70" s="575"/>
      <c r="L70" s="819" t="s">
        <v>2041</v>
      </c>
      <c r="M70" s="575">
        <f>14.67+22.32+14.32+14.67+22.32+14.32+14.32+11.12+19.12+14.32*3+15.92*3</f>
        <v>237.9</v>
      </c>
      <c r="N70" s="828" t="s">
        <v>1946</v>
      </c>
      <c r="O70" s="819"/>
      <c r="P70" s="575">
        <f>14.67+22.32+14.32+14.67+22.32+14.32+14.32+11.12+19.12+14.32*3+15.92*3-5.15*2</f>
        <v>227.6</v>
      </c>
      <c r="Q70" s="828" t="s">
        <v>1946</v>
      </c>
      <c r="R70" s="819"/>
      <c r="S70" s="575">
        <f>14.67+22.32+14.32+14.67+22.32+14.32+14.32+11.12+19.12+14.32*3+15.92*3-5.15*2-5.73-3.13*2</f>
        <v>215.61</v>
      </c>
      <c r="T70" s="798"/>
      <c r="U70" s="819"/>
      <c r="V70" s="575">
        <f>14.67+22.32+14.32+14.67+22.32+14.32+14.32+11.12+19.12+14.32*3+15.92*3-5.15*2-5.73-3.13*2-5.39-1.29*2</f>
        <v>207.64000000000001</v>
      </c>
      <c r="W70" s="798"/>
      <c r="X70" s="819"/>
      <c r="Y70" s="575">
        <f>14.67+22.32+14.32+14.67+22.32+14.32+14.32+11.12+19.12+14.32*3+15.92*3-5.15*2-5.73-3.13*2-5.39-1.29*2-10.47-3.81*2</f>
        <v>189.55</v>
      </c>
      <c r="Z70" s="798"/>
      <c r="AA70" s="819"/>
      <c r="AB70" s="573">
        <f t="shared" si="67"/>
        <v>19.774999999999999</v>
      </c>
      <c r="AC70" s="572">
        <f>'附件4-8甲供材料清单'!M238</f>
        <v>12.1</v>
      </c>
      <c r="AD70" s="573">
        <v>5</v>
      </c>
      <c r="AE70" s="567">
        <v>7.07</v>
      </c>
      <c r="AF70" s="403">
        <f t="shared" si="59"/>
        <v>4704.4724999999999</v>
      </c>
      <c r="AG70" s="403">
        <f t="shared" si="60"/>
        <v>3689.8172499999996</v>
      </c>
      <c r="AH70" s="403">
        <f t="shared" si="61"/>
        <v>4704.4724999999999</v>
      </c>
      <c r="AI70" s="403">
        <f t="shared" si="62"/>
        <v>4500.79</v>
      </c>
      <c r="AJ70" s="403">
        <f t="shared" si="63"/>
        <v>4263.6877500000001</v>
      </c>
      <c r="AK70" s="403">
        <f t="shared" si="64"/>
        <v>4106.0810000000001</v>
      </c>
      <c r="AL70" s="403">
        <f t="shared" si="65"/>
        <v>3748.3512500000002</v>
      </c>
      <c r="AM70" s="407" t="s">
        <v>244</v>
      </c>
      <c r="AN70" s="468">
        <f t="shared" si="66"/>
        <v>4704.4724999999999</v>
      </c>
      <c r="AO70" s="468">
        <f t="shared" si="66"/>
        <v>3689.8172499999996</v>
      </c>
      <c r="AP70" s="468">
        <f t="shared" si="66"/>
        <v>4704.4724999999999</v>
      </c>
      <c r="AQ70" s="468">
        <f t="shared" si="66"/>
        <v>4500.79</v>
      </c>
      <c r="AR70" s="468">
        <f t="shared" si="66"/>
        <v>4263.6877500000001</v>
      </c>
      <c r="AS70" s="468">
        <f t="shared" si="66"/>
        <v>4106.0810000000001</v>
      </c>
      <c r="AT70" s="468">
        <f t="shared" si="66"/>
        <v>3748.3512500000002</v>
      </c>
      <c r="AU70" s="276"/>
      <c r="AV70" s="468">
        <f>E70*$AC70*(1+$AD70%)</f>
        <v>3022.5195000000003</v>
      </c>
      <c r="AW70" s="468">
        <f>J70*$AC70*(1+$AD70%)</f>
        <v>2370.6259500000001</v>
      </c>
      <c r="AX70" s="468">
        <f>M70*$AC70*(1+$AD70%)</f>
        <v>3022.5195000000003</v>
      </c>
      <c r="AY70" s="468">
        <f>P70*$AC70*(1+$AD70%)</f>
        <v>2891.6580000000004</v>
      </c>
      <c r="AZ70" s="468">
        <f>S70*$AC70*(1+$AD70%)</f>
        <v>2739.3250500000004</v>
      </c>
      <c r="BA70" s="468">
        <f>V70*$AC70*(1+$AD70%)</f>
        <v>2638.0662000000002</v>
      </c>
      <c r="BB70" s="468">
        <f>Y70*$AC70*(1+$AD70%)</f>
        <v>2408.2327500000006</v>
      </c>
    </row>
    <row r="71" spans="1:54" ht="55.15" customHeight="1">
      <c r="A71" s="300"/>
      <c r="B71" s="809">
        <v>4</v>
      </c>
      <c r="C71" s="407" t="s">
        <v>974</v>
      </c>
      <c r="D71" s="809" t="s">
        <v>235</v>
      </c>
      <c r="E71" s="575">
        <f>14.99+21.52+13.52+13.52+10.32+18.32</f>
        <v>92.19</v>
      </c>
      <c r="F71" s="828" t="s">
        <v>1947</v>
      </c>
      <c r="G71" s="819"/>
      <c r="H71" s="828" t="s">
        <v>1947</v>
      </c>
      <c r="I71" s="819"/>
      <c r="J71" s="575">
        <f>13.52+10.32+18.32</f>
        <v>42.16</v>
      </c>
      <c r="K71" s="575"/>
      <c r="L71" s="819" t="s">
        <v>2041</v>
      </c>
      <c r="M71" s="575">
        <f>14.99+21.52+13.52+13.52+10.32+18.32</f>
        <v>92.19</v>
      </c>
      <c r="N71" s="828" t="s">
        <v>1947</v>
      </c>
      <c r="O71" s="819"/>
      <c r="P71" s="575">
        <f>14.99+21.52+13.52+13.52+10.32+18.32-5.05*2</f>
        <v>82.09</v>
      </c>
      <c r="Q71" s="828" t="s">
        <v>1947</v>
      </c>
      <c r="R71" s="819"/>
      <c r="S71" s="575">
        <f>14.99+21.52+13.52+13.52+10.32+18.32-5.05*2-5.33-3.03*2</f>
        <v>70.7</v>
      </c>
      <c r="T71" s="798"/>
      <c r="U71" s="819"/>
      <c r="V71" s="575">
        <f>14.99+21.52+13.52+13.52+10.32+18.32-5.05*2-5.33-3.03*2-4.99-1.15*2</f>
        <v>63.410000000000011</v>
      </c>
      <c r="W71" s="798"/>
      <c r="X71" s="819"/>
      <c r="Y71" s="575">
        <f>14.99+21.52+13.52+13.52+10.32+18.32-5.05*2-5.33-3.03*2-4.99-1.15*2-10.07-3.71*2</f>
        <v>45.920000000000009</v>
      </c>
      <c r="Z71" s="798"/>
      <c r="AA71" s="819"/>
      <c r="AB71" s="573">
        <f t="shared" si="67"/>
        <v>12.074999999999999</v>
      </c>
      <c r="AC71" s="572">
        <f>'附件4-8甲供材料清单'!K239</f>
        <v>7.5</v>
      </c>
      <c r="AD71" s="572">
        <v>5</v>
      </c>
      <c r="AE71" s="721">
        <f>105*0.04</f>
        <v>4.2</v>
      </c>
      <c r="AF71" s="403">
        <f t="shared" si="59"/>
        <v>1113.19425</v>
      </c>
      <c r="AG71" s="403">
        <f t="shared" si="60"/>
        <v>509.08199999999994</v>
      </c>
      <c r="AH71" s="403">
        <f t="shared" si="61"/>
        <v>1113.19425</v>
      </c>
      <c r="AI71" s="403">
        <f t="shared" si="62"/>
        <v>991.23675000000003</v>
      </c>
      <c r="AJ71" s="403">
        <f t="shared" si="63"/>
        <v>853.70249999999999</v>
      </c>
      <c r="AK71" s="403">
        <f t="shared" si="64"/>
        <v>765.67575000000011</v>
      </c>
      <c r="AL71" s="403">
        <f t="shared" si="65"/>
        <v>554.48400000000004</v>
      </c>
      <c r="AM71" s="407" t="s">
        <v>244</v>
      </c>
      <c r="AN71" s="468">
        <f t="shared" si="66"/>
        <v>1113.19425</v>
      </c>
      <c r="AO71" s="468">
        <f t="shared" si="66"/>
        <v>509.08199999999994</v>
      </c>
      <c r="AP71" s="468">
        <f t="shared" si="66"/>
        <v>1113.19425</v>
      </c>
      <c r="AQ71" s="468">
        <f t="shared" si="66"/>
        <v>991.23675000000003</v>
      </c>
      <c r="AR71" s="468">
        <f t="shared" si="66"/>
        <v>853.70249999999999</v>
      </c>
      <c r="AS71" s="468">
        <f t="shared" si="66"/>
        <v>765.67575000000011</v>
      </c>
      <c r="AT71" s="468">
        <f t="shared" si="66"/>
        <v>554.48400000000004</v>
      </c>
      <c r="AU71" s="276"/>
      <c r="AV71" s="468">
        <f>E71*$AC71*(1+$AD71%)</f>
        <v>725.99625000000003</v>
      </c>
      <c r="AW71" s="468">
        <f>J71*$AC71*(1+$AD71%)</f>
        <v>332.01</v>
      </c>
      <c r="AX71" s="468">
        <f>M71*$AC71*(1+$AD71%)</f>
        <v>725.99625000000003</v>
      </c>
      <c r="AY71" s="468">
        <f>P71*$AC71*(1+$AD71%)</f>
        <v>646.45875000000012</v>
      </c>
      <c r="AZ71" s="468">
        <f>S71*$AC71*(1+$AD71%)</f>
        <v>556.76250000000005</v>
      </c>
      <c r="BA71" s="468">
        <f>V71*$AC71*(1+$AD71%)</f>
        <v>499.3537500000001</v>
      </c>
      <c r="BB71" s="468">
        <f>Y71*$AC71*(1+$AD71%)</f>
        <v>361.62000000000012</v>
      </c>
    </row>
    <row r="72" spans="1:54" ht="40.15" customHeight="1">
      <c r="A72" s="300"/>
      <c r="B72" s="809">
        <v>5</v>
      </c>
      <c r="C72" s="407" t="s">
        <v>2004</v>
      </c>
      <c r="D72" s="809" t="s">
        <v>231</v>
      </c>
      <c r="E72" s="575">
        <f t="shared" ref="E72" si="68">1.2*0.2*2</f>
        <v>0.48</v>
      </c>
      <c r="F72" s="798" t="s">
        <v>2005</v>
      </c>
      <c r="G72" s="819"/>
      <c r="H72" s="798" t="s">
        <v>2005</v>
      </c>
      <c r="I72" s="819"/>
      <c r="J72" s="575">
        <f t="shared" ref="J72:Y72" si="69">1.2*0.2*2</f>
        <v>0.48</v>
      </c>
      <c r="K72" s="575"/>
      <c r="L72" s="819" t="s">
        <v>2041</v>
      </c>
      <c r="M72" s="575">
        <f t="shared" si="69"/>
        <v>0.48</v>
      </c>
      <c r="N72" s="798" t="s">
        <v>2005</v>
      </c>
      <c r="O72" s="819"/>
      <c r="P72" s="575">
        <f t="shared" si="69"/>
        <v>0.48</v>
      </c>
      <c r="Q72" s="798" t="s">
        <v>2005</v>
      </c>
      <c r="R72" s="819"/>
      <c r="S72" s="575">
        <f t="shared" si="69"/>
        <v>0.48</v>
      </c>
      <c r="T72" s="798"/>
      <c r="U72" s="819"/>
      <c r="V72" s="575">
        <f t="shared" si="69"/>
        <v>0.48</v>
      </c>
      <c r="W72" s="798"/>
      <c r="X72" s="819"/>
      <c r="Y72" s="575">
        <f t="shared" si="69"/>
        <v>0.48</v>
      </c>
      <c r="Z72" s="798"/>
      <c r="AA72" s="819"/>
      <c r="AB72" s="573">
        <f t="shared" si="67"/>
        <v>448.67999999999995</v>
      </c>
      <c r="AC72" s="573">
        <v>336</v>
      </c>
      <c r="AD72" s="572">
        <v>3</v>
      </c>
      <c r="AE72" s="572">
        <v>102.6</v>
      </c>
      <c r="AF72" s="403">
        <f t="shared" si="59"/>
        <v>215.36639999999997</v>
      </c>
      <c r="AG72" s="403">
        <f t="shared" si="60"/>
        <v>215.36639999999997</v>
      </c>
      <c r="AH72" s="403">
        <f t="shared" si="61"/>
        <v>215.36639999999997</v>
      </c>
      <c r="AI72" s="403">
        <f t="shared" si="62"/>
        <v>215.36639999999997</v>
      </c>
      <c r="AJ72" s="403">
        <f t="shared" si="63"/>
        <v>215.36639999999997</v>
      </c>
      <c r="AK72" s="403">
        <f t="shared" si="64"/>
        <v>215.36639999999997</v>
      </c>
      <c r="AL72" s="403">
        <f t="shared" si="65"/>
        <v>215.36639999999997</v>
      </c>
      <c r="AM72" s="481"/>
      <c r="AN72" s="468"/>
      <c r="AO72" s="468"/>
      <c r="AP72" s="468"/>
      <c r="AQ72" s="468"/>
      <c r="AR72" s="468"/>
      <c r="AS72" s="468"/>
      <c r="AT72" s="468"/>
      <c r="AU72" s="276"/>
      <c r="AV72" s="468"/>
      <c r="AW72" s="468"/>
      <c r="AX72" s="468"/>
      <c r="AY72" s="468"/>
      <c r="AZ72" s="468"/>
      <c r="BA72" s="468"/>
      <c r="BB72" s="468"/>
    </row>
    <row r="73" spans="1:54" ht="40.15" customHeight="1">
      <c r="A73" s="300"/>
      <c r="B73" s="809">
        <v>6</v>
      </c>
      <c r="C73" s="407" t="s">
        <v>2003</v>
      </c>
      <c r="D73" s="809" t="s">
        <v>231</v>
      </c>
      <c r="E73" s="575">
        <f t="shared" ref="E73" si="70">0.9*0.22*4</f>
        <v>0.79200000000000004</v>
      </c>
      <c r="F73" s="828" t="s">
        <v>2006</v>
      </c>
      <c r="G73" s="819"/>
      <c r="H73" s="828" t="s">
        <v>2006</v>
      </c>
      <c r="I73" s="819"/>
      <c r="J73" s="575">
        <f>0.9*0.22*2</f>
        <v>0.39600000000000002</v>
      </c>
      <c r="K73" s="575"/>
      <c r="L73" s="819" t="s">
        <v>2040</v>
      </c>
      <c r="M73" s="575">
        <f>0.9*0.22*4</f>
        <v>0.79200000000000004</v>
      </c>
      <c r="N73" s="828" t="s">
        <v>2006</v>
      </c>
      <c r="O73" s="819"/>
      <c r="P73" s="575">
        <f>0.9*0.22*4</f>
        <v>0.79200000000000004</v>
      </c>
      <c r="Q73" s="828" t="s">
        <v>2006</v>
      </c>
      <c r="R73" s="819"/>
      <c r="S73" s="575">
        <f>0.9*0.22*4</f>
        <v>0.79200000000000004</v>
      </c>
      <c r="T73" s="798"/>
      <c r="U73" s="819"/>
      <c r="V73" s="575">
        <f>0.9*0.22*4</f>
        <v>0.79200000000000004</v>
      </c>
      <c r="W73" s="798"/>
      <c r="X73" s="819"/>
      <c r="Y73" s="575">
        <f>0.9*0.22*4</f>
        <v>0.79200000000000004</v>
      </c>
      <c r="Z73" s="798"/>
      <c r="AA73" s="819"/>
      <c r="AB73" s="573">
        <f t="shared" si="67"/>
        <v>486.48</v>
      </c>
      <c r="AC73" s="573">
        <v>336</v>
      </c>
      <c r="AD73" s="572">
        <v>3</v>
      </c>
      <c r="AE73" s="572">
        <v>140.4</v>
      </c>
      <c r="AF73" s="403">
        <f t="shared" si="59"/>
        <v>385.29216000000002</v>
      </c>
      <c r="AG73" s="403">
        <f t="shared" si="60"/>
        <v>192.64608000000001</v>
      </c>
      <c r="AH73" s="403">
        <f t="shared" si="61"/>
        <v>385.29216000000002</v>
      </c>
      <c r="AI73" s="403">
        <f t="shared" si="62"/>
        <v>385.29216000000002</v>
      </c>
      <c r="AJ73" s="403">
        <f t="shared" si="63"/>
        <v>385.29216000000002</v>
      </c>
      <c r="AK73" s="403">
        <f t="shared" si="64"/>
        <v>385.29216000000002</v>
      </c>
      <c r="AL73" s="403">
        <f t="shared" si="65"/>
        <v>385.29216000000002</v>
      </c>
      <c r="AM73" s="481"/>
      <c r="AN73" s="468"/>
      <c r="AO73" s="468"/>
      <c r="AP73" s="468"/>
      <c r="AQ73" s="468"/>
      <c r="AR73" s="468"/>
      <c r="AS73" s="468"/>
      <c r="AT73" s="468"/>
      <c r="AU73" s="276"/>
      <c r="AV73" s="468"/>
      <c r="AW73" s="468"/>
      <c r="AX73" s="468"/>
      <c r="AY73" s="468"/>
      <c r="AZ73" s="468"/>
      <c r="BA73" s="468"/>
      <c r="BB73" s="468"/>
    </row>
    <row r="74" spans="1:54" ht="112.5">
      <c r="A74" s="300"/>
      <c r="B74" s="809">
        <v>7</v>
      </c>
      <c r="C74" s="407" t="s">
        <v>2000</v>
      </c>
      <c r="D74" s="809" t="s">
        <v>231</v>
      </c>
      <c r="E74" s="575">
        <f>193.835*2.335-3.82*2.335*2-1.2*2.335*3-1.6*1.4-2.4*1.4*2-1.15*2.27*22</f>
        <v>359.96832499999999</v>
      </c>
      <c r="F74" s="798" t="s">
        <v>2010</v>
      </c>
      <c r="G74" s="819"/>
      <c r="H74" s="798" t="s">
        <v>2022</v>
      </c>
      <c r="I74" s="819"/>
      <c r="J74" s="575">
        <f>1.5*2.335+((3.6+1.27+0.51+3.6+2.97)*2.335-1.65*0.47*2-1.5*2.25*2)*2+(27.32+27.42+8.03+0.87+16.62)*2*2.335-3.82*2.335-1.5*2.25-(2.4+1.6*2)*1.4-1.15*2.27*20-1.2*2.335*2</f>
        <v>339.5725000000001</v>
      </c>
      <c r="K74" s="575"/>
      <c r="L74" s="819" t="s">
        <v>2040</v>
      </c>
      <c r="M74" s="575">
        <f>(2.95+1.47+0.48+3.55+3.75)*2.335-1.6*1.4+18.12*2*2.335-3.82*2.335-1.5*2.25-1.8*0.6*5-0.95*0.74*2-2.4*1.4-1.15*2.27*3+1.5*2.335+((3.6+1.27+0.51+3.6+2.97)*2.335-1.65*0.47*2-1.5*2.25*2)*2+(27.32+27.42+8.03+0.87+16.62)*2*2.335-3.82*2.335-1.5*2.25-(2.4+1.6*2)*1.4-1.15*2.27*20-1.2*2.335*2</f>
        <v>420.1477000000001</v>
      </c>
      <c r="N74" s="798" t="s">
        <v>2011</v>
      </c>
      <c r="O74" s="819"/>
      <c r="P74" s="575">
        <f>(185.135-1.7)*2.335-3.82*2.335*2-1.2*2.335*3-1.6*1.4-2.4*1.4*2-1.15*2.27*19-1.4*2.27</f>
        <v>340.33782499999995</v>
      </c>
      <c r="Q74" s="798" t="s">
        <v>2012</v>
      </c>
      <c r="R74" s="819"/>
      <c r="S74" s="575">
        <f>(171.121-1.7)*2.335-3.82*2.335*2-1.2*2.335*3-1.6*1.4-2.4*1.4*2-1.15*2.27*18-1.4*2.27</f>
        <v>310.22563500000001</v>
      </c>
      <c r="T74" s="798" t="s">
        <v>1984</v>
      </c>
      <c r="U74" s="819"/>
      <c r="V74" s="575">
        <f>(160.008-1.7)*2.335-3.82*2.335*2-1.2*2.335*3-1.6*1.4-2.4*1.4*2-1.15*2.27*16-1.4*2.27</f>
        <v>289.49778000000003</v>
      </c>
      <c r="W74" s="798" t="s">
        <v>1985</v>
      </c>
      <c r="X74" s="819"/>
      <c r="Y74" s="575">
        <f>(131.309-1.7)*2.335-3.82*2.335*2-1.2*2.335*3-1.6*1.4-2.4*1.4*2-1.15*2.27*13--1.4*2.27</f>
        <v>236.67311499999997</v>
      </c>
      <c r="Z74" s="798" t="s">
        <v>1986</v>
      </c>
      <c r="AA74" s="819"/>
      <c r="AB74" s="573">
        <f t="shared" si="67"/>
        <v>150.87049999999999</v>
      </c>
      <c r="AC74" s="572">
        <f>'附件4-8甲供材料清单'!M237</f>
        <v>78.124999999999986</v>
      </c>
      <c r="AD74" s="573">
        <v>14</v>
      </c>
      <c r="AE74" s="567">
        <v>61.808</v>
      </c>
      <c r="AF74" s="403">
        <f t="shared" si="59"/>
        <v>54308.601176912496</v>
      </c>
      <c r="AG74" s="403">
        <f t="shared" si="60"/>
        <v>51231.472861250011</v>
      </c>
      <c r="AH74" s="403">
        <f t="shared" si="61"/>
        <v>63387.893572850015</v>
      </c>
      <c r="AI74" s="403">
        <f t="shared" si="62"/>
        <v>51346.937826662492</v>
      </c>
      <c r="AJ74" s="403">
        <f t="shared" si="63"/>
        <v>46803.896665267501</v>
      </c>
      <c r="AK74" s="403">
        <f t="shared" si="64"/>
        <v>43676.674817490006</v>
      </c>
      <c r="AL74" s="403">
        <f t="shared" si="65"/>
        <v>35706.991196607494</v>
      </c>
      <c r="AM74" s="407" t="s">
        <v>244</v>
      </c>
      <c r="AN74" s="468">
        <f t="shared" ref="AN74:AT74" si="71">AF74</f>
        <v>54308.601176912496</v>
      </c>
      <c r="AO74" s="468">
        <f t="shared" si="71"/>
        <v>51231.472861250011</v>
      </c>
      <c r="AP74" s="468">
        <f t="shared" si="71"/>
        <v>63387.893572850015</v>
      </c>
      <c r="AQ74" s="468">
        <f t="shared" si="71"/>
        <v>51346.937826662492</v>
      </c>
      <c r="AR74" s="468">
        <f t="shared" si="71"/>
        <v>46803.896665267501</v>
      </c>
      <c r="AS74" s="468">
        <f t="shared" si="71"/>
        <v>43676.674817490006</v>
      </c>
      <c r="AT74" s="468">
        <f t="shared" si="71"/>
        <v>35706.991196607494</v>
      </c>
      <c r="AU74" s="276"/>
      <c r="AV74" s="468">
        <f>E74*$AC74*(1+$AD74%)</f>
        <v>32059.678945312495</v>
      </c>
      <c r="AW74" s="468">
        <f>J74*$AC74*(1+$AD74%)</f>
        <v>30243.175781250007</v>
      </c>
      <c r="AX74" s="468">
        <f>M74*$AC74*(1+$AD74%)</f>
        <v>37419.404531250002</v>
      </c>
      <c r="AY74" s="468">
        <f>P74*$AC74*(1+$AD74%)</f>
        <v>30311.337539062493</v>
      </c>
      <c r="AZ74" s="468">
        <f>S74*$AC74*(1+$AD74%)</f>
        <v>27629.4706171875</v>
      </c>
      <c r="BA74" s="468">
        <f>V74*$AC74*(1+$AD74%)</f>
        <v>25783.396031250002</v>
      </c>
      <c r="BB74" s="468">
        <f>Y74*$AC74*(1+$AD74%)</f>
        <v>21078.699304687496</v>
      </c>
    </row>
    <row r="75" spans="1:54" ht="40.15" customHeight="1">
      <c r="B75" s="457">
        <v>8</v>
      </c>
      <c r="C75" s="484" t="s">
        <v>975</v>
      </c>
      <c r="D75" s="457" t="s">
        <v>231</v>
      </c>
      <c r="E75" s="575">
        <f t="shared" ref="E75" si="72">0.188*2.1*2*6</f>
        <v>4.7376000000000005</v>
      </c>
      <c r="F75" s="798" t="s">
        <v>1951</v>
      </c>
      <c r="G75" s="819"/>
      <c r="H75" s="798" t="s">
        <v>1951</v>
      </c>
      <c r="I75" s="819"/>
      <c r="J75" s="575">
        <f>0.188*2.1*2*4</f>
        <v>3.1584000000000003</v>
      </c>
      <c r="K75" s="575"/>
      <c r="L75" s="819" t="s">
        <v>2040</v>
      </c>
      <c r="M75" s="575">
        <f>0.188*2.1*2*6</f>
        <v>4.7376000000000005</v>
      </c>
      <c r="N75" s="798" t="s">
        <v>1951</v>
      </c>
      <c r="O75" s="819"/>
      <c r="P75" s="575">
        <f>0.188*2.1*2*6</f>
        <v>4.7376000000000005</v>
      </c>
      <c r="Q75" s="798" t="s">
        <v>1951</v>
      </c>
      <c r="R75" s="819"/>
      <c r="S75" s="575">
        <f>0.188*2.1*2*6</f>
        <v>4.7376000000000005</v>
      </c>
      <c r="T75" s="798" t="s">
        <v>1951</v>
      </c>
      <c r="U75" s="819"/>
      <c r="V75" s="575">
        <f>0.188*2.1*2*6</f>
        <v>4.7376000000000005</v>
      </c>
      <c r="W75" s="798" t="s">
        <v>1951</v>
      </c>
      <c r="X75" s="819"/>
      <c r="Y75" s="575">
        <f>0.188*2.1*2*6</f>
        <v>4.7376000000000005</v>
      </c>
      <c r="Z75" s="798" t="s">
        <v>1951</v>
      </c>
      <c r="AA75" s="819"/>
      <c r="AB75" s="719">
        <f t="shared" si="67"/>
        <v>534.36</v>
      </c>
      <c r="AC75" s="719">
        <v>252</v>
      </c>
      <c r="AD75" s="575">
        <v>2</v>
      </c>
      <c r="AE75" s="575">
        <v>277.32</v>
      </c>
      <c r="AF75" s="485">
        <f t="shared" si="59"/>
        <v>2531.5839360000004</v>
      </c>
      <c r="AG75" s="485">
        <f t="shared" si="60"/>
        <v>1687.7226240000002</v>
      </c>
      <c r="AH75" s="485">
        <f t="shared" si="61"/>
        <v>2531.5839360000004</v>
      </c>
      <c r="AI75" s="485">
        <f t="shared" si="62"/>
        <v>2531.5839360000004</v>
      </c>
      <c r="AJ75" s="485">
        <f t="shared" si="63"/>
        <v>2531.5839360000004</v>
      </c>
      <c r="AK75" s="485">
        <f t="shared" si="64"/>
        <v>2531.5839360000004</v>
      </c>
      <c r="AL75" s="485">
        <f t="shared" si="65"/>
        <v>2531.5839360000004</v>
      </c>
      <c r="AM75" s="486"/>
      <c r="AN75" s="471"/>
      <c r="AO75" s="471"/>
      <c r="AP75" s="471"/>
      <c r="AQ75" s="471"/>
      <c r="AR75" s="471"/>
      <c r="AS75" s="471"/>
      <c r="AT75" s="471"/>
      <c r="AU75" s="290"/>
      <c r="AV75" s="471"/>
      <c r="AW75" s="471"/>
      <c r="AX75" s="471"/>
      <c r="AY75" s="471"/>
      <c r="AZ75" s="471"/>
      <c r="BA75" s="471"/>
      <c r="BB75" s="471"/>
    </row>
    <row r="76" spans="1:54" ht="40.15" customHeight="1">
      <c r="B76" s="457">
        <v>9</v>
      </c>
      <c r="C76" s="487" t="s">
        <v>793</v>
      </c>
      <c r="D76" s="489" t="s">
        <v>231</v>
      </c>
      <c r="E76" s="719">
        <f t="shared" ref="E76" si="73">(0.18+0.12)*0.9*6</f>
        <v>1.62</v>
      </c>
      <c r="F76" s="827" t="s">
        <v>2038</v>
      </c>
      <c r="G76" s="819"/>
      <c r="H76" s="827" t="s">
        <v>2038</v>
      </c>
      <c r="I76" s="819"/>
      <c r="J76" s="719">
        <f>(0.18+0.12)*0.9*4</f>
        <v>1.08</v>
      </c>
      <c r="K76" s="719"/>
      <c r="L76" s="819" t="s">
        <v>2040</v>
      </c>
      <c r="M76" s="719">
        <f>(0.18+0.12)*0.9*6</f>
        <v>1.62</v>
      </c>
      <c r="N76" s="827" t="s">
        <v>2038</v>
      </c>
      <c r="O76" s="819"/>
      <c r="P76" s="719">
        <f>(0.18+0.12)*0.9*6</f>
        <v>1.62</v>
      </c>
      <c r="Q76" s="827" t="s">
        <v>2038</v>
      </c>
      <c r="R76" s="819"/>
      <c r="S76" s="719">
        <f>(0.18+0.12)*0.9*6</f>
        <v>1.62</v>
      </c>
      <c r="T76" s="827" t="s">
        <v>2038</v>
      </c>
      <c r="U76" s="819"/>
      <c r="V76" s="719">
        <f>(0.18+0.12)*0.9*6</f>
        <v>1.62</v>
      </c>
      <c r="W76" s="827" t="s">
        <v>2038</v>
      </c>
      <c r="X76" s="819"/>
      <c r="Y76" s="719">
        <f>(0.18+0.12)*0.9*6</f>
        <v>1.62</v>
      </c>
      <c r="Z76" s="827" t="s">
        <v>2038</v>
      </c>
      <c r="AA76" s="819"/>
      <c r="AB76" s="719">
        <f t="shared" si="67"/>
        <v>179.10000000000002</v>
      </c>
      <c r="AC76" s="723">
        <v>90</v>
      </c>
      <c r="AD76" s="719">
        <v>3</v>
      </c>
      <c r="AE76" s="723">
        <v>86.4</v>
      </c>
      <c r="AF76" s="485">
        <f t="shared" si="59"/>
        <v>290.14200000000005</v>
      </c>
      <c r="AG76" s="485">
        <f t="shared" si="60"/>
        <v>193.42800000000003</v>
      </c>
      <c r="AH76" s="485">
        <f t="shared" si="61"/>
        <v>290.14200000000005</v>
      </c>
      <c r="AI76" s="485">
        <f t="shared" si="62"/>
        <v>290.14200000000005</v>
      </c>
      <c r="AJ76" s="485">
        <f t="shared" si="63"/>
        <v>290.14200000000005</v>
      </c>
      <c r="AK76" s="485">
        <f t="shared" si="64"/>
        <v>290.14200000000005</v>
      </c>
      <c r="AL76" s="485">
        <f t="shared" si="65"/>
        <v>290.14200000000005</v>
      </c>
      <c r="AM76" s="486"/>
      <c r="AN76" s="471"/>
      <c r="AO76" s="471"/>
      <c r="AP76" s="471"/>
      <c r="AQ76" s="471"/>
      <c r="AR76" s="471"/>
      <c r="AS76" s="471"/>
      <c r="AT76" s="471"/>
      <c r="AU76" s="290"/>
      <c r="AV76" s="471"/>
      <c r="AW76" s="471"/>
      <c r="AX76" s="471"/>
      <c r="AY76" s="471"/>
      <c r="AZ76" s="471"/>
      <c r="BA76" s="471"/>
      <c r="BB76" s="471"/>
    </row>
    <row r="77" spans="1:54" ht="40.15" customHeight="1">
      <c r="B77" s="457">
        <v>10</v>
      </c>
      <c r="C77" s="487" t="s">
        <v>976</v>
      </c>
      <c r="D77" s="489" t="s">
        <v>235</v>
      </c>
      <c r="E77" s="719">
        <f t="shared" ref="E77" si="74">5.84*4+5.84*2</f>
        <v>35.04</v>
      </c>
      <c r="F77" s="800" t="s">
        <v>1948</v>
      </c>
      <c r="G77" s="819"/>
      <c r="H77" s="800" t="s">
        <v>1948</v>
      </c>
      <c r="I77" s="819"/>
      <c r="J77" s="719">
        <f>5.84*4</f>
        <v>23.36</v>
      </c>
      <c r="K77" s="719"/>
      <c r="L77" s="819" t="s">
        <v>2040</v>
      </c>
      <c r="M77" s="719">
        <f>5.84*4+5.84*2</f>
        <v>35.04</v>
      </c>
      <c r="N77" s="800" t="s">
        <v>1948</v>
      </c>
      <c r="O77" s="819"/>
      <c r="P77" s="719">
        <f>5.84*4+5.84*2</f>
        <v>35.04</v>
      </c>
      <c r="Q77" s="800" t="s">
        <v>1948</v>
      </c>
      <c r="R77" s="819"/>
      <c r="S77" s="719">
        <f>5.84*4+5.84*2</f>
        <v>35.04</v>
      </c>
      <c r="T77" s="800" t="s">
        <v>1948</v>
      </c>
      <c r="U77" s="819"/>
      <c r="V77" s="719">
        <f>5.84*4+5.84*2</f>
        <v>35.04</v>
      </c>
      <c r="W77" s="800" t="s">
        <v>1948</v>
      </c>
      <c r="X77" s="819"/>
      <c r="Y77" s="719">
        <f>5.84*4+5.84*2</f>
        <v>35.04</v>
      </c>
      <c r="Z77" s="800" t="s">
        <v>1948</v>
      </c>
      <c r="AA77" s="819"/>
      <c r="AB77" s="719">
        <f t="shared" si="67"/>
        <v>104.98409999999998</v>
      </c>
      <c r="AC77" s="719">
        <v>70.47</v>
      </c>
      <c r="AD77" s="719">
        <v>3</v>
      </c>
      <c r="AE77" s="719">
        <v>32.4</v>
      </c>
      <c r="AF77" s="485">
        <f t="shared" si="59"/>
        <v>3678.6428639999995</v>
      </c>
      <c r="AG77" s="485">
        <f t="shared" si="60"/>
        <v>2452.4285759999993</v>
      </c>
      <c r="AH77" s="485">
        <f t="shared" si="61"/>
        <v>3678.6428639999995</v>
      </c>
      <c r="AI77" s="485">
        <f t="shared" si="62"/>
        <v>3678.6428639999995</v>
      </c>
      <c r="AJ77" s="485">
        <f t="shared" si="63"/>
        <v>3678.6428639999995</v>
      </c>
      <c r="AK77" s="485">
        <f t="shared" si="64"/>
        <v>3678.6428639999995</v>
      </c>
      <c r="AL77" s="485">
        <f t="shared" si="65"/>
        <v>3678.6428639999995</v>
      </c>
      <c r="AM77" s="486"/>
      <c r="AN77" s="471"/>
      <c r="AO77" s="471"/>
      <c r="AP77" s="471"/>
      <c r="AQ77" s="471"/>
      <c r="AR77" s="471"/>
      <c r="AS77" s="471"/>
      <c r="AT77" s="471"/>
      <c r="AU77" s="290"/>
      <c r="AV77" s="471"/>
      <c r="AW77" s="471"/>
      <c r="AX77" s="471"/>
      <c r="AY77" s="471"/>
      <c r="AZ77" s="471"/>
      <c r="BA77" s="471"/>
      <c r="BB77" s="471"/>
    </row>
    <row r="78" spans="1:54" ht="40.15" customHeight="1">
      <c r="A78" s="263" t="s">
        <v>798</v>
      </c>
      <c r="B78" s="457">
        <v>11</v>
      </c>
      <c r="C78" s="487" t="s">
        <v>799</v>
      </c>
      <c r="D78" s="489" t="s">
        <v>235</v>
      </c>
      <c r="E78" s="719">
        <f t="shared" ref="E78" si="75">12.82+15.67+12.82+15.67</f>
        <v>56.980000000000004</v>
      </c>
      <c r="F78" s="800" t="s">
        <v>1949</v>
      </c>
      <c r="G78" s="819"/>
      <c r="H78" s="800" t="s">
        <v>1949</v>
      </c>
      <c r="I78" s="819"/>
      <c r="J78" s="719">
        <f>12.82+15.67</f>
        <v>28.490000000000002</v>
      </c>
      <c r="K78" s="719"/>
      <c r="L78" s="819" t="s">
        <v>2040</v>
      </c>
      <c r="M78" s="719">
        <f>12.82+15.67+12.82+15.67</f>
        <v>56.980000000000004</v>
      </c>
      <c r="N78" s="800" t="s">
        <v>1949</v>
      </c>
      <c r="O78" s="819"/>
      <c r="P78" s="719">
        <f>12.82+15.67+12.82+15.67</f>
        <v>56.980000000000004</v>
      </c>
      <c r="Q78" s="800" t="s">
        <v>1949</v>
      </c>
      <c r="R78" s="819"/>
      <c r="S78" s="719">
        <f>12.82+15.67+12.82+15.67</f>
        <v>56.980000000000004</v>
      </c>
      <c r="T78" s="800" t="s">
        <v>1949</v>
      </c>
      <c r="U78" s="819"/>
      <c r="V78" s="719">
        <f>12.82+15.67+12.82+15.67</f>
        <v>56.980000000000004</v>
      </c>
      <c r="W78" s="800" t="s">
        <v>1949</v>
      </c>
      <c r="X78" s="819"/>
      <c r="Y78" s="719">
        <f>12.82+15.67+12.82+15.67</f>
        <v>56.980000000000004</v>
      </c>
      <c r="Z78" s="800" t="s">
        <v>1949</v>
      </c>
      <c r="AA78" s="819"/>
      <c r="AB78" s="719">
        <f t="shared" si="67"/>
        <v>26.736499999999999</v>
      </c>
      <c r="AC78" s="719">
        <v>18.13</v>
      </c>
      <c r="AD78" s="719">
        <v>5</v>
      </c>
      <c r="AE78" s="719">
        <v>7.7</v>
      </c>
      <c r="AF78" s="485">
        <f t="shared" si="59"/>
        <v>1523.44577</v>
      </c>
      <c r="AG78" s="485">
        <f t="shared" si="60"/>
        <v>761.72288500000002</v>
      </c>
      <c r="AH78" s="485">
        <f t="shared" si="61"/>
        <v>1523.44577</v>
      </c>
      <c r="AI78" s="485">
        <f t="shared" si="62"/>
        <v>1523.44577</v>
      </c>
      <c r="AJ78" s="485">
        <f t="shared" si="63"/>
        <v>1523.44577</v>
      </c>
      <c r="AK78" s="485">
        <f t="shared" si="64"/>
        <v>1523.44577</v>
      </c>
      <c r="AL78" s="485">
        <f t="shared" si="65"/>
        <v>1523.44577</v>
      </c>
      <c r="AM78" s="486"/>
      <c r="AN78" s="471"/>
      <c r="AO78" s="471"/>
      <c r="AP78" s="471"/>
      <c r="AQ78" s="471"/>
      <c r="AR78" s="471"/>
      <c r="AS78" s="471"/>
      <c r="AT78" s="471"/>
      <c r="AU78" s="290"/>
      <c r="AV78" s="471"/>
      <c r="AW78" s="471"/>
      <c r="AX78" s="471"/>
      <c r="AY78" s="471"/>
      <c r="AZ78" s="471"/>
      <c r="BA78" s="471"/>
      <c r="BB78" s="471"/>
    </row>
    <row r="79" spans="1:54" ht="40.15" customHeight="1">
      <c r="A79" s="300"/>
      <c r="B79" s="809">
        <v>12</v>
      </c>
      <c r="C79" s="490" t="s">
        <v>766</v>
      </c>
      <c r="D79" s="491" t="s">
        <v>235</v>
      </c>
      <c r="E79" s="719">
        <f t="shared" ref="E79" si="76">14.38*2</f>
        <v>28.76</v>
      </c>
      <c r="F79" s="800" t="s">
        <v>1950</v>
      </c>
      <c r="G79" s="819"/>
      <c r="H79" s="800" t="s">
        <v>1950</v>
      </c>
      <c r="I79" s="819"/>
      <c r="J79" s="719">
        <v>14.38</v>
      </c>
      <c r="K79" s="719"/>
      <c r="L79" s="819" t="s">
        <v>2040</v>
      </c>
      <c r="M79" s="719">
        <f>14.38*2</f>
        <v>28.76</v>
      </c>
      <c r="N79" s="800" t="s">
        <v>1950</v>
      </c>
      <c r="O79" s="819"/>
      <c r="P79" s="719">
        <f>14.38*2</f>
        <v>28.76</v>
      </c>
      <c r="Q79" s="800" t="s">
        <v>1950</v>
      </c>
      <c r="R79" s="819"/>
      <c r="S79" s="719">
        <f>14.38*2</f>
        <v>28.76</v>
      </c>
      <c r="T79" s="800" t="s">
        <v>1950</v>
      </c>
      <c r="U79" s="819"/>
      <c r="V79" s="719">
        <f>14.38*2</f>
        <v>28.76</v>
      </c>
      <c r="W79" s="800" t="s">
        <v>1950</v>
      </c>
      <c r="X79" s="819"/>
      <c r="Y79" s="719">
        <f>14.38*2</f>
        <v>28.76</v>
      </c>
      <c r="Z79" s="800" t="s">
        <v>1950</v>
      </c>
      <c r="AA79" s="819"/>
      <c r="AB79" s="573">
        <f t="shared" si="67"/>
        <v>48.31</v>
      </c>
      <c r="AC79" s="567">
        <v>35</v>
      </c>
      <c r="AD79" s="573">
        <v>1</v>
      </c>
      <c r="AE79" s="567">
        <v>12.96</v>
      </c>
      <c r="AF79" s="403">
        <f t="shared" si="59"/>
        <v>1389.3956000000001</v>
      </c>
      <c r="AG79" s="403">
        <f t="shared" si="60"/>
        <v>694.69780000000003</v>
      </c>
      <c r="AH79" s="403">
        <f t="shared" si="61"/>
        <v>1389.3956000000001</v>
      </c>
      <c r="AI79" s="403">
        <f t="shared" si="62"/>
        <v>1389.3956000000001</v>
      </c>
      <c r="AJ79" s="403">
        <f t="shared" si="63"/>
        <v>1389.3956000000001</v>
      </c>
      <c r="AK79" s="403">
        <f t="shared" si="64"/>
        <v>1389.3956000000001</v>
      </c>
      <c r="AL79" s="403">
        <f t="shared" si="65"/>
        <v>1389.3956000000001</v>
      </c>
      <c r="AM79" s="481"/>
      <c r="AN79" s="468"/>
      <c r="AO79" s="468"/>
      <c r="AP79" s="468"/>
      <c r="AQ79" s="468"/>
      <c r="AR79" s="468"/>
      <c r="AS79" s="468"/>
      <c r="AT79" s="468"/>
      <c r="AU79" s="276"/>
      <c r="AV79" s="468"/>
      <c r="AW79" s="468"/>
      <c r="AX79" s="468"/>
      <c r="AY79" s="468"/>
      <c r="AZ79" s="468"/>
      <c r="BA79" s="468"/>
      <c r="BB79" s="468"/>
    </row>
    <row r="80" spans="1:54" s="818" customFormat="1" ht="21.75" customHeight="1">
      <c r="A80" s="438"/>
      <c r="B80" s="806"/>
      <c r="C80" s="413" t="s">
        <v>547</v>
      </c>
      <c r="D80" s="806"/>
      <c r="E80" s="720"/>
      <c r="F80" s="801"/>
      <c r="G80" s="720"/>
      <c r="H80" s="801"/>
      <c r="I80" s="720"/>
      <c r="J80" s="720"/>
      <c r="K80" s="720"/>
      <c r="L80" s="720"/>
      <c r="M80" s="720"/>
      <c r="N80" s="801"/>
      <c r="O80" s="801"/>
      <c r="P80" s="720"/>
      <c r="Q80" s="801"/>
      <c r="R80" s="801"/>
      <c r="S80" s="720"/>
      <c r="T80" s="801"/>
      <c r="U80" s="801"/>
      <c r="V80" s="720"/>
      <c r="W80" s="801"/>
      <c r="X80" s="801"/>
      <c r="Y80" s="720"/>
      <c r="Z80" s="801"/>
      <c r="AA80" s="801"/>
      <c r="AB80" s="724"/>
      <c r="AC80" s="704"/>
      <c r="AD80" s="732"/>
      <c r="AE80" s="704"/>
      <c r="AF80" s="805">
        <f t="shared" ref="AF80" si="77">SUM(AF8:AF79)</f>
        <v>133727.37908785648</v>
      </c>
      <c r="AG80" s="805">
        <f>SUM(AG8:AG79)</f>
        <v>113707.62760877601</v>
      </c>
      <c r="AH80" s="805">
        <f>SUM(AH8:AH79)</f>
        <v>143543.25514579398</v>
      </c>
      <c r="AI80" s="805">
        <f>SUM(AI8:AI79)</f>
        <v>129435.32205777848</v>
      </c>
      <c r="AJ80" s="805">
        <f t="shared" ref="AJ80" si="78">SUM(AJ8:AJ79)</f>
        <v>122250.37587023751</v>
      </c>
      <c r="AK80" s="805">
        <f>SUM(AK8:AK79)</f>
        <v>117333.03672759602</v>
      </c>
      <c r="AL80" s="805">
        <f>SUM(AL8:AL79)</f>
        <v>103802.22879028349</v>
      </c>
      <c r="AM80" s="413"/>
      <c r="AN80" s="447">
        <f t="shared" ref="AN80" si="79">SUM(AN8:AN79)</f>
        <v>102100.60635785651</v>
      </c>
      <c r="AO80" s="447">
        <f t="shared" ref="AO80" si="80">SUM(AO8:AO79)</f>
        <v>89678.295467776014</v>
      </c>
      <c r="AP80" s="447">
        <f t="shared" ref="AP80:AT80" si="81">SUM(AP8:AP79)</f>
        <v>111916.48241579402</v>
      </c>
      <c r="AQ80" s="447">
        <f t="shared" si="81"/>
        <v>98096.958287778485</v>
      </c>
      <c r="AR80" s="447">
        <f t="shared" si="81"/>
        <v>91502.127140237499</v>
      </c>
      <c r="AS80" s="447">
        <f t="shared" si="81"/>
        <v>86852.648157596006</v>
      </c>
      <c r="AT80" s="447">
        <f t="shared" si="81"/>
        <v>74680.399420283502</v>
      </c>
      <c r="AU80" s="786"/>
      <c r="AV80" s="447">
        <f>SUM(AV8:AV79)</f>
        <v>59955.316332656497</v>
      </c>
      <c r="AW80" s="447">
        <f t="shared" ref="AW80" si="82">SUM(AW8:AW79)</f>
        <v>52618.33844937601</v>
      </c>
      <c r="AX80" s="447">
        <f t="shared" ref="AX80:BB80" si="83">SUM(AX8:AX79)</f>
        <v>65806.639036594002</v>
      </c>
      <c r="AY80" s="447">
        <f t="shared" si="83"/>
        <v>57606.966409778499</v>
      </c>
      <c r="AZ80" s="447">
        <f t="shared" si="83"/>
        <v>53670.5552481575</v>
      </c>
      <c r="BA80" s="447">
        <f t="shared" si="83"/>
        <v>50862.360828956007</v>
      </c>
      <c r="BB80" s="447">
        <f t="shared" si="83"/>
        <v>43646.949245963493</v>
      </c>
    </row>
    <row r="81" spans="1:54" s="818" customFormat="1" ht="21.75" customHeight="1">
      <c r="A81" s="438"/>
      <c r="B81" s="635"/>
      <c r="C81" s="636" t="s">
        <v>548</v>
      </c>
      <c r="D81" s="635"/>
      <c r="E81" s="728"/>
      <c r="F81" s="802"/>
      <c r="G81" s="728"/>
      <c r="H81" s="802"/>
      <c r="I81" s="728"/>
      <c r="J81" s="728"/>
      <c r="K81" s="728"/>
      <c r="L81" s="728"/>
      <c r="M81" s="728"/>
      <c r="N81" s="802"/>
      <c r="O81" s="802"/>
      <c r="P81" s="728"/>
      <c r="Q81" s="802"/>
      <c r="R81" s="802"/>
      <c r="S81" s="728"/>
      <c r="T81" s="802"/>
      <c r="U81" s="802"/>
      <c r="V81" s="728"/>
      <c r="W81" s="802"/>
      <c r="X81" s="802"/>
      <c r="Y81" s="728"/>
      <c r="Z81" s="802"/>
      <c r="AA81" s="802"/>
      <c r="AB81" s="730"/>
      <c r="AC81" s="648"/>
      <c r="AD81" s="733"/>
      <c r="AE81" s="648"/>
      <c r="AF81" s="643"/>
      <c r="AG81" s="643"/>
      <c r="AH81" s="643"/>
      <c r="AI81" s="643"/>
      <c r="AJ81" s="643"/>
      <c r="AK81" s="643"/>
      <c r="AL81" s="643"/>
      <c r="AM81" s="636"/>
      <c r="AN81" s="474"/>
      <c r="AO81" s="474"/>
      <c r="AP81" s="474"/>
      <c r="AQ81" s="474"/>
      <c r="AR81" s="474"/>
      <c r="AS81" s="474"/>
      <c r="AT81" s="474"/>
      <c r="AU81" s="474"/>
      <c r="AV81" s="474"/>
      <c r="AW81" s="474"/>
      <c r="AX81" s="474"/>
      <c r="AY81" s="474"/>
      <c r="AZ81" s="474"/>
      <c r="BA81" s="474"/>
      <c r="BB81" s="474"/>
    </row>
    <row r="82" spans="1:54" s="818" customFormat="1" ht="33.75">
      <c r="A82" s="438"/>
      <c r="B82" s="635" t="s">
        <v>133</v>
      </c>
      <c r="C82" s="636" t="s">
        <v>549</v>
      </c>
      <c r="D82" s="635"/>
      <c r="E82" s="728"/>
      <c r="F82" s="802"/>
      <c r="G82" s="728"/>
      <c r="H82" s="802"/>
      <c r="I82" s="728"/>
      <c r="J82" s="728"/>
      <c r="K82" s="728"/>
      <c r="L82" s="728"/>
      <c r="M82" s="728"/>
      <c r="N82" s="802"/>
      <c r="O82" s="802"/>
      <c r="P82" s="728"/>
      <c r="Q82" s="802"/>
      <c r="R82" s="802"/>
      <c r="S82" s="728"/>
      <c r="T82" s="802"/>
      <c r="U82" s="802"/>
      <c r="V82" s="728"/>
      <c r="W82" s="802"/>
      <c r="X82" s="802"/>
      <c r="Y82" s="728"/>
      <c r="Z82" s="802"/>
      <c r="AA82" s="802"/>
      <c r="AB82" s="730"/>
      <c r="AC82" s="648"/>
      <c r="AD82" s="733"/>
      <c r="AE82" s="648"/>
      <c r="AF82" s="643"/>
      <c r="AG82" s="643"/>
      <c r="AH82" s="643"/>
      <c r="AI82" s="643"/>
      <c r="AJ82" s="643"/>
      <c r="AK82" s="643"/>
      <c r="AL82" s="643"/>
      <c r="AM82" s="636"/>
      <c r="AN82" s="474"/>
      <c r="AO82" s="474"/>
      <c r="AP82" s="474"/>
      <c r="AQ82" s="474"/>
      <c r="AR82" s="474"/>
      <c r="AS82" s="474"/>
      <c r="AT82" s="474"/>
      <c r="AU82" s="474"/>
      <c r="AV82" s="474"/>
      <c r="AW82" s="474"/>
      <c r="AX82" s="474"/>
      <c r="AY82" s="474"/>
      <c r="AZ82" s="474"/>
      <c r="BA82" s="474"/>
      <c r="BB82" s="474"/>
    </row>
    <row r="83" spans="1:54" ht="26.25" customHeight="1">
      <c r="A83" s="300"/>
      <c r="B83" s="809" t="s">
        <v>140</v>
      </c>
      <c r="C83" s="407" t="s">
        <v>551</v>
      </c>
      <c r="D83" s="809"/>
      <c r="E83" s="572"/>
      <c r="F83" s="425"/>
      <c r="G83" s="572"/>
      <c r="H83" s="425"/>
      <c r="I83" s="572"/>
      <c r="J83" s="572"/>
      <c r="K83" s="572"/>
      <c r="L83" s="572"/>
      <c r="M83" s="572"/>
      <c r="N83" s="425"/>
      <c r="O83" s="425"/>
      <c r="P83" s="572"/>
      <c r="Q83" s="425"/>
      <c r="R83" s="425"/>
      <c r="S83" s="572"/>
      <c r="T83" s="425"/>
      <c r="U83" s="425"/>
      <c r="V83" s="572"/>
      <c r="W83" s="425"/>
      <c r="X83" s="425"/>
      <c r="Y83" s="572"/>
      <c r="Z83" s="425"/>
      <c r="AA83" s="425"/>
      <c r="AB83" s="725"/>
      <c r="AC83" s="567"/>
      <c r="AD83" s="573"/>
      <c r="AE83" s="567"/>
      <c r="AF83" s="403">
        <f>AF80-AF90</f>
        <v>31626.772729999968</v>
      </c>
      <c r="AG83" s="403">
        <f t="shared" ref="AG83" si="84">AG80-AG90</f>
        <v>24029.332140999992</v>
      </c>
      <c r="AH83" s="403">
        <f t="shared" ref="AH83:AL83" si="85">AH80-AH90</f>
        <v>31626.772729999968</v>
      </c>
      <c r="AI83" s="403">
        <f t="shared" si="85"/>
        <v>31338.363769999996</v>
      </c>
      <c r="AJ83" s="403">
        <f t="shared" si="85"/>
        <v>30748.248730000007</v>
      </c>
      <c r="AK83" s="403">
        <f t="shared" si="85"/>
        <v>30480.38857000001</v>
      </c>
      <c r="AL83" s="403">
        <f t="shared" si="85"/>
        <v>29121.829369999992</v>
      </c>
      <c r="AM83" s="492"/>
      <c r="AN83" s="290"/>
      <c r="AO83" s="290"/>
      <c r="AP83" s="290"/>
      <c r="AQ83" s="290"/>
      <c r="AR83" s="290"/>
      <c r="AS83" s="290"/>
      <c r="AT83" s="290"/>
      <c r="AU83" s="290"/>
      <c r="AV83" s="290"/>
      <c r="AW83" s="290"/>
      <c r="AX83" s="290"/>
      <c r="AY83" s="290"/>
      <c r="AZ83" s="290"/>
      <c r="BA83" s="290"/>
      <c r="BB83" s="290"/>
    </row>
    <row r="84" spans="1:54" ht="26.25" customHeight="1">
      <c r="A84" s="300"/>
      <c r="B84" s="809" t="s">
        <v>552</v>
      </c>
      <c r="C84" s="407" t="s">
        <v>553</v>
      </c>
      <c r="D84" s="809"/>
      <c r="E84" s="572"/>
      <c r="F84" s="425"/>
      <c r="G84" s="572"/>
      <c r="H84" s="425"/>
      <c r="I84" s="572"/>
      <c r="J84" s="572"/>
      <c r="K84" s="572"/>
      <c r="L84" s="572"/>
      <c r="M84" s="572"/>
      <c r="N84" s="425"/>
      <c r="O84" s="425"/>
      <c r="P84" s="572"/>
      <c r="Q84" s="425"/>
      <c r="R84" s="425"/>
      <c r="S84" s="572"/>
      <c r="T84" s="425"/>
      <c r="U84" s="425"/>
      <c r="V84" s="572"/>
      <c r="W84" s="425"/>
      <c r="X84" s="425"/>
      <c r="Y84" s="572"/>
      <c r="Z84" s="425"/>
      <c r="AA84" s="425"/>
      <c r="AB84" s="712">
        <f>'附件4-1套内1'!M317</f>
        <v>6.5000000000000002E-2</v>
      </c>
      <c r="AC84" s="567"/>
      <c r="AD84" s="573"/>
      <c r="AE84" s="567"/>
      <c r="AF84" s="403">
        <f>AF83*$AB84</f>
        <v>2055.7402274499982</v>
      </c>
      <c r="AG84" s="403">
        <f t="shared" ref="AG84" si="86">AG83*$AB84</f>
        <v>1561.9065891649996</v>
      </c>
      <c r="AH84" s="403">
        <f>AH83*$AB84</f>
        <v>2055.7402274499982</v>
      </c>
      <c r="AI84" s="403">
        <f>AI83*$AB84</f>
        <v>2036.9936450499999</v>
      </c>
      <c r="AJ84" s="403">
        <f>AJ83*$AB84</f>
        <v>1998.6361674500006</v>
      </c>
      <c r="AK84" s="403">
        <f>AK83*$AB84</f>
        <v>1981.2252570500007</v>
      </c>
      <c r="AL84" s="403">
        <f>AL83*$AB84</f>
        <v>1892.9189090499995</v>
      </c>
      <c r="AM84" s="407"/>
      <c r="AN84" s="290"/>
      <c r="AO84" s="290"/>
      <c r="AP84" s="290"/>
      <c r="AQ84" s="290"/>
      <c r="AR84" s="290"/>
      <c r="AS84" s="290"/>
      <c r="AT84" s="290"/>
      <c r="AU84" s="290"/>
      <c r="AV84" s="290"/>
      <c r="AW84" s="290"/>
      <c r="AX84" s="290"/>
      <c r="AY84" s="290"/>
      <c r="AZ84" s="290"/>
      <c r="BA84" s="290"/>
      <c r="BB84" s="290"/>
    </row>
    <row r="85" spans="1:54" ht="26.25" customHeight="1">
      <c r="A85" s="300"/>
      <c r="B85" s="809" t="s">
        <v>554</v>
      </c>
      <c r="C85" s="407" t="s">
        <v>555</v>
      </c>
      <c r="D85" s="809"/>
      <c r="E85" s="572"/>
      <c r="F85" s="425"/>
      <c r="G85" s="572"/>
      <c r="H85" s="425"/>
      <c r="I85" s="572"/>
      <c r="J85" s="572"/>
      <c r="K85" s="572"/>
      <c r="L85" s="572"/>
      <c r="M85" s="572"/>
      <c r="N85" s="425"/>
      <c r="O85" s="425"/>
      <c r="P85" s="572"/>
      <c r="Q85" s="425"/>
      <c r="R85" s="425"/>
      <c r="S85" s="572"/>
      <c r="T85" s="425"/>
      <c r="U85" s="425"/>
      <c r="V85" s="572"/>
      <c r="W85" s="425"/>
      <c r="X85" s="425"/>
      <c r="Y85" s="572"/>
      <c r="Z85" s="425"/>
      <c r="AA85" s="425"/>
      <c r="AB85" s="712">
        <f>'附件4-1套内1'!M318</f>
        <v>0.1</v>
      </c>
      <c r="AC85" s="567"/>
      <c r="AD85" s="573"/>
      <c r="AE85" s="567"/>
      <c r="AF85" s="403">
        <f>AF83*$AB85</f>
        <v>3162.6772729999971</v>
      </c>
      <c r="AG85" s="403">
        <f t="shared" ref="AG85" si="87">AG83*$AB85</f>
        <v>2402.9332140999991</v>
      </c>
      <c r="AH85" s="403">
        <f>AH83*$AB85</f>
        <v>3162.6772729999971</v>
      </c>
      <c r="AI85" s="403">
        <f>AI83*$AB85</f>
        <v>3133.8363769999996</v>
      </c>
      <c r="AJ85" s="403">
        <f>AJ83*$AB85</f>
        <v>3074.8248730000009</v>
      </c>
      <c r="AK85" s="403">
        <f>AK83*$AB85</f>
        <v>3048.0388570000014</v>
      </c>
      <c r="AL85" s="403">
        <f>AL83*$AB85</f>
        <v>2912.1829369999996</v>
      </c>
      <c r="AM85" s="407"/>
      <c r="AN85" s="290"/>
      <c r="AO85" s="290"/>
      <c r="AP85" s="290"/>
      <c r="AQ85" s="290"/>
      <c r="AR85" s="290"/>
      <c r="AS85" s="290"/>
      <c r="AT85" s="290"/>
      <c r="AU85" s="290"/>
      <c r="AV85" s="290"/>
      <c r="AW85" s="290"/>
      <c r="AX85" s="290"/>
      <c r="AY85" s="290"/>
      <c r="AZ85" s="290"/>
      <c r="BA85" s="290"/>
      <c r="BB85" s="290"/>
    </row>
    <row r="86" spans="1:54" ht="26.25" customHeight="1">
      <c r="A86" s="300"/>
      <c r="B86" s="809" t="s">
        <v>556</v>
      </c>
      <c r="C86" s="407" t="s">
        <v>1854</v>
      </c>
      <c r="D86" s="809"/>
      <c r="E86" s="572"/>
      <c r="F86" s="425"/>
      <c r="G86" s="572"/>
      <c r="H86" s="425"/>
      <c r="I86" s="572"/>
      <c r="J86" s="572"/>
      <c r="K86" s="572"/>
      <c r="L86" s="572"/>
      <c r="M86" s="572"/>
      <c r="N86" s="425"/>
      <c r="O86" s="425"/>
      <c r="P86" s="572"/>
      <c r="Q86" s="425"/>
      <c r="R86" s="425"/>
      <c r="S86" s="572"/>
      <c r="T86" s="425"/>
      <c r="U86" s="425"/>
      <c r="V86" s="572"/>
      <c r="W86" s="425"/>
      <c r="X86" s="425"/>
      <c r="Y86" s="572"/>
      <c r="Z86" s="425"/>
      <c r="AA86" s="425"/>
      <c r="AB86" s="712">
        <f>'附件4-1套内1'!M319</f>
        <v>0</v>
      </c>
      <c r="AC86" s="567"/>
      <c r="AD86" s="573"/>
      <c r="AE86" s="567"/>
      <c r="AF86" s="403">
        <f>AF83*$AB86</f>
        <v>0</v>
      </c>
      <c r="AG86" s="403">
        <f t="shared" ref="AG86" si="88">AG83*$AB86</f>
        <v>0</v>
      </c>
      <c r="AH86" s="403">
        <f>AH83*$AB86</f>
        <v>0</v>
      </c>
      <c r="AI86" s="403">
        <f>AI83*$AB86</f>
        <v>0</v>
      </c>
      <c r="AJ86" s="403">
        <f>AJ83*$AB86</f>
        <v>0</v>
      </c>
      <c r="AK86" s="403">
        <f>AK83*$AB86</f>
        <v>0</v>
      </c>
      <c r="AL86" s="403">
        <f>AL83*$AB86</f>
        <v>0</v>
      </c>
      <c r="AM86" s="407"/>
      <c r="AN86" s="290"/>
      <c r="AO86" s="290"/>
      <c r="AP86" s="290"/>
      <c r="AQ86" s="290"/>
      <c r="AR86" s="290"/>
      <c r="AS86" s="290"/>
      <c r="AT86" s="290"/>
      <c r="AU86" s="290"/>
      <c r="AV86" s="290"/>
      <c r="AW86" s="290"/>
      <c r="AX86" s="290"/>
      <c r="AY86" s="290"/>
      <c r="AZ86" s="290"/>
      <c r="BA86" s="290"/>
      <c r="BB86" s="290"/>
    </row>
    <row r="87" spans="1:54" ht="26.25" customHeight="1">
      <c r="A87" s="300"/>
      <c r="B87" s="809" t="s">
        <v>558</v>
      </c>
      <c r="C87" s="407" t="s">
        <v>559</v>
      </c>
      <c r="D87" s="809"/>
      <c r="E87" s="572"/>
      <c r="F87" s="425"/>
      <c r="G87" s="572"/>
      <c r="H87" s="425"/>
      <c r="I87" s="572"/>
      <c r="J87" s="572"/>
      <c r="K87" s="572"/>
      <c r="L87" s="572"/>
      <c r="M87" s="572"/>
      <c r="N87" s="425"/>
      <c r="O87" s="425"/>
      <c r="P87" s="572"/>
      <c r="Q87" s="425"/>
      <c r="R87" s="425"/>
      <c r="S87" s="572"/>
      <c r="T87" s="425"/>
      <c r="U87" s="425"/>
      <c r="V87" s="572"/>
      <c r="W87" s="425"/>
      <c r="X87" s="425"/>
      <c r="Y87" s="572"/>
      <c r="Z87" s="425"/>
      <c r="AA87" s="425"/>
      <c r="AB87" s="434">
        <f>'附件4-1套内1'!M320</f>
        <v>3.4770000000000002E-2</v>
      </c>
      <c r="AC87" s="567"/>
      <c r="AD87" s="573"/>
      <c r="AE87" s="567"/>
      <c r="AF87" s="403">
        <f>SUM(AF83:AF86)*$AB87</f>
        <v>1281.1072643127452</v>
      </c>
      <c r="AG87" s="403">
        <f t="shared" ref="AG87" si="89">SUM(AG83:AG86)*$AB87</f>
        <v>973.35735850209369</v>
      </c>
      <c r="AH87" s="403">
        <f>SUM(AH83:AH86)*$AB87</f>
        <v>1281.1072643127452</v>
      </c>
      <c r="AI87" s="403">
        <f>SUM(AI83:AI86)*$AB87</f>
        <v>1269.4246681495786</v>
      </c>
      <c r="AJ87" s="403">
        <f>SUM(AJ83:AJ86)*$AB87</f>
        <v>1245.5208487185469</v>
      </c>
      <c r="AK87" s="403">
        <f>SUM(AK83:AK86)*$AB87</f>
        <v>1234.6706238244192</v>
      </c>
      <c r="AL87" s="403">
        <f>SUM(AL83:AL86)*$AB87</f>
        <v>1179.6393983820583</v>
      </c>
      <c r="AM87" s="407"/>
      <c r="AN87" s="290"/>
      <c r="AO87" s="290"/>
      <c r="AP87" s="290"/>
      <c r="AQ87" s="290"/>
      <c r="AR87" s="290"/>
      <c r="AS87" s="290"/>
      <c r="AT87" s="290"/>
      <c r="AU87" s="290"/>
      <c r="AV87" s="290"/>
      <c r="AW87" s="290"/>
      <c r="AX87" s="290"/>
      <c r="AY87" s="290"/>
      <c r="AZ87" s="290"/>
      <c r="BA87" s="290"/>
      <c r="BB87" s="290"/>
    </row>
    <row r="88" spans="1:54" ht="26.25" customHeight="1">
      <c r="A88" s="300"/>
      <c r="B88" s="809" t="s">
        <v>560</v>
      </c>
      <c r="C88" s="407" t="s">
        <v>561</v>
      </c>
      <c r="D88" s="809"/>
      <c r="E88" s="572"/>
      <c r="F88" s="425"/>
      <c r="G88" s="572"/>
      <c r="H88" s="425"/>
      <c r="I88" s="572"/>
      <c r="J88" s="572"/>
      <c r="K88" s="572"/>
      <c r="L88" s="572"/>
      <c r="M88" s="572"/>
      <c r="N88" s="425"/>
      <c r="O88" s="425"/>
      <c r="P88" s="572"/>
      <c r="Q88" s="425"/>
      <c r="R88" s="425"/>
      <c r="S88" s="572"/>
      <c r="T88" s="425"/>
      <c r="U88" s="425"/>
      <c r="V88" s="572"/>
      <c r="W88" s="425"/>
      <c r="X88" s="425"/>
      <c r="Y88" s="572"/>
      <c r="Z88" s="425"/>
      <c r="AA88" s="425"/>
      <c r="AB88" s="712"/>
      <c r="AC88" s="567"/>
      <c r="AD88" s="573"/>
      <c r="AE88" s="567"/>
      <c r="AF88" s="403">
        <f>SUM(AF83:AF87)</f>
        <v>38126.297494762708</v>
      </c>
      <c r="AG88" s="403">
        <f t="shared" ref="AG88" si="90">SUM(AG83:AG87)</f>
        <v>28967.529302767081</v>
      </c>
      <c r="AH88" s="403">
        <f t="shared" ref="AH88:AL88" si="91">SUM(AH83:AH87)</f>
        <v>38126.297494762708</v>
      </c>
      <c r="AI88" s="403">
        <f t="shared" si="91"/>
        <v>37778.618460199577</v>
      </c>
      <c r="AJ88" s="403">
        <f t="shared" si="91"/>
        <v>37067.230619168549</v>
      </c>
      <c r="AK88" s="403">
        <f t="shared" si="91"/>
        <v>36744.323307874438</v>
      </c>
      <c r="AL88" s="403">
        <f t="shared" si="91"/>
        <v>35106.57061443205</v>
      </c>
      <c r="AM88" s="407"/>
      <c r="AN88" s="290"/>
      <c r="AO88" s="290"/>
      <c r="AP88" s="290"/>
      <c r="AQ88" s="290"/>
      <c r="AR88" s="290"/>
      <c r="AS88" s="290"/>
      <c r="AT88" s="290"/>
      <c r="AU88" s="290"/>
      <c r="AV88" s="290"/>
      <c r="AW88" s="290"/>
      <c r="AX88" s="290"/>
      <c r="AY88" s="290"/>
      <c r="AZ88" s="290"/>
      <c r="BA88" s="290"/>
      <c r="BB88" s="290"/>
    </row>
    <row r="89" spans="1:54" s="818" customFormat="1" ht="33.75">
      <c r="A89" s="438"/>
      <c r="B89" s="635" t="s">
        <v>246</v>
      </c>
      <c r="C89" s="636" t="s">
        <v>562</v>
      </c>
      <c r="D89" s="635"/>
      <c r="E89" s="728"/>
      <c r="F89" s="802"/>
      <c r="G89" s="728"/>
      <c r="H89" s="802"/>
      <c r="I89" s="728"/>
      <c r="J89" s="728"/>
      <c r="K89" s="728"/>
      <c r="L89" s="728"/>
      <c r="M89" s="728"/>
      <c r="N89" s="802"/>
      <c r="O89" s="802"/>
      <c r="P89" s="728"/>
      <c r="Q89" s="802"/>
      <c r="R89" s="802"/>
      <c r="S89" s="728"/>
      <c r="T89" s="802"/>
      <c r="U89" s="802"/>
      <c r="V89" s="728"/>
      <c r="W89" s="802"/>
      <c r="X89" s="802"/>
      <c r="Y89" s="728"/>
      <c r="Z89" s="802"/>
      <c r="AA89" s="802"/>
      <c r="AB89" s="729"/>
      <c r="AC89" s="648"/>
      <c r="AD89" s="733"/>
      <c r="AE89" s="648"/>
      <c r="AF89" s="643"/>
      <c r="AG89" s="643"/>
      <c r="AH89" s="643"/>
      <c r="AI89" s="643"/>
      <c r="AJ89" s="643"/>
      <c r="AK89" s="643"/>
      <c r="AL89" s="643"/>
      <c r="AM89" s="636"/>
      <c r="AN89" s="474"/>
      <c r="AO89" s="474"/>
      <c r="AP89" s="474"/>
      <c r="AQ89" s="474"/>
      <c r="AR89" s="474"/>
      <c r="AS89" s="474"/>
      <c r="AT89" s="474"/>
      <c r="AU89" s="474"/>
      <c r="AV89" s="474"/>
      <c r="AW89" s="474"/>
      <c r="AX89" s="474"/>
      <c r="AY89" s="474"/>
      <c r="AZ89" s="474"/>
      <c r="BA89" s="474"/>
      <c r="BB89" s="474"/>
    </row>
    <row r="90" spans="1:54" ht="20.25" customHeight="1">
      <c r="A90" s="300"/>
      <c r="B90" s="809" t="s">
        <v>563</v>
      </c>
      <c r="C90" s="407" t="s">
        <v>551</v>
      </c>
      <c r="D90" s="809"/>
      <c r="E90" s="572"/>
      <c r="F90" s="425"/>
      <c r="G90" s="572"/>
      <c r="H90" s="425"/>
      <c r="I90" s="572"/>
      <c r="J90" s="572"/>
      <c r="K90" s="572"/>
      <c r="L90" s="572"/>
      <c r="M90" s="572"/>
      <c r="N90" s="425"/>
      <c r="O90" s="425"/>
      <c r="P90" s="572"/>
      <c r="Q90" s="425"/>
      <c r="R90" s="425"/>
      <c r="S90" s="572"/>
      <c r="T90" s="425"/>
      <c r="U90" s="425"/>
      <c r="V90" s="572"/>
      <c r="W90" s="425"/>
      <c r="X90" s="425"/>
      <c r="Y90" s="572"/>
      <c r="Z90" s="425"/>
      <c r="AA90" s="425"/>
      <c r="AB90" s="712"/>
      <c r="AC90" s="567"/>
      <c r="AD90" s="573"/>
      <c r="AE90" s="567"/>
      <c r="AF90" s="403">
        <f>AN80</f>
        <v>102100.60635785651</v>
      </c>
      <c r="AG90" s="403">
        <f t="shared" ref="AG90" si="92">AO80</f>
        <v>89678.295467776014</v>
      </c>
      <c r="AH90" s="403">
        <f>AP80</f>
        <v>111916.48241579402</v>
      </c>
      <c r="AI90" s="403">
        <f>AQ80</f>
        <v>98096.958287778485</v>
      </c>
      <c r="AJ90" s="403">
        <f>AR80</f>
        <v>91502.127140237499</v>
      </c>
      <c r="AK90" s="403">
        <f>AS80</f>
        <v>86852.648157596006</v>
      </c>
      <c r="AL90" s="403">
        <f>AT80</f>
        <v>74680.399420283502</v>
      </c>
      <c r="AM90" s="407"/>
      <c r="AN90" s="290"/>
      <c r="AO90" s="290"/>
      <c r="AP90" s="290"/>
      <c r="AQ90" s="290"/>
      <c r="AR90" s="290"/>
      <c r="AS90" s="290"/>
      <c r="AT90" s="290"/>
      <c r="AU90" s="290"/>
      <c r="AV90" s="290"/>
      <c r="AW90" s="290"/>
      <c r="AX90" s="290"/>
      <c r="AY90" s="290"/>
      <c r="AZ90" s="290"/>
      <c r="BA90" s="290"/>
      <c r="BB90" s="290"/>
    </row>
    <row r="91" spans="1:54" ht="22.5">
      <c r="A91" s="300"/>
      <c r="B91" s="809" t="s">
        <v>210</v>
      </c>
      <c r="C91" s="407" t="s">
        <v>565</v>
      </c>
      <c r="D91" s="809"/>
      <c r="E91" s="572"/>
      <c r="F91" s="425"/>
      <c r="G91" s="572"/>
      <c r="H91" s="425"/>
      <c r="I91" s="572"/>
      <c r="J91" s="572"/>
      <c r="K91" s="572"/>
      <c r="L91" s="572"/>
      <c r="M91" s="572"/>
      <c r="N91" s="425"/>
      <c r="O91" s="425"/>
      <c r="P91" s="572"/>
      <c r="Q91" s="425"/>
      <c r="R91" s="425"/>
      <c r="S91" s="572"/>
      <c r="T91" s="425"/>
      <c r="U91" s="425"/>
      <c r="V91" s="572"/>
      <c r="W91" s="425"/>
      <c r="X91" s="425"/>
      <c r="Y91" s="572"/>
      <c r="Z91" s="425"/>
      <c r="AA91" s="425"/>
      <c r="AB91" s="712"/>
      <c r="AC91" s="567"/>
      <c r="AD91" s="573"/>
      <c r="AE91" s="567"/>
      <c r="AF91" s="403">
        <f>AV80</f>
        <v>59955.316332656497</v>
      </c>
      <c r="AG91" s="403">
        <f t="shared" ref="AG91" si="93">AW80</f>
        <v>52618.33844937601</v>
      </c>
      <c r="AH91" s="403">
        <f>AX80</f>
        <v>65806.639036594002</v>
      </c>
      <c r="AI91" s="403">
        <f>AY80</f>
        <v>57606.966409778499</v>
      </c>
      <c r="AJ91" s="403">
        <f>AZ80</f>
        <v>53670.5552481575</v>
      </c>
      <c r="AK91" s="403">
        <f>BA80</f>
        <v>50862.360828956007</v>
      </c>
      <c r="AL91" s="403">
        <f>BB80</f>
        <v>43646.949245963493</v>
      </c>
      <c r="AM91" s="407"/>
      <c r="AN91" s="290"/>
      <c r="AO91" s="290"/>
      <c r="AP91" s="290"/>
      <c r="AQ91" s="290"/>
      <c r="AR91" s="290"/>
      <c r="AS91" s="290"/>
      <c r="AT91" s="290"/>
      <c r="AU91" s="290"/>
      <c r="AV91" s="290"/>
      <c r="AW91" s="290"/>
      <c r="AX91" s="290"/>
      <c r="AY91" s="290"/>
      <c r="AZ91" s="290"/>
      <c r="BA91" s="290"/>
      <c r="BB91" s="290"/>
    </row>
    <row r="92" spans="1:54" ht="26.25" customHeight="1">
      <c r="A92" s="300"/>
      <c r="B92" s="809" t="s">
        <v>566</v>
      </c>
      <c r="C92" s="407" t="s">
        <v>567</v>
      </c>
      <c r="D92" s="809"/>
      <c r="E92" s="572"/>
      <c r="F92" s="425"/>
      <c r="G92" s="572"/>
      <c r="H92" s="425"/>
      <c r="I92" s="572"/>
      <c r="J92" s="572"/>
      <c r="K92" s="572"/>
      <c r="L92" s="572"/>
      <c r="M92" s="572"/>
      <c r="N92" s="425"/>
      <c r="O92" s="425"/>
      <c r="P92" s="572"/>
      <c r="Q92" s="425"/>
      <c r="R92" s="425"/>
      <c r="S92" s="572"/>
      <c r="T92" s="425"/>
      <c r="U92" s="425"/>
      <c r="V92" s="572"/>
      <c r="W92" s="425"/>
      <c r="X92" s="425"/>
      <c r="Y92" s="572"/>
      <c r="Z92" s="425"/>
      <c r="AA92" s="425"/>
      <c r="AB92" s="712">
        <f>'附件4-1套内1'!M325</f>
        <v>0.1</v>
      </c>
      <c r="AC92" s="567"/>
      <c r="AD92" s="573"/>
      <c r="AE92" s="567"/>
      <c r="AF92" s="403">
        <f>(AF90-AF91)*$AB92</f>
        <v>4214.5290025200011</v>
      </c>
      <c r="AG92" s="403">
        <f t="shared" ref="AG92" si="94">(AG90-AG91)*$AB92</f>
        <v>3705.9957018400005</v>
      </c>
      <c r="AH92" s="403">
        <f>(AH90-AH91)*$AB92</f>
        <v>4610.984337920002</v>
      </c>
      <c r="AI92" s="403">
        <f>(AI90-AI91)*$AB92</f>
        <v>4048.9991877999987</v>
      </c>
      <c r="AJ92" s="403">
        <f>(AJ90-AJ91)*$AB92</f>
        <v>3783.1571892080001</v>
      </c>
      <c r="AK92" s="403">
        <f>(AK90-AK91)*$AB92</f>
        <v>3599.0287328640002</v>
      </c>
      <c r="AL92" s="403">
        <f>(AL90-AL91)*$AB92</f>
        <v>3103.345017432001</v>
      </c>
      <c r="AM92" s="407"/>
      <c r="AN92" s="290"/>
      <c r="AO92" s="290"/>
      <c r="AP92" s="290"/>
      <c r="AQ92" s="290"/>
      <c r="AR92" s="290"/>
      <c r="AS92" s="290"/>
      <c r="AT92" s="290"/>
      <c r="AU92" s="290"/>
      <c r="AV92" s="290"/>
      <c r="AW92" s="290"/>
      <c r="AX92" s="290"/>
      <c r="AY92" s="290"/>
      <c r="AZ92" s="290"/>
      <c r="BA92" s="290"/>
      <c r="BB92" s="290"/>
    </row>
    <row r="93" spans="1:54" ht="26.25" customHeight="1">
      <c r="A93" s="300"/>
      <c r="B93" s="809" t="s">
        <v>568</v>
      </c>
      <c r="C93" s="407" t="s">
        <v>569</v>
      </c>
      <c r="D93" s="809"/>
      <c r="E93" s="572"/>
      <c r="F93" s="425"/>
      <c r="G93" s="572"/>
      <c r="H93" s="425"/>
      <c r="I93" s="572"/>
      <c r="J93" s="572"/>
      <c r="K93" s="572"/>
      <c r="L93" s="572"/>
      <c r="M93" s="572"/>
      <c r="N93" s="425"/>
      <c r="O93" s="425"/>
      <c r="P93" s="572"/>
      <c r="Q93" s="425"/>
      <c r="R93" s="425"/>
      <c r="S93" s="572"/>
      <c r="T93" s="425"/>
      <c r="U93" s="425"/>
      <c r="V93" s="572"/>
      <c r="W93" s="425"/>
      <c r="X93" s="425"/>
      <c r="Y93" s="572"/>
      <c r="Z93" s="425"/>
      <c r="AA93" s="425"/>
      <c r="AB93" s="712">
        <f>'附件4-1套内1'!M326</f>
        <v>0.1</v>
      </c>
      <c r="AC93" s="567"/>
      <c r="AD93" s="573"/>
      <c r="AE93" s="567"/>
      <c r="AF93" s="403">
        <f>AF91*$AB93</f>
        <v>5995.5316332656503</v>
      </c>
      <c r="AG93" s="403">
        <f t="shared" ref="AG93" si="95">AG91*$AB93</f>
        <v>5261.8338449376015</v>
      </c>
      <c r="AH93" s="403">
        <f>AH91*$AB93</f>
        <v>6580.6639036594006</v>
      </c>
      <c r="AI93" s="403">
        <f>AI91*$AB93</f>
        <v>5760.6966409778506</v>
      </c>
      <c r="AJ93" s="403">
        <f>AJ91*$AB93</f>
        <v>5367.0555248157507</v>
      </c>
      <c r="AK93" s="403">
        <f>AK91*$AB93</f>
        <v>5086.2360828956007</v>
      </c>
      <c r="AL93" s="403">
        <f>AL91*$AB93</f>
        <v>4364.6949245963497</v>
      </c>
      <c r="AM93" s="407"/>
      <c r="AN93" s="290"/>
      <c r="AO93" s="290"/>
      <c r="AP93" s="290"/>
      <c r="AQ93" s="290"/>
      <c r="AR93" s="290"/>
      <c r="AS93" s="290"/>
      <c r="AT93" s="290"/>
      <c r="AU93" s="290"/>
      <c r="AV93" s="290"/>
      <c r="AW93" s="290"/>
      <c r="AX93" s="290"/>
      <c r="AY93" s="290"/>
      <c r="AZ93" s="290"/>
      <c r="BA93" s="290"/>
      <c r="BB93" s="290"/>
    </row>
    <row r="94" spans="1:54" ht="26.25" customHeight="1">
      <c r="A94" s="300"/>
      <c r="B94" s="809" t="s">
        <v>570</v>
      </c>
      <c r="C94" s="407" t="s">
        <v>571</v>
      </c>
      <c r="D94" s="809"/>
      <c r="E94" s="572"/>
      <c r="F94" s="425"/>
      <c r="G94" s="572"/>
      <c r="H94" s="425"/>
      <c r="I94" s="572"/>
      <c r="J94" s="572"/>
      <c r="K94" s="572"/>
      <c r="L94" s="572"/>
      <c r="M94" s="572"/>
      <c r="N94" s="425"/>
      <c r="O94" s="425"/>
      <c r="P94" s="572"/>
      <c r="Q94" s="425"/>
      <c r="R94" s="425"/>
      <c r="S94" s="572"/>
      <c r="T94" s="425"/>
      <c r="U94" s="425"/>
      <c r="V94" s="572"/>
      <c r="W94" s="425"/>
      <c r="X94" s="425"/>
      <c r="Y94" s="572"/>
      <c r="Z94" s="425"/>
      <c r="AA94" s="425"/>
      <c r="AB94" s="712">
        <f>'附件4-1套内1'!M327</f>
        <v>0.1</v>
      </c>
      <c r="AC94" s="567"/>
      <c r="AD94" s="573"/>
      <c r="AE94" s="567"/>
      <c r="AF94" s="403">
        <f>(AF90-AF91)*$AB94</f>
        <v>4214.5290025200011</v>
      </c>
      <c r="AG94" s="403">
        <f t="shared" ref="AG94" si="96">(AG90-AG91)*$AB94</f>
        <v>3705.9957018400005</v>
      </c>
      <c r="AH94" s="403">
        <f>(AH90-AH91)*$AB94</f>
        <v>4610.984337920002</v>
      </c>
      <c r="AI94" s="403">
        <f>(AI90-AI91)*$AB94</f>
        <v>4048.9991877999987</v>
      </c>
      <c r="AJ94" s="403">
        <f>(AJ90-AJ91)*$AB94</f>
        <v>3783.1571892080001</v>
      </c>
      <c r="AK94" s="403">
        <f>(AK90-AK91)*$AB94</f>
        <v>3599.0287328640002</v>
      </c>
      <c r="AL94" s="403">
        <f>(AL90-AL91)*$AB94</f>
        <v>3103.345017432001</v>
      </c>
      <c r="AM94" s="407"/>
      <c r="AN94" s="290"/>
      <c r="AO94" s="290"/>
      <c r="AP94" s="290"/>
      <c r="AQ94" s="290"/>
      <c r="AR94" s="290"/>
      <c r="AS94" s="290"/>
      <c r="AT94" s="290"/>
      <c r="AU94" s="290"/>
      <c r="AV94" s="290"/>
      <c r="AW94" s="290"/>
      <c r="AX94" s="290"/>
      <c r="AY94" s="290"/>
      <c r="AZ94" s="290"/>
      <c r="BA94" s="290"/>
      <c r="BB94" s="290"/>
    </row>
    <row r="95" spans="1:54" ht="26.25" customHeight="1">
      <c r="A95" s="300"/>
      <c r="B95" s="809" t="s">
        <v>573</v>
      </c>
      <c r="C95" s="407" t="s">
        <v>1855</v>
      </c>
      <c r="D95" s="809"/>
      <c r="E95" s="572"/>
      <c r="F95" s="425"/>
      <c r="G95" s="572"/>
      <c r="H95" s="425"/>
      <c r="I95" s="572"/>
      <c r="J95" s="572"/>
      <c r="K95" s="572"/>
      <c r="L95" s="572"/>
      <c r="M95" s="572"/>
      <c r="N95" s="425"/>
      <c r="O95" s="425"/>
      <c r="P95" s="572"/>
      <c r="Q95" s="425"/>
      <c r="R95" s="425"/>
      <c r="S95" s="572"/>
      <c r="T95" s="425"/>
      <c r="U95" s="425"/>
      <c r="V95" s="572"/>
      <c r="W95" s="425"/>
      <c r="X95" s="425"/>
      <c r="Y95" s="572"/>
      <c r="Z95" s="425"/>
      <c r="AA95" s="425"/>
      <c r="AB95" s="712">
        <f>AB86</f>
        <v>0</v>
      </c>
      <c r="AC95" s="567"/>
      <c r="AD95" s="573"/>
      <c r="AE95" s="567"/>
      <c r="AF95" s="403">
        <f>AF90*$AB95</f>
        <v>0</v>
      </c>
      <c r="AG95" s="403">
        <f t="shared" ref="AG95" si="97">AG90*$AB95</f>
        <v>0</v>
      </c>
      <c r="AH95" s="403">
        <f>AH90*$AB95</f>
        <v>0</v>
      </c>
      <c r="AI95" s="403">
        <f>AI90*$AB95</f>
        <v>0</v>
      </c>
      <c r="AJ95" s="403">
        <f>AJ90*$AB95</f>
        <v>0</v>
      </c>
      <c r="AK95" s="403">
        <f>AK90*$AB95</f>
        <v>0</v>
      </c>
      <c r="AL95" s="403">
        <f>AL90*$AB95</f>
        <v>0</v>
      </c>
      <c r="AM95" s="407"/>
      <c r="AN95" s="290"/>
      <c r="AO95" s="290"/>
      <c r="AP95" s="290"/>
      <c r="AQ95" s="290"/>
      <c r="AR95" s="290"/>
      <c r="AS95" s="290"/>
      <c r="AT95" s="290"/>
      <c r="AU95" s="290"/>
      <c r="AV95" s="290"/>
      <c r="AW95" s="290"/>
      <c r="AX95" s="290"/>
      <c r="AY95" s="290"/>
      <c r="AZ95" s="290"/>
      <c r="BA95" s="290"/>
      <c r="BB95" s="290"/>
    </row>
    <row r="96" spans="1:54" ht="26.25" customHeight="1">
      <c r="A96" s="300"/>
      <c r="B96" s="809" t="s">
        <v>575</v>
      </c>
      <c r="C96" s="407" t="s">
        <v>576</v>
      </c>
      <c r="D96" s="809"/>
      <c r="E96" s="572"/>
      <c r="F96" s="425"/>
      <c r="G96" s="572"/>
      <c r="H96" s="425"/>
      <c r="I96" s="572"/>
      <c r="J96" s="572"/>
      <c r="K96" s="572"/>
      <c r="L96" s="572"/>
      <c r="M96" s="572"/>
      <c r="N96" s="425"/>
      <c r="O96" s="425"/>
      <c r="P96" s="572"/>
      <c r="Q96" s="425"/>
      <c r="R96" s="425"/>
      <c r="S96" s="572"/>
      <c r="T96" s="425"/>
      <c r="U96" s="425"/>
      <c r="V96" s="572"/>
      <c r="W96" s="425"/>
      <c r="X96" s="425"/>
      <c r="Y96" s="572"/>
      <c r="Z96" s="425"/>
      <c r="AA96" s="425"/>
      <c r="AB96" s="434">
        <f>AB87</f>
        <v>3.4770000000000002E-2</v>
      </c>
      <c r="AC96" s="567"/>
      <c r="AD96" s="573"/>
      <c r="AE96" s="567"/>
      <c r="AF96" s="403">
        <f>(SUM(AF90:AF95)-AF91)*$AB96</f>
        <v>4051.5810647865583</v>
      </c>
      <c r="AG96" s="403">
        <f t="shared" ref="AG96" si="98">(SUM(AG90:AG95)-AG91)*$AB96</f>
        <v>3558.7832373090055</v>
      </c>
      <c r="AH96" s="403">
        <f>(SUM(AH90:AH95)-AH91)*$AB96</f>
        <v>4440.7936283863528</v>
      </c>
      <c r="AI96" s="403">
        <f>(SUM(AI90:AI95)-AI91)*$AB96</f>
        <v>3892.6980653924693</v>
      </c>
      <c r="AJ96" s="403">
        <f>(SUM(AJ90:AJ95)-AJ91)*$AB96</f>
        <v>3631.2222322014263</v>
      </c>
      <c r="AK96" s="403">
        <f>(SUM(AK90:AK95)-AK91)*$AB96</f>
        <v>3446.9914631252568</v>
      </c>
      <c r="AL96" s="403">
        <f>(SUM(AL90:AL95)-AL91)*$AB96</f>
        <v>2964.2045428836941</v>
      </c>
      <c r="AM96" s="407"/>
      <c r="AN96" s="290"/>
      <c r="AO96" s="290"/>
      <c r="AP96" s="290"/>
      <c r="AQ96" s="290"/>
      <c r="AR96" s="290"/>
      <c r="AS96" s="290"/>
      <c r="AT96" s="290"/>
      <c r="AU96" s="290"/>
      <c r="AV96" s="290"/>
      <c r="AW96" s="290"/>
      <c r="AX96" s="290"/>
      <c r="AY96" s="290"/>
      <c r="AZ96" s="290"/>
      <c r="BA96" s="290"/>
      <c r="BB96" s="290"/>
    </row>
    <row r="97" spans="1:54" ht="26.25" customHeight="1">
      <c r="A97" s="300"/>
      <c r="B97" s="809" t="s">
        <v>577</v>
      </c>
      <c r="C97" s="407" t="s">
        <v>578</v>
      </c>
      <c r="D97" s="809"/>
      <c r="E97" s="572"/>
      <c r="F97" s="425"/>
      <c r="G97" s="572"/>
      <c r="H97" s="425"/>
      <c r="I97" s="572"/>
      <c r="J97" s="572"/>
      <c r="K97" s="572"/>
      <c r="L97" s="572"/>
      <c r="M97" s="572"/>
      <c r="N97" s="425"/>
      <c r="O97" s="425"/>
      <c r="P97" s="572"/>
      <c r="Q97" s="425"/>
      <c r="R97" s="425"/>
      <c r="S97" s="572"/>
      <c r="T97" s="425"/>
      <c r="U97" s="425"/>
      <c r="V97" s="572"/>
      <c r="W97" s="425"/>
      <c r="X97" s="425"/>
      <c r="Y97" s="572"/>
      <c r="Z97" s="425"/>
      <c r="AA97" s="425"/>
      <c r="AB97" s="725"/>
      <c r="AC97" s="567"/>
      <c r="AD97" s="573"/>
      <c r="AE97" s="567"/>
      <c r="AF97" s="403">
        <f>SUM(AF90:AF96)-AF91</f>
        <v>120576.77706094871</v>
      </c>
      <c r="AG97" s="403">
        <f t="shared" ref="AG97" si="99">SUM(AG90:AG96)-AG91</f>
        <v>105910.90395370258</v>
      </c>
      <c r="AH97" s="403">
        <f t="shared" ref="AH97:AL97" si="100">SUM(AH90:AH96)-AH91</f>
        <v>132159.90862367977</v>
      </c>
      <c r="AI97" s="403">
        <f t="shared" si="100"/>
        <v>115848.35136974878</v>
      </c>
      <c r="AJ97" s="403">
        <f t="shared" si="100"/>
        <v>108066.71927567068</v>
      </c>
      <c r="AK97" s="403">
        <f t="shared" si="100"/>
        <v>102583.93316934488</v>
      </c>
      <c r="AL97" s="403">
        <f t="shared" si="100"/>
        <v>88215.988922627541</v>
      </c>
      <c r="AM97" s="407"/>
      <c r="AN97" s="290"/>
      <c r="AO97" s="290"/>
      <c r="AP97" s="290"/>
      <c r="AQ97" s="290"/>
      <c r="AR97" s="290"/>
      <c r="AS97" s="290"/>
      <c r="AT97" s="290"/>
      <c r="AU97" s="290"/>
      <c r="AV97" s="290"/>
      <c r="AW97" s="290"/>
      <c r="AX97" s="290"/>
      <c r="AY97" s="290"/>
      <c r="AZ97" s="290"/>
      <c r="BA97" s="290"/>
      <c r="BB97" s="290"/>
    </row>
    <row r="98" spans="1:54" s="818" customFormat="1" ht="26.25" customHeight="1">
      <c r="A98" s="438"/>
      <c r="B98" s="806" t="s">
        <v>136</v>
      </c>
      <c r="C98" s="413" t="s">
        <v>807</v>
      </c>
      <c r="D98" s="806"/>
      <c r="E98" s="720"/>
      <c r="F98" s="801"/>
      <c r="G98" s="720"/>
      <c r="H98" s="801"/>
      <c r="I98" s="720"/>
      <c r="J98" s="720"/>
      <c r="K98" s="720"/>
      <c r="L98" s="720"/>
      <c r="M98" s="720"/>
      <c r="N98" s="801"/>
      <c r="O98" s="801"/>
      <c r="P98" s="720"/>
      <c r="Q98" s="801"/>
      <c r="R98" s="801"/>
      <c r="S98" s="720"/>
      <c r="T98" s="801"/>
      <c r="U98" s="801"/>
      <c r="V98" s="720"/>
      <c r="W98" s="801"/>
      <c r="X98" s="801"/>
      <c r="Y98" s="720"/>
      <c r="Z98" s="801"/>
      <c r="AA98" s="801"/>
      <c r="AB98" s="724"/>
      <c r="AC98" s="704"/>
      <c r="AD98" s="732"/>
      <c r="AE98" s="704"/>
      <c r="AF98" s="805">
        <f>AF88+AF97</f>
        <v>158703.07455571141</v>
      </c>
      <c r="AG98" s="805">
        <f t="shared" ref="AG98" si="101">AG88+AG97</f>
        <v>134878.43325646967</v>
      </c>
      <c r="AH98" s="805">
        <f t="shared" ref="AH98:AL98" si="102">AH88+AH97</f>
        <v>170286.20611844247</v>
      </c>
      <c r="AI98" s="805">
        <f t="shared" si="102"/>
        <v>153626.96982994836</v>
      </c>
      <c r="AJ98" s="805">
        <f t="shared" si="102"/>
        <v>145133.94989483923</v>
      </c>
      <c r="AK98" s="805">
        <f t="shared" si="102"/>
        <v>139328.25647721931</v>
      </c>
      <c r="AL98" s="805">
        <f t="shared" si="102"/>
        <v>123322.5595370596</v>
      </c>
      <c r="AM98" s="413"/>
      <c r="AN98" s="474"/>
      <c r="AO98" s="474"/>
      <c r="AP98" s="474"/>
      <c r="AQ98" s="474"/>
      <c r="AR98" s="474"/>
      <c r="AS98" s="474"/>
      <c r="AT98" s="474"/>
      <c r="AU98" s="474"/>
      <c r="AV98" s="474"/>
      <c r="AW98" s="474"/>
      <c r="AX98" s="474"/>
      <c r="AY98" s="474"/>
      <c r="AZ98" s="474"/>
      <c r="BA98" s="474"/>
      <c r="BB98" s="474"/>
    </row>
    <row r="99" spans="1:54">
      <c r="C99" s="804"/>
      <c r="E99" s="736"/>
      <c r="F99" s="803"/>
      <c r="G99" s="736"/>
      <c r="H99" s="803"/>
      <c r="I99" s="736"/>
      <c r="J99" s="736"/>
      <c r="K99" s="736"/>
      <c r="L99" s="736"/>
      <c r="M99" s="736"/>
      <c r="N99" s="803"/>
      <c r="O99" s="736"/>
      <c r="P99" s="736"/>
      <c r="Q99" s="803"/>
      <c r="R99" s="736"/>
      <c r="S99" s="736"/>
      <c r="T99" s="803"/>
      <c r="U99" s="736"/>
      <c r="V99" s="736"/>
      <c r="W99" s="803"/>
      <c r="X99" s="736"/>
      <c r="Y99" s="736"/>
      <c r="Z99" s="803"/>
      <c r="AA99" s="736"/>
      <c r="AB99" s="737"/>
      <c r="AC99" s="738"/>
      <c r="AD99" s="739"/>
      <c r="AE99" s="738"/>
      <c r="AF99" s="324"/>
      <c r="AG99" s="324"/>
      <c r="AH99" s="324"/>
      <c r="AI99" s="324"/>
      <c r="AJ99" s="324"/>
      <c r="AK99" s="324"/>
      <c r="AL99" s="324"/>
      <c r="AM99" s="804"/>
      <c r="AN99" s="290"/>
      <c r="AO99" s="290"/>
      <c r="AP99" s="290"/>
      <c r="AQ99" s="290"/>
      <c r="AR99" s="290"/>
      <c r="AS99" s="290"/>
      <c r="AT99" s="290"/>
      <c r="AU99" s="290"/>
      <c r="AV99" s="290"/>
      <c r="AW99" s="290"/>
      <c r="AX99" s="290"/>
      <c r="AY99" s="290"/>
      <c r="AZ99" s="290"/>
      <c r="BA99" s="290"/>
      <c r="BB99" s="290"/>
    </row>
  </sheetData>
  <sheetProtection formatCells="0" formatColumns="0" formatRows="0" insertRows="0" autoFilter="0"/>
  <protectedRanges>
    <protectedRange sqref="A67:D67 AN67:XFD67 A68:F79 J68:K79 AB68:XFD79 H68:H79 M68:N79 S68:T79 V68:W79 Y68:Z79 P68:Q79 F13" name="区域4" securityDescriptor=""/>
    <protectedRange sqref="E26:AA49 E3:AA3 E51:AA66 E68:AA79 E13:AA24 E8:AA11" name="区域3" securityDescriptor=""/>
    <protectedRange sqref="B2" name="区域2" securityDescriptor=""/>
    <protectedRange sqref="B1" name="区域1" securityDescriptor=""/>
    <protectedRange sqref="AF4:AL5 J4:J5 P4:P5 S4:S5 X4:AA5 U4:V5 M4:M5" name="区域1_1" securityDescriptor=""/>
    <protectedRange sqref="Q4:R5 T4:T5 W4:W5 N4:O5 E4:I5 K4:L5" name="区域3_2" securityDescriptor=""/>
    <protectedRange sqref="E6:AA6" name="区域1_1_1" securityDescriptor=""/>
    <protectedRange sqref="AU5 AN6:BB6" name="区域1_1_2" securityDescriptor=""/>
  </protectedRanges>
  <autoFilter ref="B6:BB98"/>
  <mergeCells count="36">
    <mergeCell ref="U4:U6"/>
    <mergeCell ref="I4:I6"/>
    <mergeCell ref="AE4:AE5"/>
    <mergeCell ref="AM3:AM5"/>
    <mergeCell ref="E3:AA3"/>
    <mergeCell ref="Z4:Z6"/>
    <mergeCell ref="AA4:AA6"/>
    <mergeCell ref="X4:X6"/>
    <mergeCell ref="G4:G6"/>
    <mergeCell ref="H4:H6"/>
    <mergeCell ref="N4:N6"/>
    <mergeCell ref="Q4:Q6"/>
    <mergeCell ref="T4:T6"/>
    <mergeCell ref="O4:O6"/>
    <mergeCell ref="R4:R6"/>
    <mergeCell ref="AN3:AV3"/>
    <mergeCell ref="AN4:AT4"/>
    <mergeCell ref="AV4:BB4"/>
    <mergeCell ref="AN5:AT5"/>
    <mergeCell ref="AV5:BB5"/>
    <mergeCell ref="AI1:AM1"/>
    <mergeCell ref="B2:AM2"/>
    <mergeCell ref="AC3:AE3"/>
    <mergeCell ref="AF3:AL3"/>
    <mergeCell ref="B3:B6"/>
    <mergeCell ref="C3:C6"/>
    <mergeCell ref="D3:D6"/>
    <mergeCell ref="AB3:AB4"/>
    <mergeCell ref="AB5:AB6"/>
    <mergeCell ref="B1:C1"/>
    <mergeCell ref="F4:F6"/>
    <mergeCell ref="W4:W6"/>
    <mergeCell ref="AC4:AC5"/>
    <mergeCell ref="AD4:AD5"/>
    <mergeCell ref="K4:K6"/>
    <mergeCell ref="L4:L6"/>
  </mergeCells>
  <phoneticPr fontId="7" type="noConversion"/>
  <conditionalFormatting sqref="AC61:AE66">
    <cfRule type="cellIs" dxfId="29" priority="1" stopIfTrue="1" operator="equal">
      <formula>0</formula>
    </cfRule>
  </conditionalFormatting>
  <conditionalFormatting sqref="AC68:AC69">
    <cfRule type="cellIs" dxfId="28" priority="2" stopIfTrue="1" operator="equal">
      <formula>0</formula>
    </cfRule>
  </conditionalFormatting>
  <conditionalFormatting sqref="AC70">
    <cfRule type="cellIs" dxfId="27" priority="3" stopIfTrue="1" operator="equal">
      <formula>0</formula>
    </cfRule>
  </conditionalFormatting>
  <conditionalFormatting sqref="AC74">
    <cfRule type="cellIs" dxfId="26" priority="4" stopIfTrue="1" operator="equal">
      <formula>0</formula>
    </cfRule>
  </conditionalFormatting>
  <printOptions horizontalCentered="1"/>
  <pageMargins left="0.39370078740157483" right="0.19685039370078741" top="0.39370078740157483" bottom="0.39370078740157483" header="0.19685039370078741" footer="0.19685039370078741"/>
  <pageSetup paperSize="9" scale="23" fitToHeight="0" orientation="landscape" blackAndWhite="1" r:id="rId1"/>
  <headerFooter alignWithMargins="0">
    <oddFooter>&amp;C第 &amp;P 页，共 &amp;N 页</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按钮01_Click">
                <anchor moveWithCells="1" sizeWithCells="1">
                  <from>
                    <xdr:col>2</xdr:col>
                    <xdr:colOff>733425</xdr:colOff>
                    <xdr:row>0</xdr:row>
                    <xdr:rowOff>38100</xdr:rowOff>
                  </from>
                  <to>
                    <xdr:col>2</xdr:col>
                    <xdr:colOff>1285875</xdr:colOff>
                    <xdr:row>1</xdr:row>
                    <xdr:rowOff>190500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filterMode="1">
    <tabColor indexed="13"/>
  </sheetPr>
  <dimension ref="A1:IL113"/>
  <sheetViews>
    <sheetView view="pageBreakPreview" zoomScaleSheetLayoutView="100" workbookViewId="0">
      <pane xSplit="4" ySplit="6" topLeftCell="E7" activePane="bottomRight" state="frozen"/>
      <selection pane="topRight"/>
      <selection pane="bottomLeft"/>
      <selection pane="bottomRight" activeCell="C92" sqref="C92"/>
    </sheetView>
  </sheetViews>
  <sheetFormatPr defaultColWidth="9.125" defaultRowHeight="14.25" outlineLevelRow="1" outlineLevelCol="1"/>
  <cols>
    <col min="2" max="2" width="6.25" customWidth="1"/>
    <col min="3" max="3" width="47.125" customWidth="1"/>
    <col min="4" max="4" width="5.75" customWidth="1"/>
    <col min="5" max="12" width="7.875" customWidth="1" outlineLevel="1"/>
    <col min="13" max="13" width="10.875" customWidth="1"/>
    <col min="14" max="16" width="8.75" customWidth="1"/>
    <col min="17" max="24" width="10.25" customWidth="1" outlineLevel="1"/>
    <col min="25" max="25" width="19.125" customWidth="1"/>
    <col min="26" max="34" width="8.625" customWidth="1" outlineLevel="1"/>
    <col min="35" max="42" width="7.75" customWidth="1" outlineLevel="1"/>
    <col min="43" max="43" width="9" customWidth="1" outlineLevel="1"/>
    <col min="44" max="45" width="9.125" customWidth="1"/>
    <col min="46" max="46" width="13.875" customWidth="1"/>
    <col min="47" max="47" width="9" customWidth="1"/>
    <col min="48" max="49" width="11.25" customWidth="1"/>
    <col min="50" max="52" width="9.125" customWidth="1"/>
    <col min="53" max="246" width="9" customWidth="1"/>
  </cols>
  <sheetData>
    <row r="1" spans="1:246">
      <c r="B1" s="294" t="s">
        <v>808</v>
      </c>
      <c r="T1" s="874" t="s">
        <v>196</v>
      </c>
      <c r="U1" s="874"/>
      <c r="V1" s="874"/>
      <c r="W1" s="874"/>
      <c r="X1" s="874"/>
      <c r="Y1" s="875"/>
      <c r="AR1" s="296"/>
      <c r="AS1" s="296"/>
      <c r="AT1" s="296"/>
      <c r="AU1" s="296"/>
      <c r="AV1" s="296"/>
      <c r="AW1" s="296"/>
      <c r="AX1" s="296"/>
      <c r="AY1" s="296"/>
      <c r="AZ1" s="296"/>
      <c r="BA1" s="296"/>
      <c r="BB1" s="296"/>
      <c r="BC1" s="296"/>
      <c r="BD1" s="296"/>
      <c r="BE1" s="296"/>
      <c r="BF1" s="296"/>
      <c r="BG1" s="296"/>
      <c r="BH1" s="296"/>
      <c r="BI1" s="296"/>
      <c r="BJ1" s="296"/>
      <c r="BK1" s="296"/>
      <c r="BL1" s="296"/>
      <c r="BM1" s="296"/>
      <c r="BN1" s="296"/>
      <c r="BO1" s="296"/>
      <c r="BP1" s="296"/>
      <c r="BQ1" s="296"/>
      <c r="BR1" s="296"/>
      <c r="BS1" s="296"/>
      <c r="BT1" s="296"/>
      <c r="BU1" s="296"/>
      <c r="BV1" s="296"/>
      <c r="BW1" s="296"/>
      <c r="BX1" s="296"/>
      <c r="BY1" s="296"/>
      <c r="BZ1" s="296"/>
      <c r="CA1" s="296"/>
      <c r="CB1" s="296"/>
      <c r="CC1" s="296"/>
      <c r="CD1" s="296"/>
      <c r="CE1" s="296"/>
      <c r="CF1" s="296"/>
      <c r="CG1" s="296"/>
      <c r="CH1" s="296"/>
      <c r="CI1" s="296"/>
      <c r="CJ1" s="296"/>
      <c r="CK1" s="296"/>
      <c r="CL1" s="296"/>
      <c r="CM1" s="296"/>
      <c r="CN1" s="296"/>
      <c r="CO1" s="296"/>
      <c r="CP1" s="296"/>
      <c r="CQ1" s="296"/>
      <c r="CR1" s="296"/>
      <c r="CS1" s="296"/>
      <c r="CT1" s="296"/>
      <c r="CU1" s="296"/>
      <c r="CV1" s="296"/>
      <c r="CW1" s="296"/>
      <c r="CX1" s="296"/>
      <c r="CY1" s="296"/>
      <c r="CZ1" s="296"/>
      <c r="DA1" s="296"/>
      <c r="DB1" s="296"/>
      <c r="DC1" s="296"/>
      <c r="DD1" s="296"/>
      <c r="DE1" s="296"/>
      <c r="DF1" s="296"/>
      <c r="DG1" s="296"/>
      <c r="DH1" s="296"/>
      <c r="DI1" s="296"/>
      <c r="DJ1" s="296"/>
      <c r="DK1" s="296"/>
      <c r="DL1" s="296"/>
      <c r="DM1" s="296"/>
      <c r="DN1" s="296"/>
      <c r="DO1" s="296"/>
      <c r="DP1" s="296"/>
      <c r="DQ1" s="296"/>
      <c r="DR1" s="296"/>
      <c r="DS1" s="296"/>
      <c r="DT1" s="296"/>
      <c r="DU1" s="296"/>
      <c r="DV1" s="296"/>
      <c r="DW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296"/>
      <c r="EY1" s="296"/>
      <c r="EZ1" s="296"/>
      <c r="FA1" s="296"/>
      <c r="FB1" s="296"/>
      <c r="FC1" s="296"/>
      <c r="FD1" s="296"/>
      <c r="FE1" s="296"/>
      <c r="FF1" s="296"/>
      <c r="FG1" s="296"/>
      <c r="FH1" s="296"/>
      <c r="FI1" s="296"/>
      <c r="FJ1" s="296"/>
      <c r="FK1" s="296"/>
      <c r="FL1" s="296"/>
      <c r="FM1" s="296"/>
      <c r="FN1" s="296"/>
      <c r="FO1" s="296"/>
      <c r="FP1" s="296"/>
      <c r="FQ1" s="296"/>
      <c r="FR1" s="296"/>
      <c r="FS1" s="296"/>
      <c r="FT1" s="296"/>
      <c r="FU1" s="296"/>
      <c r="FV1" s="296"/>
      <c r="FW1" s="296"/>
      <c r="FX1" s="296"/>
      <c r="FY1" s="296"/>
      <c r="FZ1" s="296"/>
      <c r="GA1" s="296"/>
      <c r="GB1" s="296"/>
      <c r="GC1" s="296"/>
      <c r="GD1" s="296"/>
      <c r="GE1" s="296"/>
      <c r="GF1" s="296"/>
      <c r="GG1" s="296"/>
      <c r="GH1" s="296"/>
      <c r="GI1" s="296"/>
      <c r="GJ1" s="296"/>
      <c r="GK1" s="296"/>
      <c r="GL1" s="296"/>
      <c r="GM1" s="296"/>
      <c r="GN1" s="296"/>
      <c r="GO1" s="296"/>
      <c r="GP1" s="296"/>
      <c r="GQ1" s="296"/>
      <c r="GR1" s="296"/>
      <c r="GS1" s="296"/>
      <c r="GT1" s="296"/>
      <c r="GU1" s="296"/>
      <c r="GV1" s="296"/>
      <c r="GW1" s="296"/>
      <c r="GX1" s="296"/>
      <c r="GY1" s="296"/>
      <c r="GZ1" s="296"/>
      <c r="HA1" s="296"/>
      <c r="HB1" s="296"/>
      <c r="HC1" s="296"/>
      <c r="HD1" s="296"/>
      <c r="HE1" s="296"/>
      <c r="HF1" s="296"/>
      <c r="HG1" s="296"/>
      <c r="HH1" s="296"/>
      <c r="HI1" s="296"/>
      <c r="HJ1" s="296"/>
      <c r="HK1" s="296"/>
      <c r="HL1" s="296"/>
      <c r="HM1" s="296"/>
      <c r="HN1" s="296"/>
      <c r="HO1" s="296"/>
      <c r="HP1" s="296"/>
      <c r="HQ1" s="296"/>
      <c r="HR1" s="296"/>
      <c r="HS1" s="296"/>
      <c r="HT1" s="296"/>
      <c r="HU1" s="296"/>
      <c r="HV1" s="296"/>
      <c r="HW1" s="296"/>
      <c r="HX1" s="296"/>
      <c r="HY1" s="296"/>
      <c r="HZ1" s="296"/>
      <c r="IA1" s="296"/>
      <c r="IB1" s="296"/>
      <c r="IC1" s="296"/>
      <c r="ID1" s="296"/>
      <c r="IE1" s="296"/>
      <c r="IF1" s="296"/>
      <c r="IG1" s="296"/>
      <c r="IH1" s="296"/>
      <c r="II1" s="296"/>
      <c r="IJ1" s="296"/>
      <c r="IK1" s="296"/>
      <c r="IL1" s="296"/>
    </row>
    <row r="2" spans="1:246" ht="18.75">
      <c r="B2" s="907" t="s">
        <v>977</v>
      </c>
      <c r="C2" s="908"/>
      <c r="D2" s="908"/>
      <c r="E2" s="908"/>
      <c r="F2" s="908"/>
      <c r="G2" s="908"/>
      <c r="H2" s="908"/>
      <c r="I2" s="908"/>
      <c r="J2" s="908"/>
      <c r="K2" s="908"/>
      <c r="L2" s="908"/>
      <c r="M2" s="908"/>
      <c r="N2" s="908"/>
      <c r="O2" s="908"/>
      <c r="P2" s="908"/>
      <c r="Q2" s="908"/>
      <c r="R2" s="909"/>
      <c r="S2" s="909"/>
      <c r="T2" s="909"/>
      <c r="U2" s="909"/>
      <c r="V2" s="909"/>
      <c r="W2" s="909"/>
      <c r="X2" s="909"/>
      <c r="Y2" s="909"/>
      <c r="AR2" s="296"/>
      <c r="AS2" s="296"/>
      <c r="AT2" s="296"/>
      <c r="AU2" s="296"/>
      <c r="AV2" s="296"/>
      <c r="AW2" s="296"/>
      <c r="AX2" s="296"/>
      <c r="AY2" s="296"/>
      <c r="AZ2" s="296"/>
      <c r="BA2" s="296"/>
      <c r="BB2" s="296"/>
      <c r="BC2" s="296"/>
      <c r="BD2" s="296"/>
      <c r="BE2" s="296"/>
      <c r="BF2" s="296"/>
      <c r="BG2" s="296"/>
      <c r="BH2" s="296"/>
      <c r="BI2" s="296"/>
      <c r="BJ2" s="296"/>
      <c r="BK2" s="296"/>
      <c r="BL2" s="296"/>
      <c r="BM2" s="296"/>
      <c r="BN2" s="296"/>
      <c r="BO2" s="296"/>
      <c r="BP2" s="296"/>
      <c r="BQ2" s="296"/>
      <c r="BR2" s="296"/>
      <c r="BS2" s="296"/>
      <c r="BT2" s="296"/>
      <c r="BU2" s="296"/>
      <c r="BV2" s="296"/>
      <c r="BW2" s="296"/>
      <c r="BX2" s="296"/>
      <c r="BY2" s="296"/>
      <c r="BZ2" s="296"/>
      <c r="CA2" s="296"/>
      <c r="CB2" s="296"/>
      <c r="CC2" s="296"/>
      <c r="CD2" s="296"/>
      <c r="CE2" s="296"/>
      <c r="CF2" s="296"/>
      <c r="CG2" s="296"/>
      <c r="CH2" s="296"/>
      <c r="CI2" s="296"/>
      <c r="CJ2" s="296"/>
      <c r="CK2" s="296"/>
      <c r="CL2" s="296"/>
      <c r="CM2" s="296"/>
      <c r="CN2" s="296"/>
      <c r="CO2" s="296"/>
      <c r="CP2" s="296"/>
      <c r="CQ2" s="296"/>
      <c r="CR2" s="296"/>
      <c r="CS2" s="296"/>
      <c r="CT2" s="296"/>
      <c r="CU2" s="296"/>
      <c r="CV2" s="296"/>
      <c r="CW2" s="296"/>
      <c r="CX2" s="296"/>
      <c r="CY2" s="296"/>
      <c r="CZ2" s="296"/>
      <c r="DA2" s="296"/>
      <c r="DB2" s="296"/>
      <c r="DC2" s="296"/>
      <c r="DD2" s="296"/>
      <c r="DE2" s="296"/>
      <c r="DF2" s="296"/>
      <c r="DG2" s="296"/>
      <c r="DH2" s="296"/>
      <c r="DI2" s="296"/>
      <c r="DJ2" s="296"/>
      <c r="DK2" s="296"/>
      <c r="DL2" s="296"/>
      <c r="DM2" s="296"/>
      <c r="DN2" s="296"/>
      <c r="DO2" s="296"/>
      <c r="DP2" s="296"/>
      <c r="DQ2" s="296"/>
      <c r="DR2" s="296"/>
      <c r="DS2" s="296"/>
      <c r="DT2" s="296"/>
      <c r="DU2" s="296"/>
      <c r="DV2" s="296"/>
      <c r="DW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296"/>
      <c r="EY2" s="296"/>
      <c r="EZ2" s="296"/>
      <c r="FA2" s="296"/>
      <c r="FB2" s="296"/>
      <c r="FC2" s="296"/>
      <c r="FD2" s="296"/>
      <c r="FE2" s="296"/>
      <c r="FF2" s="296"/>
      <c r="FG2" s="296"/>
      <c r="FH2" s="296"/>
      <c r="FI2" s="296"/>
      <c r="FJ2" s="296"/>
      <c r="FK2" s="296"/>
      <c r="FL2" s="296"/>
      <c r="FM2" s="296"/>
      <c r="FN2" s="296"/>
      <c r="FO2" s="296"/>
      <c r="FP2" s="296"/>
      <c r="FQ2" s="296"/>
      <c r="FR2" s="296"/>
      <c r="FS2" s="296"/>
      <c r="FT2" s="296"/>
      <c r="FU2" s="296"/>
      <c r="FV2" s="296"/>
      <c r="FW2" s="296"/>
      <c r="FX2" s="296"/>
      <c r="FY2" s="296"/>
      <c r="FZ2" s="296"/>
      <c r="GA2" s="296"/>
      <c r="GB2" s="296"/>
      <c r="GC2" s="296"/>
      <c r="GD2" s="296"/>
      <c r="GE2" s="296"/>
      <c r="GF2" s="296"/>
      <c r="GG2" s="296"/>
      <c r="GH2" s="296"/>
      <c r="GI2" s="296"/>
      <c r="GJ2" s="296"/>
      <c r="GK2" s="296"/>
      <c r="GL2" s="296"/>
      <c r="GM2" s="296"/>
      <c r="GN2" s="296"/>
      <c r="GO2" s="296"/>
      <c r="GP2" s="296"/>
      <c r="GQ2" s="296"/>
      <c r="GR2" s="296"/>
      <c r="GS2" s="296"/>
      <c r="GT2" s="296"/>
      <c r="GU2" s="296"/>
      <c r="GV2" s="296"/>
      <c r="GW2" s="296"/>
      <c r="GX2" s="296"/>
      <c r="GY2" s="296"/>
      <c r="GZ2" s="296"/>
      <c r="HA2" s="296"/>
      <c r="HB2" s="296"/>
      <c r="HC2" s="296"/>
      <c r="HD2" s="296"/>
      <c r="HE2" s="296"/>
      <c r="HF2" s="296"/>
      <c r="HG2" s="296"/>
      <c r="HH2" s="296"/>
      <c r="HI2" s="296"/>
      <c r="HJ2" s="296"/>
      <c r="HK2" s="296"/>
      <c r="HL2" s="296"/>
      <c r="HM2" s="296"/>
      <c r="HN2" s="296"/>
      <c r="HO2" s="296"/>
      <c r="HP2" s="296"/>
      <c r="HQ2" s="296"/>
      <c r="HR2" s="296"/>
      <c r="HS2" s="296"/>
      <c r="HT2" s="296"/>
      <c r="HU2" s="296"/>
      <c r="HV2" s="296"/>
      <c r="HW2" s="296"/>
      <c r="HX2" s="296"/>
      <c r="HY2" s="296"/>
      <c r="HZ2" s="296"/>
      <c r="IA2" s="296"/>
      <c r="IB2" s="296"/>
      <c r="IC2" s="296"/>
      <c r="ID2" s="296"/>
      <c r="IE2" s="296"/>
      <c r="IF2" s="296"/>
      <c r="IG2" s="296"/>
      <c r="IH2" s="296"/>
      <c r="II2" s="296"/>
      <c r="IJ2" s="296"/>
      <c r="IK2" s="296"/>
      <c r="IL2" s="296"/>
    </row>
    <row r="3" spans="1:246" ht="14.25" customHeight="1">
      <c r="A3" s="299"/>
      <c r="B3" s="916" t="s">
        <v>54</v>
      </c>
      <c r="C3" s="916" t="s">
        <v>933</v>
      </c>
      <c r="D3" s="916" t="s">
        <v>198</v>
      </c>
      <c r="E3" s="876" t="s">
        <v>199</v>
      </c>
      <c r="F3" s="877"/>
      <c r="G3" s="877"/>
      <c r="H3" s="877"/>
      <c r="I3" s="877"/>
      <c r="J3" s="877"/>
      <c r="K3" s="877"/>
      <c r="L3" s="878"/>
      <c r="M3" s="919" t="s">
        <v>200</v>
      </c>
      <c r="N3" s="910" t="s">
        <v>934</v>
      </c>
      <c r="O3" s="911"/>
      <c r="P3" s="912"/>
      <c r="Q3" s="880" t="s">
        <v>202</v>
      </c>
      <c r="R3" s="881"/>
      <c r="S3" s="881"/>
      <c r="T3" s="881"/>
      <c r="U3" s="881"/>
      <c r="V3" s="881"/>
      <c r="W3" s="881"/>
      <c r="X3" s="882"/>
      <c r="Y3" s="916" t="s">
        <v>57</v>
      </c>
      <c r="Z3" s="913"/>
      <c r="AA3" s="914"/>
      <c r="AB3" s="914"/>
      <c r="AC3" s="914"/>
      <c r="AD3" s="914"/>
      <c r="AE3" s="914"/>
      <c r="AF3" s="914"/>
      <c r="AG3" s="914"/>
      <c r="AH3" s="914"/>
      <c r="AI3" s="915"/>
      <c r="AJ3" s="210"/>
      <c r="AK3" s="210"/>
      <c r="AL3" s="210"/>
      <c r="AM3" s="210"/>
      <c r="AN3" s="210"/>
      <c r="AO3" s="210"/>
      <c r="AP3" s="210"/>
      <c r="AR3" s="296"/>
      <c r="AS3" s="297" t="s">
        <v>54</v>
      </c>
      <c r="AT3" s="297" t="s">
        <v>933</v>
      </c>
      <c r="AU3" s="297" t="s">
        <v>198</v>
      </c>
      <c r="AV3" s="297" t="s">
        <v>200</v>
      </c>
      <c r="AW3" s="297" t="s">
        <v>934</v>
      </c>
      <c r="AX3" s="297"/>
      <c r="AY3" s="297"/>
      <c r="AZ3" s="296"/>
      <c r="BA3" s="296"/>
      <c r="BB3" s="296"/>
      <c r="BC3" s="296"/>
      <c r="BD3" s="296"/>
      <c r="BE3" s="296"/>
      <c r="BF3" s="296"/>
      <c r="BG3" s="296"/>
      <c r="BH3" s="296"/>
      <c r="BI3" s="296"/>
      <c r="BJ3" s="296"/>
      <c r="BK3" s="296"/>
      <c r="BL3" s="296"/>
      <c r="BM3" s="296"/>
      <c r="BN3" s="296"/>
      <c r="BO3" s="296"/>
      <c r="BP3" s="296"/>
      <c r="BQ3" s="296"/>
      <c r="BR3" s="296"/>
      <c r="BS3" s="296"/>
      <c r="BT3" s="296"/>
      <c r="BU3" s="296"/>
      <c r="BV3" s="296"/>
      <c r="BW3" s="296"/>
      <c r="BX3" s="296"/>
      <c r="BY3" s="296"/>
      <c r="BZ3" s="296"/>
      <c r="CA3" s="296"/>
      <c r="CB3" s="296"/>
      <c r="CC3" s="296"/>
      <c r="CD3" s="296"/>
      <c r="CE3" s="296"/>
      <c r="CF3" s="296"/>
      <c r="CG3" s="296"/>
      <c r="CH3" s="296"/>
      <c r="CI3" s="296"/>
      <c r="CJ3" s="296"/>
      <c r="CK3" s="296"/>
      <c r="CL3" s="296"/>
      <c r="CM3" s="296"/>
      <c r="CN3" s="296"/>
      <c r="CO3" s="296"/>
      <c r="CP3" s="296"/>
      <c r="CQ3" s="296"/>
      <c r="CR3" s="296"/>
      <c r="CS3" s="296"/>
      <c r="CT3" s="296"/>
      <c r="CU3" s="296"/>
      <c r="CV3" s="296"/>
      <c r="CW3" s="296"/>
      <c r="CX3" s="296"/>
      <c r="CY3" s="296"/>
      <c r="CZ3" s="296"/>
      <c r="DA3" s="296"/>
      <c r="DB3" s="296"/>
      <c r="DC3" s="296"/>
      <c r="DD3" s="296"/>
      <c r="DE3" s="296"/>
      <c r="DF3" s="296"/>
      <c r="DG3" s="296"/>
      <c r="DH3" s="296"/>
      <c r="DI3" s="296"/>
      <c r="DJ3" s="296"/>
      <c r="DK3" s="296"/>
      <c r="DL3" s="296"/>
      <c r="DM3" s="296"/>
      <c r="DN3" s="296"/>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296"/>
      <c r="EY3" s="296"/>
      <c r="EZ3" s="296"/>
      <c r="FA3" s="296"/>
      <c r="FB3" s="296"/>
      <c r="FC3" s="296"/>
      <c r="FD3" s="296"/>
      <c r="FE3" s="296"/>
      <c r="FF3" s="296"/>
      <c r="FG3" s="296"/>
      <c r="FH3" s="296"/>
      <c r="FI3" s="296"/>
      <c r="FJ3" s="296"/>
      <c r="FK3" s="296"/>
      <c r="FL3" s="296"/>
      <c r="FM3" s="296"/>
      <c r="FN3" s="296"/>
      <c r="FO3" s="296"/>
      <c r="FP3" s="296"/>
      <c r="FQ3" s="296"/>
      <c r="FR3" s="296"/>
      <c r="FS3" s="296"/>
      <c r="FT3" s="296"/>
      <c r="FU3" s="296"/>
      <c r="FV3" s="296"/>
      <c r="FW3" s="296"/>
      <c r="FX3" s="296"/>
      <c r="FY3" s="296"/>
      <c r="FZ3" s="296"/>
      <c r="GA3" s="296"/>
      <c r="GB3" s="296"/>
      <c r="GC3" s="296"/>
      <c r="GD3" s="296"/>
      <c r="GE3" s="296"/>
      <c r="GF3" s="296"/>
      <c r="GG3" s="296"/>
      <c r="GH3" s="296"/>
      <c r="GI3" s="296"/>
      <c r="GJ3" s="296"/>
      <c r="GK3" s="296"/>
      <c r="GL3" s="296"/>
      <c r="GM3" s="296"/>
      <c r="GN3" s="296"/>
      <c r="GO3" s="296"/>
      <c r="GP3" s="296"/>
      <c r="GQ3" s="296"/>
      <c r="GR3" s="296"/>
      <c r="GS3" s="296"/>
      <c r="GT3" s="296"/>
      <c r="GU3" s="296"/>
      <c r="GV3" s="296"/>
      <c r="GW3" s="296"/>
      <c r="GX3" s="296"/>
      <c r="GY3" s="296"/>
      <c r="GZ3" s="296"/>
      <c r="HA3" s="296"/>
      <c r="HB3" s="296"/>
      <c r="HC3" s="296"/>
      <c r="HD3" s="296"/>
      <c r="HE3" s="296"/>
      <c r="HF3" s="296"/>
      <c r="HG3" s="296"/>
      <c r="HH3" s="296"/>
      <c r="HI3" s="296"/>
      <c r="HJ3" s="296"/>
      <c r="HK3" s="296"/>
      <c r="HL3" s="296"/>
      <c r="HM3" s="296"/>
      <c r="HN3" s="296"/>
      <c r="HO3" s="296"/>
      <c r="HP3" s="296"/>
      <c r="HQ3" s="296"/>
      <c r="HR3" s="296"/>
      <c r="HS3" s="296"/>
      <c r="HT3" s="296"/>
      <c r="HU3" s="296"/>
      <c r="HV3" s="296"/>
      <c r="HW3" s="296"/>
      <c r="HX3" s="296"/>
      <c r="HY3" s="296"/>
      <c r="HZ3" s="296"/>
      <c r="IA3" s="296"/>
      <c r="IB3" s="296"/>
      <c r="IC3" s="296"/>
      <c r="ID3" s="296"/>
      <c r="IE3" s="296"/>
      <c r="IF3" s="296"/>
      <c r="IG3" s="296"/>
      <c r="IH3" s="296"/>
      <c r="II3" s="296"/>
      <c r="IJ3" s="296"/>
      <c r="IK3" s="296"/>
      <c r="IL3" s="296"/>
    </row>
    <row r="4" spans="1:246" ht="22.5">
      <c r="A4" s="300"/>
      <c r="B4" s="917"/>
      <c r="C4" s="917"/>
      <c r="D4" s="917"/>
      <c r="E4" s="186"/>
      <c r="F4" s="186"/>
      <c r="G4" s="186"/>
      <c r="H4" s="186"/>
      <c r="I4" s="186"/>
      <c r="J4" s="186"/>
      <c r="K4" s="186"/>
      <c r="L4" s="186"/>
      <c r="M4" s="920"/>
      <c r="N4" s="890" t="s">
        <v>203</v>
      </c>
      <c r="O4" s="890" t="s">
        <v>204</v>
      </c>
      <c r="P4" s="890" t="s">
        <v>205</v>
      </c>
      <c r="Q4" s="205">
        <f>+E4</f>
        <v>0</v>
      </c>
      <c r="R4" s="205">
        <f t="shared" ref="R4" si="0">+F4</f>
        <v>0</v>
      </c>
      <c r="S4" s="205">
        <f t="shared" ref="S4:X5" si="1">+G4</f>
        <v>0</v>
      </c>
      <c r="T4" s="205">
        <f t="shared" si="1"/>
        <v>0</v>
      </c>
      <c r="U4" s="205">
        <f t="shared" si="1"/>
        <v>0</v>
      </c>
      <c r="V4" s="205">
        <f t="shared" si="1"/>
        <v>0</v>
      </c>
      <c r="W4" s="205">
        <f t="shared" si="1"/>
        <v>0</v>
      </c>
      <c r="X4" s="205">
        <f t="shared" si="1"/>
        <v>0</v>
      </c>
      <c r="Y4" s="917"/>
      <c r="Z4" s="886" t="s">
        <v>593</v>
      </c>
      <c r="AA4" s="887"/>
      <c r="AB4" s="887"/>
      <c r="AC4" s="887"/>
      <c r="AD4" s="887"/>
      <c r="AE4" s="887"/>
      <c r="AF4" s="887"/>
      <c r="AG4" s="887"/>
      <c r="AH4" s="214"/>
      <c r="AI4" s="888" t="s">
        <v>208</v>
      </c>
      <c r="AJ4" s="888"/>
      <c r="AK4" s="888"/>
      <c r="AL4" s="888"/>
      <c r="AM4" s="888"/>
      <c r="AN4" s="888"/>
      <c r="AO4" s="888"/>
      <c r="AP4" s="888"/>
      <c r="AQ4" s="290"/>
      <c r="AS4" s="165"/>
      <c r="AT4" s="165"/>
      <c r="AU4" s="165"/>
      <c r="AV4" s="165"/>
      <c r="AW4" s="165" t="s">
        <v>203</v>
      </c>
      <c r="AX4" s="165" t="s">
        <v>204</v>
      </c>
      <c r="AY4" s="165" t="s">
        <v>205</v>
      </c>
    </row>
    <row r="5" spans="1:246" ht="22.5">
      <c r="A5" s="300"/>
      <c r="B5" s="917"/>
      <c r="C5" s="917"/>
      <c r="D5" s="917"/>
      <c r="E5" s="186"/>
      <c r="F5" s="186"/>
      <c r="G5" s="186"/>
      <c r="H5" s="187"/>
      <c r="I5" s="187"/>
      <c r="J5" s="187"/>
      <c r="K5" s="187"/>
      <c r="L5" s="187"/>
      <c r="M5" s="890" t="s">
        <v>206</v>
      </c>
      <c r="N5" s="891"/>
      <c r="O5" s="891"/>
      <c r="P5" s="891"/>
      <c r="Q5" s="205">
        <f>+E5</f>
        <v>0</v>
      </c>
      <c r="R5" s="205">
        <f>+F5</f>
        <v>0</v>
      </c>
      <c r="S5" s="205">
        <f t="shared" si="1"/>
        <v>0</v>
      </c>
      <c r="T5" s="205">
        <f t="shared" si="1"/>
        <v>0</v>
      </c>
      <c r="U5" s="205">
        <f t="shared" si="1"/>
        <v>0</v>
      </c>
      <c r="V5" s="205">
        <f t="shared" si="1"/>
        <v>0</v>
      </c>
      <c r="W5" s="205">
        <f t="shared" si="1"/>
        <v>0</v>
      </c>
      <c r="X5" s="205">
        <f t="shared" si="1"/>
        <v>0</v>
      </c>
      <c r="Y5" s="918"/>
      <c r="Z5" s="208"/>
      <c r="AA5" s="208"/>
      <c r="AB5" s="208"/>
      <c r="AC5" s="208"/>
      <c r="AD5" s="208"/>
      <c r="AE5" s="208"/>
      <c r="AF5" s="208"/>
      <c r="AG5" s="208"/>
      <c r="AH5" s="215"/>
      <c r="AI5" s="208"/>
      <c r="AJ5" s="208"/>
      <c r="AK5" s="208"/>
      <c r="AL5" s="208"/>
      <c r="AM5" s="208"/>
      <c r="AN5" s="208"/>
      <c r="AO5" s="208"/>
      <c r="AP5" s="208"/>
      <c r="AQ5" s="290"/>
      <c r="AS5" s="165"/>
      <c r="AT5" s="165"/>
      <c r="AU5" s="165"/>
      <c r="AV5" s="165" t="s">
        <v>206</v>
      </c>
      <c r="AW5" s="165"/>
      <c r="AX5" s="165"/>
      <c r="AY5" s="165"/>
    </row>
    <row r="6" spans="1:246">
      <c r="A6" s="300"/>
      <c r="B6" s="918"/>
      <c r="C6" s="918"/>
      <c r="D6" s="918"/>
      <c r="E6" s="189" t="s">
        <v>209</v>
      </c>
      <c r="F6" s="189" t="s">
        <v>210</v>
      </c>
      <c r="G6" s="189" t="s">
        <v>211</v>
      </c>
      <c r="H6" s="189" t="s">
        <v>212</v>
      </c>
      <c r="I6" s="189" t="s">
        <v>213</v>
      </c>
      <c r="J6" s="189" t="s">
        <v>214</v>
      </c>
      <c r="K6" s="189" t="s">
        <v>215</v>
      </c>
      <c r="L6" s="189" t="s">
        <v>216</v>
      </c>
      <c r="M6" s="891"/>
      <c r="N6" s="311" t="s">
        <v>217</v>
      </c>
      <c r="O6" s="311" t="s">
        <v>218</v>
      </c>
      <c r="P6" s="311" t="s">
        <v>219</v>
      </c>
      <c r="Q6" s="201" t="s">
        <v>220</v>
      </c>
      <c r="R6" s="201" t="s">
        <v>221</v>
      </c>
      <c r="S6" s="201" t="s">
        <v>222</v>
      </c>
      <c r="T6" s="201" t="s">
        <v>223</v>
      </c>
      <c r="U6" s="201" t="s">
        <v>224</v>
      </c>
      <c r="V6" s="201" t="s">
        <v>225</v>
      </c>
      <c r="W6" s="201" t="s">
        <v>226</v>
      </c>
      <c r="X6" s="201" t="s">
        <v>227</v>
      </c>
      <c r="Y6" s="192"/>
      <c r="Z6" s="208" t="s">
        <v>209</v>
      </c>
      <c r="AA6" s="208" t="s">
        <v>210</v>
      </c>
      <c r="AB6" s="208" t="s">
        <v>211</v>
      </c>
      <c r="AC6" s="208" t="s">
        <v>212</v>
      </c>
      <c r="AD6" s="208" t="s">
        <v>213</v>
      </c>
      <c r="AE6" s="208" t="s">
        <v>214</v>
      </c>
      <c r="AF6" s="208" t="s">
        <v>215</v>
      </c>
      <c r="AG6" s="208" t="s">
        <v>216</v>
      </c>
      <c r="AH6" s="216"/>
      <c r="AI6" s="208" t="s">
        <v>209</v>
      </c>
      <c r="AJ6" s="208" t="s">
        <v>210</v>
      </c>
      <c r="AK6" s="208" t="s">
        <v>211</v>
      </c>
      <c r="AL6" s="208" t="s">
        <v>212</v>
      </c>
      <c r="AM6" s="208" t="s">
        <v>213</v>
      </c>
      <c r="AN6" s="208" t="s">
        <v>214</v>
      </c>
      <c r="AO6" s="208" t="s">
        <v>215</v>
      </c>
      <c r="AP6" s="208" t="s">
        <v>216</v>
      </c>
      <c r="AQ6" s="290"/>
      <c r="AS6" s="165"/>
      <c r="AT6" s="165"/>
      <c r="AU6" s="165"/>
      <c r="AV6" s="165"/>
      <c r="AW6" s="165" t="s">
        <v>217</v>
      </c>
      <c r="AX6" s="165" t="s">
        <v>218</v>
      </c>
      <c r="AY6" s="165" t="s">
        <v>219</v>
      </c>
    </row>
    <row r="7" spans="1:246" ht="28.5" hidden="1" customHeight="1" outlineLevel="1">
      <c r="A7" s="300"/>
      <c r="B7" s="197" t="s">
        <v>58</v>
      </c>
      <c r="C7" s="195" t="s">
        <v>229</v>
      </c>
      <c r="D7" s="129"/>
      <c r="E7" s="301"/>
      <c r="F7" s="301"/>
      <c r="G7" s="301"/>
      <c r="H7" s="302"/>
      <c r="I7" s="302"/>
      <c r="J7" s="302"/>
      <c r="K7" s="302"/>
      <c r="L7" s="302"/>
      <c r="M7" s="310"/>
      <c r="N7" s="311"/>
      <c r="O7" s="311"/>
      <c r="P7" s="311"/>
      <c r="Q7" s="201"/>
      <c r="R7" s="201"/>
      <c r="S7" s="201"/>
      <c r="T7" s="201"/>
      <c r="U7" s="201"/>
      <c r="V7" s="201"/>
      <c r="W7" s="201"/>
      <c r="X7" s="201"/>
      <c r="Y7" s="192"/>
      <c r="Z7" s="276"/>
      <c r="AA7" s="276"/>
      <c r="AB7" s="276"/>
      <c r="AC7" s="276"/>
      <c r="AD7" s="276"/>
      <c r="AE7" s="276"/>
      <c r="AF7" s="276"/>
      <c r="AG7" s="276"/>
      <c r="AH7" s="276"/>
      <c r="AI7" s="276"/>
      <c r="AJ7" s="276"/>
      <c r="AK7" s="276"/>
      <c r="AL7" s="276"/>
      <c r="AM7" s="276"/>
      <c r="AN7" s="276"/>
      <c r="AO7" s="276"/>
      <c r="AP7" s="276"/>
      <c r="AQ7" s="290"/>
      <c r="AS7" s="165" t="s">
        <v>58</v>
      </c>
      <c r="AT7" s="165" t="s">
        <v>229</v>
      </c>
      <c r="AU7" s="165"/>
      <c r="AV7" s="165"/>
      <c r="AW7" s="165"/>
      <c r="AX7" s="165"/>
      <c r="AY7" s="165"/>
    </row>
    <row r="8" spans="1:246" ht="29.25" customHeight="1" collapsed="1">
      <c r="A8" s="300"/>
      <c r="B8" s="129">
        <v>1</v>
      </c>
      <c r="C8" s="192" t="s">
        <v>243</v>
      </c>
      <c r="D8" s="129" t="s">
        <v>231</v>
      </c>
      <c r="E8" s="193">
        <v>1</v>
      </c>
      <c r="F8" s="193">
        <v>1</v>
      </c>
      <c r="G8" s="193">
        <v>1</v>
      </c>
      <c r="H8" s="193">
        <f>SUBTOTAL(9,E8:G8)</f>
        <v>3</v>
      </c>
      <c r="I8" s="193">
        <f t="shared" ref="I8" si="2">SUBTOTAL(9,F8:H8)</f>
        <v>2</v>
      </c>
      <c r="J8" s="193">
        <f>SUBTOTAL(9,G8:I8)</f>
        <v>1</v>
      </c>
      <c r="K8" s="193">
        <f>SUBTOTAL(9,H8:J8)</f>
        <v>0</v>
      </c>
      <c r="L8" s="193">
        <f>SUBTOTAL(9,I8:K8)</f>
        <v>0</v>
      </c>
      <c r="M8" s="311">
        <f>N8+N8*O8/100+P8</f>
        <v>21.43271</v>
      </c>
      <c r="N8" s="311">
        <f>'大堂(新标)'!N17</f>
        <v>2.2087100000000004</v>
      </c>
      <c r="O8" s="311">
        <v>0</v>
      </c>
      <c r="P8" s="311">
        <v>19.224</v>
      </c>
      <c r="Q8" s="139">
        <f t="shared" ref="Q8" si="3">E8*$M8</f>
        <v>21.43271</v>
      </c>
      <c r="R8" s="139">
        <f>F8*$M8</f>
        <v>21.43271</v>
      </c>
      <c r="S8" s="139">
        <f>G8*$M8</f>
        <v>21.43271</v>
      </c>
      <c r="T8" s="139">
        <f>H8*$M8</f>
        <v>64.29813</v>
      </c>
      <c r="U8" s="139">
        <f t="shared" ref="U8" si="4">I8*$M8</f>
        <v>42.86542</v>
      </c>
      <c r="V8" s="139">
        <f t="shared" ref="V8:V23" si="5">J8*$M8</f>
        <v>21.43271</v>
      </c>
      <c r="W8" s="139">
        <f t="shared" ref="W8:W23" si="6">K8*$M8</f>
        <v>0</v>
      </c>
      <c r="X8" s="139">
        <f t="shared" ref="X8:X23" si="7">L8*$M8</f>
        <v>0</v>
      </c>
      <c r="Y8" s="192" t="s">
        <v>244</v>
      </c>
      <c r="Z8" s="276">
        <f>Q8</f>
        <v>21.43271</v>
      </c>
      <c r="AA8" s="276">
        <f t="shared" ref="AA8" si="8">R8</f>
        <v>21.43271</v>
      </c>
      <c r="AB8" s="276">
        <f t="shared" ref="AB8:AG8" si="9">S8</f>
        <v>21.43271</v>
      </c>
      <c r="AC8" s="276">
        <f t="shared" si="9"/>
        <v>64.29813</v>
      </c>
      <c r="AD8" s="276">
        <f t="shared" si="9"/>
        <v>42.86542</v>
      </c>
      <c r="AE8" s="276">
        <f t="shared" si="9"/>
        <v>21.43271</v>
      </c>
      <c r="AF8" s="276">
        <f t="shared" si="9"/>
        <v>0</v>
      </c>
      <c r="AG8" s="276">
        <f t="shared" si="9"/>
        <v>0</v>
      </c>
      <c r="AH8" s="276"/>
      <c r="AI8" s="276">
        <f>E8*$N8*(1+$O8%)</f>
        <v>2.2087100000000004</v>
      </c>
      <c r="AJ8" s="276">
        <f t="shared" ref="AJ8" si="10">F8*$N8*(1+$O8%)</f>
        <v>2.2087100000000004</v>
      </c>
      <c r="AK8" s="276">
        <f t="shared" ref="AK8:AP8" si="11">G8*$N8*(1+$O8%)</f>
        <v>2.2087100000000004</v>
      </c>
      <c r="AL8" s="276">
        <f t="shared" si="11"/>
        <v>6.6261300000000016</v>
      </c>
      <c r="AM8" s="276">
        <f t="shared" si="11"/>
        <v>4.4174200000000008</v>
      </c>
      <c r="AN8" s="276">
        <f t="shared" si="11"/>
        <v>2.2087100000000004</v>
      </c>
      <c r="AO8" s="276">
        <f t="shared" si="11"/>
        <v>0</v>
      </c>
      <c r="AP8" s="276">
        <f t="shared" si="11"/>
        <v>0</v>
      </c>
      <c r="AQ8" s="290"/>
      <c r="AS8" s="165">
        <v>1</v>
      </c>
      <c r="AT8" s="165" t="s">
        <v>243</v>
      </c>
      <c r="AU8" s="165" t="s">
        <v>231</v>
      </c>
      <c r="AV8" s="165">
        <v>21.859439999999999</v>
      </c>
      <c r="AW8" s="165">
        <v>2.63544</v>
      </c>
      <c r="AX8" s="165">
        <v>0</v>
      </c>
      <c r="AY8" s="165">
        <v>19.224</v>
      </c>
      <c r="AZ8" s="316">
        <f t="shared" ref="AZ8" si="12">AV8-M8</f>
        <v>0.42672999999999917</v>
      </c>
    </row>
    <row r="9" spans="1:246" ht="22.5">
      <c r="A9" s="300"/>
      <c r="B9" s="129">
        <v>2</v>
      </c>
      <c r="C9" s="192" t="s">
        <v>935</v>
      </c>
      <c r="D9" s="129" t="s">
        <v>235</v>
      </c>
      <c r="E9" s="193"/>
      <c r="F9" s="193"/>
      <c r="G9" s="193"/>
      <c r="H9" s="193"/>
      <c r="I9" s="193"/>
      <c r="J9" s="193"/>
      <c r="K9" s="193"/>
      <c r="L9" s="193"/>
      <c r="M9" s="311">
        <f t="shared" ref="M9" si="13">N9+N9*O9/100+P9</f>
        <v>13.108000000000001</v>
      </c>
      <c r="N9" s="311">
        <v>4</v>
      </c>
      <c r="O9" s="311">
        <v>9</v>
      </c>
      <c r="P9" s="311">
        <v>8.7479999999999993</v>
      </c>
      <c r="Q9" s="139">
        <f t="shared" ref="Q9" si="14">E9*$M9</f>
        <v>0</v>
      </c>
      <c r="R9" s="139">
        <f t="shared" ref="R9" si="15">F9*$M9</f>
        <v>0</v>
      </c>
      <c r="S9" s="139">
        <f t="shared" ref="S9" si="16">G9*$M9</f>
        <v>0</v>
      </c>
      <c r="T9" s="139">
        <f t="shared" ref="T9" si="17">H9*$M9</f>
        <v>0</v>
      </c>
      <c r="U9" s="139">
        <f t="shared" ref="U9:U23" si="18">I9*$M9</f>
        <v>0</v>
      </c>
      <c r="V9" s="139">
        <f t="shared" si="5"/>
        <v>0</v>
      </c>
      <c r="W9" s="139">
        <f t="shared" si="6"/>
        <v>0</v>
      </c>
      <c r="X9" s="139">
        <f t="shared" si="7"/>
        <v>0</v>
      </c>
      <c r="Y9" s="192"/>
      <c r="Z9" s="276"/>
      <c r="AA9" s="276"/>
      <c r="AB9" s="276"/>
      <c r="AC9" s="276"/>
      <c r="AD9" s="276"/>
      <c r="AE9" s="276"/>
      <c r="AF9" s="276"/>
      <c r="AG9" s="276"/>
      <c r="AH9" s="276"/>
      <c r="AI9" s="276"/>
      <c r="AJ9" s="276"/>
      <c r="AK9" s="276"/>
      <c r="AL9" s="276"/>
      <c r="AM9" s="276"/>
      <c r="AN9" s="276"/>
      <c r="AO9" s="276"/>
      <c r="AP9" s="276"/>
      <c r="AQ9" s="290"/>
      <c r="AS9" s="165">
        <v>2</v>
      </c>
      <c r="AT9" s="165" t="s">
        <v>935</v>
      </c>
      <c r="AU9" s="165" t="s">
        <v>235</v>
      </c>
      <c r="AV9" s="165">
        <v>13.108000000000001</v>
      </c>
      <c r="AW9" s="165">
        <v>4</v>
      </c>
      <c r="AX9" s="165">
        <v>9</v>
      </c>
      <c r="AY9" s="165">
        <v>8.7479999999999993</v>
      </c>
      <c r="AZ9" s="316">
        <f t="shared" ref="AZ9:AZ39" si="19">AV9-M9</f>
        <v>0</v>
      </c>
    </row>
    <row r="10" spans="1:246" ht="32.25" customHeight="1">
      <c r="A10" s="300"/>
      <c r="B10" s="129">
        <v>3</v>
      </c>
      <c r="C10" s="192" t="s">
        <v>936</v>
      </c>
      <c r="D10" s="129" t="s">
        <v>231</v>
      </c>
      <c r="E10" s="193"/>
      <c r="F10" s="193"/>
      <c r="G10" s="193"/>
      <c r="H10" s="193"/>
      <c r="I10" s="193"/>
      <c r="J10" s="193"/>
      <c r="K10" s="193"/>
      <c r="L10" s="193"/>
      <c r="M10" s="311">
        <f>N10+N10*O10/100+P10</f>
        <v>93.495999999999995</v>
      </c>
      <c r="N10" s="311">
        <v>20</v>
      </c>
      <c r="O10" s="311">
        <v>10</v>
      </c>
      <c r="P10" s="311">
        <v>71.495999999999995</v>
      </c>
      <c r="Q10" s="139">
        <f t="shared" ref="Q10:T11" si="20">E10*$M10</f>
        <v>0</v>
      </c>
      <c r="R10" s="139">
        <f t="shared" si="20"/>
        <v>0</v>
      </c>
      <c r="S10" s="139">
        <f t="shared" si="20"/>
        <v>0</v>
      </c>
      <c r="T10" s="139">
        <f t="shared" si="20"/>
        <v>0</v>
      </c>
      <c r="U10" s="139">
        <f t="shared" si="18"/>
        <v>0</v>
      </c>
      <c r="V10" s="139">
        <f t="shared" si="5"/>
        <v>0</v>
      </c>
      <c r="W10" s="139">
        <f t="shared" si="6"/>
        <v>0</v>
      </c>
      <c r="X10" s="139">
        <f t="shared" si="7"/>
        <v>0</v>
      </c>
      <c r="Y10" s="192"/>
      <c r="Z10" s="276"/>
      <c r="AA10" s="276"/>
      <c r="AB10" s="276"/>
      <c r="AC10" s="276"/>
      <c r="AD10" s="276"/>
      <c r="AE10" s="276"/>
      <c r="AF10" s="276"/>
      <c r="AG10" s="276"/>
      <c r="AH10" s="276"/>
      <c r="AI10" s="276"/>
      <c r="AJ10" s="276"/>
      <c r="AK10" s="276"/>
      <c r="AL10" s="276"/>
      <c r="AM10" s="276"/>
      <c r="AN10" s="276"/>
      <c r="AO10" s="276"/>
      <c r="AP10" s="276"/>
      <c r="AQ10" s="290"/>
      <c r="AS10" s="165">
        <v>3</v>
      </c>
      <c r="AT10" s="165" t="s">
        <v>936</v>
      </c>
      <c r="AU10" s="165" t="s">
        <v>231</v>
      </c>
      <c r="AV10" s="165">
        <v>93.495999999999995</v>
      </c>
      <c r="AW10" s="165">
        <v>20</v>
      </c>
      <c r="AX10" s="165">
        <v>10</v>
      </c>
      <c r="AY10" s="165">
        <v>71.495999999999995</v>
      </c>
      <c r="AZ10" s="316">
        <f t="shared" si="19"/>
        <v>0</v>
      </c>
    </row>
    <row r="11" spans="1:246" ht="32.25" customHeight="1">
      <c r="A11" s="300"/>
      <c r="B11" s="129">
        <v>4</v>
      </c>
      <c r="C11" s="192" t="s">
        <v>978</v>
      </c>
      <c r="D11" s="129" t="s">
        <v>231</v>
      </c>
      <c r="E11" s="193"/>
      <c r="F11" s="193"/>
      <c r="G11" s="193"/>
      <c r="H11" s="193"/>
      <c r="I11" s="193"/>
      <c r="J11" s="193"/>
      <c r="K11" s="193"/>
      <c r="L11" s="193"/>
      <c r="M11" s="311">
        <f>N11+N11*O11/100+P11</f>
        <v>84.64</v>
      </c>
      <c r="N11" s="311">
        <v>20</v>
      </c>
      <c r="O11" s="311">
        <v>10</v>
      </c>
      <c r="P11" s="311">
        <v>62.64</v>
      </c>
      <c r="Q11" s="139">
        <f t="shared" si="20"/>
        <v>0</v>
      </c>
      <c r="R11" s="139">
        <f t="shared" si="20"/>
        <v>0</v>
      </c>
      <c r="S11" s="139">
        <f t="shared" si="20"/>
        <v>0</v>
      </c>
      <c r="T11" s="139">
        <f t="shared" si="20"/>
        <v>0</v>
      </c>
      <c r="U11" s="139">
        <f t="shared" si="18"/>
        <v>0</v>
      </c>
      <c r="V11" s="139">
        <f t="shared" si="5"/>
        <v>0</v>
      </c>
      <c r="W11" s="139">
        <f t="shared" si="6"/>
        <v>0</v>
      </c>
      <c r="X11" s="139">
        <f t="shared" si="7"/>
        <v>0</v>
      </c>
      <c r="Y11" s="192"/>
      <c r="Z11" s="276"/>
      <c r="AA11" s="276"/>
      <c r="AB11" s="276"/>
      <c r="AC11" s="276"/>
      <c r="AD11" s="276"/>
      <c r="AE11" s="276"/>
      <c r="AF11" s="276"/>
      <c r="AG11" s="276"/>
      <c r="AH11" s="276"/>
      <c r="AI11" s="276"/>
      <c r="AJ11" s="276"/>
      <c r="AK11" s="276"/>
      <c r="AL11" s="276"/>
      <c r="AM11" s="276"/>
      <c r="AN11" s="276"/>
      <c r="AO11" s="276"/>
      <c r="AP11" s="276"/>
      <c r="AQ11" s="290"/>
      <c r="AS11" s="165">
        <v>4</v>
      </c>
      <c r="AT11" s="165" t="s">
        <v>978</v>
      </c>
      <c r="AU11" s="165" t="s">
        <v>231</v>
      </c>
      <c r="AV11" s="165">
        <v>84.64</v>
      </c>
      <c r="AW11" s="165">
        <v>20</v>
      </c>
      <c r="AX11" s="165">
        <v>10</v>
      </c>
      <c r="AY11" s="165">
        <v>62.64</v>
      </c>
      <c r="AZ11" s="316">
        <f t="shared" si="19"/>
        <v>0</v>
      </c>
    </row>
    <row r="12" spans="1:246" ht="27.75" customHeight="1">
      <c r="A12" s="300" t="s">
        <v>979</v>
      </c>
      <c r="B12" s="129" t="s">
        <v>278</v>
      </c>
      <c r="C12" s="268" t="s">
        <v>980</v>
      </c>
      <c r="D12" s="129" t="s">
        <v>235</v>
      </c>
      <c r="E12" s="193">
        <v>1</v>
      </c>
      <c r="F12" s="193">
        <v>1</v>
      </c>
      <c r="G12" s="193">
        <v>1</v>
      </c>
      <c r="H12" s="193">
        <f t="shared" ref="H12" si="21">SUBTOTAL(9,E12:G12)</f>
        <v>3</v>
      </c>
      <c r="I12" s="193">
        <f t="shared" ref="I12" si="22">SUBTOTAL(9,F12:H12)</f>
        <v>2</v>
      </c>
      <c r="J12" s="193">
        <f t="shared" ref="J12" si="23">SUBTOTAL(9,G12:I12)</f>
        <v>1</v>
      </c>
      <c r="K12" s="193">
        <f t="shared" ref="K12" si="24">SUBTOTAL(9,H12:J12)</f>
        <v>0</v>
      </c>
      <c r="L12" s="193">
        <f t="shared" ref="L12" si="25">SUBTOTAL(9,I12:K12)</f>
        <v>0</v>
      </c>
      <c r="M12" s="311">
        <f t="shared" ref="M12" si="26">N12+N12*O12/100+P12</f>
        <v>14.205000000000002</v>
      </c>
      <c r="N12" s="311">
        <v>4.5</v>
      </c>
      <c r="O12" s="311">
        <v>9</v>
      </c>
      <c r="P12" s="311">
        <v>9.3000000000000007</v>
      </c>
      <c r="Q12" s="139">
        <f t="shared" ref="Q12" si="27">E12*$M12</f>
        <v>14.205000000000002</v>
      </c>
      <c r="R12" s="139">
        <f t="shared" ref="R12" si="28">F12*$M12</f>
        <v>14.205000000000002</v>
      </c>
      <c r="S12" s="139">
        <f t="shared" ref="S12" si="29">G12*$M12</f>
        <v>14.205000000000002</v>
      </c>
      <c r="T12" s="139">
        <f t="shared" ref="T12" si="30">H12*$M12</f>
        <v>42.615000000000009</v>
      </c>
      <c r="U12" s="139">
        <f t="shared" si="18"/>
        <v>28.410000000000004</v>
      </c>
      <c r="V12" s="139">
        <f t="shared" si="5"/>
        <v>14.205000000000002</v>
      </c>
      <c r="W12" s="139">
        <f t="shared" si="6"/>
        <v>0</v>
      </c>
      <c r="X12" s="139">
        <f t="shared" si="7"/>
        <v>0</v>
      </c>
      <c r="Y12" s="192"/>
      <c r="Z12" s="276"/>
      <c r="AA12" s="276"/>
      <c r="AB12" s="276"/>
      <c r="AC12" s="276"/>
      <c r="AD12" s="276"/>
      <c r="AE12" s="276"/>
      <c r="AF12" s="276"/>
      <c r="AG12" s="276"/>
      <c r="AH12" s="276"/>
      <c r="AI12" s="276"/>
      <c r="AJ12" s="276"/>
      <c r="AK12" s="276"/>
      <c r="AL12" s="276"/>
      <c r="AM12" s="276"/>
      <c r="AN12" s="276"/>
      <c r="AO12" s="276"/>
      <c r="AP12" s="276"/>
      <c r="AQ12" s="290"/>
      <c r="AZ12" s="316">
        <f t="shared" si="19"/>
        <v>-14.205000000000002</v>
      </c>
    </row>
    <row r="13" spans="1:246" ht="27.75" hidden="1" customHeight="1">
      <c r="A13" s="300" t="s">
        <v>979</v>
      </c>
      <c r="B13" s="129" t="s">
        <v>278</v>
      </c>
      <c r="C13" s="268" t="s">
        <v>981</v>
      </c>
      <c r="D13" s="129" t="s">
        <v>235</v>
      </c>
      <c r="E13" s="193">
        <v>1</v>
      </c>
      <c r="F13" s="193">
        <v>1</v>
      </c>
      <c r="G13" s="193">
        <v>1</v>
      </c>
      <c r="H13" s="193">
        <f>SUBTOTAL(9,E13:G13)</f>
        <v>0</v>
      </c>
      <c r="I13" s="193">
        <f>SUBTOTAL(9,F13:H13)</f>
        <v>0</v>
      </c>
      <c r="J13" s="193">
        <f>SUBTOTAL(9,G13:I13)</f>
        <v>0</v>
      </c>
      <c r="K13" s="193">
        <f>SUBTOTAL(9,H13:J13)</f>
        <v>0</v>
      </c>
      <c r="L13" s="193">
        <f>SUBTOTAL(9,I13:K13)</f>
        <v>0</v>
      </c>
      <c r="M13" s="311">
        <f t="shared" ref="M13:M20" si="31">N13+N13*O13/100+P13</f>
        <v>15.288</v>
      </c>
      <c r="N13" s="311">
        <v>6</v>
      </c>
      <c r="O13" s="311">
        <v>9</v>
      </c>
      <c r="P13" s="311">
        <v>8.7479999999999993</v>
      </c>
      <c r="Q13" s="139">
        <f t="shared" ref="Q13:T20" si="32">E13*$M13</f>
        <v>15.288</v>
      </c>
      <c r="R13" s="139">
        <f t="shared" si="32"/>
        <v>15.288</v>
      </c>
      <c r="S13" s="139">
        <f t="shared" si="32"/>
        <v>15.288</v>
      </c>
      <c r="T13" s="139">
        <f t="shared" si="32"/>
        <v>0</v>
      </c>
      <c r="U13" s="139">
        <f t="shared" si="18"/>
        <v>0</v>
      </c>
      <c r="V13" s="139">
        <f t="shared" si="5"/>
        <v>0</v>
      </c>
      <c r="W13" s="139">
        <f t="shared" si="6"/>
        <v>0</v>
      </c>
      <c r="X13" s="139">
        <f t="shared" si="7"/>
        <v>0</v>
      </c>
      <c r="Y13" s="192"/>
      <c r="Z13" s="276"/>
      <c r="AA13" s="276"/>
      <c r="AB13" s="276"/>
      <c r="AC13" s="276"/>
      <c r="AD13" s="276"/>
      <c r="AE13" s="276"/>
      <c r="AF13" s="276"/>
      <c r="AG13" s="276"/>
      <c r="AH13" s="276"/>
      <c r="AI13" s="276"/>
      <c r="AJ13" s="276"/>
      <c r="AK13" s="276"/>
      <c r="AL13" s="276"/>
      <c r="AM13" s="276"/>
      <c r="AN13" s="276"/>
      <c r="AO13" s="276"/>
      <c r="AP13" s="276"/>
      <c r="AQ13" s="290"/>
      <c r="AZ13" s="316">
        <f t="shared" si="19"/>
        <v>-15.288</v>
      </c>
    </row>
    <row r="14" spans="1:246" ht="24.75" hidden="1" customHeight="1">
      <c r="A14" s="300"/>
      <c r="B14" s="197" t="s">
        <v>60</v>
      </c>
      <c r="C14" s="195" t="s">
        <v>247</v>
      </c>
      <c r="D14" s="129"/>
      <c r="E14" s="303"/>
      <c r="F14" s="193"/>
      <c r="G14" s="193"/>
      <c r="H14" s="193"/>
      <c r="I14" s="193"/>
      <c r="J14" s="193"/>
      <c r="K14" s="193"/>
      <c r="L14" s="193"/>
      <c r="M14" s="311">
        <f t="shared" si="31"/>
        <v>0</v>
      </c>
      <c r="N14" s="311"/>
      <c r="O14" s="311"/>
      <c r="P14" s="311"/>
      <c r="Q14" s="139">
        <f t="shared" si="32"/>
        <v>0</v>
      </c>
      <c r="R14" s="139">
        <f t="shared" si="32"/>
        <v>0</v>
      </c>
      <c r="S14" s="139">
        <f t="shared" si="32"/>
        <v>0</v>
      </c>
      <c r="T14" s="139">
        <f t="shared" si="32"/>
        <v>0</v>
      </c>
      <c r="U14" s="139">
        <f t="shared" si="18"/>
        <v>0</v>
      </c>
      <c r="V14" s="139">
        <f t="shared" si="5"/>
        <v>0</v>
      </c>
      <c r="W14" s="139">
        <f t="shared" si="6"/>
        <v>0</v>
      </c>
      <c r="X14" s="139">
        <f t="shared" si="7"/>
        <v>0</v>
      </c>
      <c r="Y14" s="192"/>
      <c r="Z14" s="276"/>
      <c r="AA14" s="276"/>
      <c r="AB14" s="276"/>
      <c r="AC14" s="276"/>
      <c r="AD14" s="276"/>
      <c r="AE14" s="276"/>
      <c r="AF14" s="276"/>
      <c r="AG14" s="276"/>
      <c r="AH14" s="276"/>
      <c r="AI14" s="276"/>
      <c r="AJ14" s="276"/>
      <c r="AK14" s="276"/>
      <c r="AL14" s="276"/>
      <c r="AM14" s="276"/>
      <c r="AN14" s="276"/>
      <c r="AO14" s="276"/>
      <c r="AP14" s="276"/>
      <c r="AQ14" s="290"/>
      <c r="AS14" s="165" t="s">
        <v>60</v>
      </c>
      <c r="AT14" s="165" t="s">
        <v>247</v>
      </c>
      <c r="AU14" s="165"/>
      <c r="AV14" s="165">
        <v>0</v>
      </c>
      <c r="AW14" s="165"/>
      <c r="AX14" s="165"/>
      <c r="AY14" s="165"/>
      <c r="AZ14" s="316">
        <f t="shared" si="19"/>
        <v>0</v>
      </c>
    </row>
    <row r="15" spans="1:246" ht="33.75" hidden="1">
      <c r="A15" s="300"/>
      <c r="B15" s="129">
        <v>1</v>
      </c>
      <c r="C15" s="192" t="s">
        <v>982</v>
      </c>
      <c r="D15" s="129" t="s">
        <v>231</v>
      </c>
      <c r="E15" s="193"/>
      <c r="F15" s="193"/>
      <c r="G15" s="193"/>
      <c r="H15" s="193"/>
      <c r="I15" s="193"/>
      <c r="J15" s="193"/>
      <c r="K15" s="193"/>
      <c r="L15" s="193"/>
      <c r="M15" s="311">
        <f t="shared" si="31"/>
        <v>123.89444444444445</v>
      </c>
      <c r="N15" s="311">
        <f>'大堂(新标)'!N128</f>
        <v>69.444444444444443</v>
      </c>
      <c r="O15" s="311">
        <v>9</v>
      </c>
      <c r="P15" s="311">
        <v>48.2</v>
      </c>
      <c r="Q15" s="139">
        <f t="shared" si="32"/>
        <v>0</v>
      </c>
      <c r="R15" s="139">
        <f t="shared" si="32"/>
        <v>0</v>
      </c>
      <c r="S15" s="139">
        <f t="shared" si="32"/>
        <v>0</v>
      </c>
      <c r="T15" s="139">
        <f t="shared" si="32"/>
        <v>0</v>
      </c>
      <c r="U15" s="139">
        <f t="shared" si="18"/>
        <v>0</v>
      </c>
      <c r="V15" s="139">
        <f t="shared" si="5"/>
        <v>0</v>
      </c>
      <c r="W15" s="139">
        <f t="shared" si="6"/>
        <v>0</v>
      </c>
      <c r="X15" s="139">
        <f t="shared" si="7"/>
        <v>0</v>
      </c>
      <c r="Y15" s="192" t="s">
        <v>244</v>
      </c>
      <c r="Z15" s="276">
        <f>Q15</f>
        <v>0</v>
      </c>
      <c r="AA15" s="276">
        <f t="shared" ref="AA15" si="33">R15</f>
        <v>0</v>
      </c>
      <c r="AB15" s="276">
        <f t="shared" ref="AB15:AG16" si="34">S15</f>
        <v>0</v>
      </c>
      <c r="AC15" s="276">
        <f t="shared" si="34"/>
        <v>0</v>
      </c>
      <c r="AD15" s="276">
        <f t="shared" si="34"/>
        <v>0</v>
      </c>
      <c r="AE15" s="276">
        <f t="shared" si="34"/>
        <v>0</v>
      </c>
      <c r="AF15" s="276">
        <f t="shared" si="34"/>
        <v>0</v>
      </c>
      <c r="AG15" s="276">
        <f t="shared" si="34"/>
        <v>0</v>
      </c>
      <c r="AH15" s="276"/>
      <c r="AI15" s="276">
        <f>E15*$N15*(1+$O15%)</f>
        <v>0</v>
      </c>
      <c r="AJ15" s="276">
        <f t="shared" ref="AJ15" si="35">F15*$N15*(1+$O15%)</f>
        <v>0</v>
      </c>
      <c r="AK15" s="276">
        <f t="shared" ref="AK15:AP16" si="36">G15*$N15*(1+$O15%)</f>
        <v>0</v>
      </c>
      <c r="AL15" s="276">
        <f t="shared" si="36"/>
        <v>0</v>
      </c>
      <c r="AM15" s="276">
        <f t="shared" si="36"/>
        <v>0</v>
      </c>
      <c r="AN15" s="276">
        <f t="shared" si="36"/>
        <v>0</v>
      </c>
      <c r="AO15" s="276">
        <f t="shared" si="36"/>
        <v>0</v>
      </c>
      <c r="AP15" s="276">
        <f t="shared" si="36"/>
        <v>0</v>
      </c>
      <c r="AQ15" s="290"/>
      <c r="AS15" s="165">
        <v>1</v>
      </c>
      <c r="AT15" s="165" t="s">
        <v>982</v>
      </c>
      <c r="AU15" s="165" t="s">
        <v>231</v>
      </c>
      <c r="AV15" s="165">
        <v>123.89444444444401</v>
      </c>
      <c r="AW15" s="165">
        <v>69.4444444444444</v>
      </c>
      <c r="AX15" s="165">
        <v>9</v>
      </c>
      <c r="AY15" s="165">
        <v>48.2</v>
      </c>
      <c r="AZ15" s="316">
        <f t="shared" si="19"/>
        <v>-4.4053649617126212E-13</v>
      </c>
    </row>
    <row r="16" spans="1:246" ht="41.25" hidden="1" customHeight="1">
      <c r="A16" s="300"/>
      <c r="B16" s="129">
        <v>2</v>
      </c>
      <c r="C16" s="192" t="s">
        <v>983</v>
      </c>
      <c r="D16" s="129" t="s">
        <v>231</v>
      </c>
      <c r="E16" s="193"/>
      <c r="F16" s="193"/>
      <c r="G16" s="193"/>
      <c r="H16" s="193"/>
      <c r="I16" s="193"/>
      <c r="J16" s="193"/>
      <c r="K16" s="193"/>
      <c r="L16" s="193"/>
      <c r="M16" s="311">
        <f t="shared" si="31"/>
        <v>123.89444444444445</v>
      </c>
      <c r="N16" s="311">
        <f>'大堂(新标)'!N41</f>
        <v>69.444444444444443</v>
      </c>
      <c r="O16" s="311">
        <v>9</v>
      </c>
      <c r="P16" s="311">
        <v>48.2</v>
      </c>
      <c r="Q16" s="139">
        <f t="shared" si="32"/>
        <v>0</v>
      </c>
      <c r="R16" s="139">
        <f t="shared" si="32"/>
        <v>0</v>
      </c>
      <c r="S16" s="139">
        <f t="shared" si="32"/>
        <v>0</v>
      </c>
      <c r="T16" s="139">
        <f t="shared" si="32"/>
        <v>0</v>
      </c>
      <c r="U16" s="139">
        <f t="shared" si="18"/>
        <v>0</v>
      </c>
      <c r="V16" s="139">
        <f t="shared" si="5"/>
        <v>0</v>
      </c>
      <c r="W16" s="139">
        <f t="shared" si="6"/>
        <v>0</v>
      </c>
      <c r="X16" s="139">
        <f t="shared" si="7"/>
        <v>0</v>
      </c>
      <c r="Y16" s="192" t="s">
        <v>244</v>
      </c>
      <c r="Z16" s="276">
        <f>Q16</f>
        <v>0</v>
      </c>
      <c r="AA16" s="276">
        <f>R16</f>
        <v>0</v>
      </c>
      <c r="AB16" s="276">
        <f t="shared" si="34"/>
        <v>0</v>
      </c>
      <c r="AC16" s="276">
        <f t="shared" si="34"/>
        <v>0</v>
      </c>
      <c r="AD16" s="276">
        <f t="shared" si="34"/>
        <v>0</v>
      </c>
      <c r="AE16" s="276">
        <f t="shared" si="34"/>
        <v>0</v>
      </c>
      <c r="AF16" s="276">
        <f t="shared" si="34"/>
        <v>0</v>
      </c>
      <c r="AG16" s="276">
        <f t="shared" si="34"/>
        <v>0</v>
      </c>
      <c r="AH16" s="276"/>
      <c r="AI16" s="276">
        <f>E16*$N16*(1+$O16%)</f>
        <v>0</v>
      </c>
      <c r="AJ16" s="276">
        <f>F16*$N16*(1+$O16%)</f>
        <v>0</v>
      </c>
      <c r="AK16" s="276">
        <f t="shared" si="36"/>
        <v>0</v>
      </c>
      <c r="AL16" s="276">
        <f t="shared" si="36"/>
        <v>0</v>
      </c>
      <c r="AM16" s="276">
        <f t="shared" si="36"/>
        <v>0</v>
      </c>
      <c r="AN16" s="276">
        <f t="shared" si="36"/>
        <v>0</v>
      </c>
      <c r="AO16" s="276">
        <f t="shared" si="36"/>
        <v>0</v>
      </c>
      <c r="AP16" s="276">
        <f t="shared" si="36"/>
        <v>0</v>
      </c>
      <c r="AQ16" s="290"/>
      <c r="AS16" s="165">
        <v>2</v>
      </c>
      <c r="AT16" s="165" t="s">
        <v>983</v>
      </c>
      <c r="AU16" s="165" t="s">
        <v>231</v>
      </c>
      <c r="AV16" s="165">
        <v>123.89444444444401</v>
      </c>
      <c r="AW16" s="165">
        <v>69.4444444444444</v>
      </c>
      <c r="AX16" s="165">
        <v>9</v>
      </c>
      <c r="AY16" s="165">
        <v>48.2</v>
      </c>
      <c r="AZ16" s="316">
        <f t="shared" si="19"/>
        <v>-4.4053649617126212E-13</v>
      </c>
    </row>
    <row r="17" spans="1:52" ht="28.5" hidden="1" customHeight="1">
      <c r="A17" s="300"/>
      <c r="B17" s="129">
        <v>3</v>
      </c>
      <c r="C17" s="192" t="s">
        <v>630</v>
      </c>
      <c r="D17" s="129" t="s">
        <v>231</v>
      </c>
      <c r="E17" s="202"/>
      <c r="F17" s="193"/>
      <c r="G17" s="193"/>
      <c r="H17" s="193"/>
      <c r="I17" s="193"/>
      <c r="J17" s="193"/>
      <c r="K17" s="193"/>
      <c r="L17" s="193"/>
      <c r="M17" s="311">
        <f t="shared" si="31"/>
        <v>648.5</v>
      </c>
      <c r="N17" s="311">
        <v>530</v>
      </c>
      <c r="O17" s="311">
        <v>3</v>
      </c>
      <c r="P17" s="311">
        <v>102.6</v>
      </c>
      <c r="Q17" s="139">
        <f t="shared" si="32"/>
        <v>0</v>
      </c>
      <c r="R17" s="139">
        <f t="shared" si="32"/>
        <v>0</v>
      </c>
      <c r="S17" s="139">
        <f t="shared" si="32"/>
        <v>0</v>
      </c>
      <c r="T17" s="139">
        <f t="shared" si="32"/>
        <v>0</v>
      </c>
      <c r="U17" s="139">
        <f t="shared" si="18"/>
        <v>0</v>
      </c>
      <c r="V17" s="139">
        <f t="shared" si="5"/>
        <v>0</v>
      </c>
      <c r="W17" s="139">
        <f t="shared" si="6"/>
        <v>0</v>
      </c>
      <c r="X17" s="139">
        <f t="shared" si="7"/>
        <v>0</v>
      </c>
      <c r="Y17" s="314"/>
      <c r="Z17" s="276"/>
      <c r="AA17" s="276"/>
      <c r="AB17" s="276"/>
      <c r="AC17" s="276"/>
      <c r="AD17" s="276"/>
      <c r="AE17" s="276"/>
      <c r="AF17" s="276"/>
      <c r="AG17" s="276"/>
      <c r="AH17" s="276"/>
      <c r="AI17" s="276"/>
      <c r="AJ17" s="276"/>
      <c r="AK17" s="276"/>
      <c r="AL17" s="276"/>
      <c r="AM17" s="276"/>
      <c r="AN17" s="276"/>
      <c r="AO17" s="276"/>
      <c r="AP17" s="276"/>
      <c r="AQ17" s="290"/>
      <c r="AS17" s="165">
        <v>3</v>
      </c>
      <c r="AT17" s="165" t="s">
        <v>630</v>
      </c>
      <c r="AU17" s="165" t="s">
        <v>231</v>
      </c>
      <c r="AV17" s="165">
        <v>648.5</v>
      </c>
      <c r="AW17" s="165">
        <v>530</v>
      </c>
      <c r="AX17" s="165">
        <v>3</v>
      </c>
      <c r="AY17" s="165">
        <v>102.6</v>
      </c>
      <c r="AZ17" s="316">
        <f t="shared" si="19"/>
        <v>0</v>
      </c>
    </row>
    <row r="18" spans="1:52" ht="28.5" hidden="1" customHeight="1">
      <c r="A18" s="300"/>
      <c r="B18" s="129">
        <v>4</v>
      </c>
      <c r="C18" s="192" t="s">
        <v>629</v>
      </c>
      <c r="D18" s="129" t="s">
        <v>231</v>
      </c>
      <c r="E18" s="193"/>
      <c r="F18" s="193"/>
      <c r="G18" s="193"/>
      <c r="H18" s="193"/>
      <c r="I18" s="193"/>
      <c r="J18" s="193"/>
      <c r="K18" s="193"/>
      <c r="L18" s="193"/>
      <c r="M18" s="311">
        <f t="shared" si="31"/>
        <v>686.3</v>
      </c>
      <c r="N18" s="311">
        <v>530</v>
      </c>
      <c r="O18" s="311">
        <v>3</v>
      </c>
      <c r="P18" s="311">
        <v>140.4</v>
      </c>
      <c r="Q18" s="139">
        <f t="shared" si="32"/>
        <v>0</v>
      </c>
      <c r="R18" s="139">
        <f t="shared" si="32"/>
        <v>0</v>
      </c>
      <c r="S18" s="139">
        <f t="shared" si="32"/>
        <v>0</v>
      </c>
      <c r="T18" s="139">
        <f t="shared" si="32"/>
        <v>0</v>
      </c>
      <c r="U18" s="139">
        <f t="shared" si="18"/>
        <v>0</v>
      </c>
      <c r="V18" s="139">
        <f t="shared" si="5"/>
        <v>0</v>
      </c>
      <c r="W18" s="139">
        <f t="shared" si="6"/>
        <v>0</v>
      </c>
      <c r="X18" s="139">
        <f t="shared" si="7"/>
        <v>0</v>
      </c>
      <c r="Y18" s="314"/>
      <c r="Z18" s="276"/>
      <c r="AA18" s="276"/>
      <c r="AB18" s="276"/>
      <c r="AC18" s="276"/>
      <c r="AD18" s="276"/>
      <c r="AE18" s="276"/>
      <c r="AF18" s="276"/>
      <c r="AG18" s="276"/>
      <c r="AH18" s="276"/>
      <c r="AI18" s="276"/>
      <c r="AJ18" s="276"/>
      <c r="AK18" s="276"/>
      <c r="AL18" s="276"/>
      <c r="AM18" s="276"/>
      <c r="AN18" s="276"/>
      <c r="AO18" s="276"/>
      <c r="AP18" s="276"/>
      <c r="AQ18" s="290"/>
      <c r="AS18" s="165">
        <v>4</v>
      </c>
      <c r="AT18" s="165" t="s">
        <v>629</v>
      </c>
      <c r="AU18" s="165" t="s">
        <v>231</v>
      </c>
      <c r="AV18" s="165">
        <v>686.3</v>
      </c>
      <c r="AW18" s="165">
        <v>530</v>
      </c>
      <c r="AX18" s="165">
        <v>3</v>
      </c>
      <c r="AY18" s="165">
        <v>140.4</v>
      </c>
      <c r="AZ18" s="316">
        <f t="shared" si="19"/>
        <v>0</v>
      </c>
    </row>
    <row r="19" spans="1:52" ht="28.5" hidden="1" customHeight="1">
      <c r="A19" s="300"/>
      <c r="B19" s="129">
        <v>5</v>
      </c>
      <c r="C19" s="192" t="s">
        <v>832</v>
      </c>
      <c r="D19" s="129" t="s">
        <v>231</v>
      </c>
      <c r="E19" s="193"/>
      <c r="F19" s="193"/>
      <c r="G19" s="193"/>
      <c r="H19" s="193"/>
      <c r="I19" s="193"/>
      <c r="J19" s="193"/>
      <c r="K19" s="193"/>
      <c r="L19" s="193"/>
      <c r="M19" s="311">
        <f t="shared" si="31"/>
        <v>751.09999999999991</v>
      </c>
      <c r="N19" s="311">
        <v>530</v>
      </c>
      <c r="O19" s="311">
        <v>3</v>
      </c>
      <c r="P19" s="311">
        <v>205.2</v>
      </c>
      <c r="Q19" s="139">
        <f t="shared" si="32"/>
        <v>0</v>
      </c>
      <c r="R19" s="139">
        <f t="shared" si="32"/>
        <v>0</v>
      </c>
      <c r="S19" s="139">
        <f t="shared" si="32"/>
        <v>0</v>
      </c>
      <c r="T19" s="139">
        <f t="shared" si="32"/>
        <v>0</v>
      </c>
      <c r="U19" s="139">
        <f t="shared" si="18"/>
        <v>0</v>
      </c>
      <c r="V19" s="139">
        <f t="shared" si="5"/>
        <v>0</v>
      </c>
      <c r="W19" s="139">
        <f t="shared" si="6"/>
        <v>0</v>
      </c>
      <c r="X19" s="139">
        <f t="shared" si="7"/>
        <v>0</v>
      </c>
      <c r="Y19" s="314"/>
      <c r="Z19" s="276"/>
      <c r="AA19" s="276"/>
      <c r="AB19" s="276"/>
      <c r="AC19" s="276"/>
      <c r="AD19" s="276"/>
      <c r="AE19" s="276"/>
      <c r="AF19" s="276"/>
      <c r="AG19" s="276"/>
      <c r="AH19" s="276"/>
      <c r="AI19" s="276"/>
      <c r="AJ19" s="276"/>
      <c r="AK19" s="276"/>
      <c r="AL19" s="276"/>
      <c r="AM19" s="276"/>
      <c r="AN19" s="276"/>
      <c r="AO19" s="276"/>
      <c r="AP19" s="276"/>
      <c r="AQ19" s="290"/>
      <c r="AS19" s="165">
        <v>5</v>
      </c>
      <c r="AT19" s="165" t="s">
        <v>832</v>
      </c>
      <c r="AU19" s="165" t="s">
        <v>231</v>
      </c>
      <c r="AV19" s="165">
        <v>751.1</v>
      </c>
      <c r="AW19" s="165">
        <v>530</v>
      </c>
      <c r="AX19" s="165">
        <v>3</v>
      </c>
      <c r="AY19" s="165">
        <v>205.2</v>
      </c>
      <c r="AZ19" s="316">
        <f t="shared" si="19"/>
        <v>0</v>
      </c>
    </row>
    <row r="20" spans="1:52" ht="28.5" hidden="1" customHeight="1">
      <c r="A20" s="300"/>
      <c r="B20" s="129">
        <v>6</v>
      </c>
      <c r="C20" s="192" t="s">
        <v>940</v>
      </c>
      <c r="D20" s="129" t="s">
        <v>231</v>
      </c>
      <c r="E20" s="193"/>
      <c r="F20" s="193"/>
      <c r="G20" s="193"/>
      <c r="H20" s="193"/>
      <c r="I20" s="193"/>
      <c r="J20" s="193"/>
      <c r="K20" s="193"/>
      <c r="L20" s="193"/>
      <c r="M20" s="311">
        <f t="shared" si="31"/>
        <v>799.6</v>
      </c>
      <c r="N20" s="311">
        <v>640</v>
      </c>
      <c r="O20" s="311">
        <v>3</v>
      </c>
      <c r="P20" s="311">
        <v>140.4</v>
      </c>
      <c r="Q20" s="139">
        <f t="shared" si="32"/>
        <v>0</v>
      </c>
      <c r="R20" s="139">
        <f t="shared" si="32"/>
        <v>0</v>
      </c>
      <c r="S20" s="139">
        <f t="shared" si="32"/>
        <v>0</v>
      </c>
      <c r="T20" s="139">
        <f t="shared" si="32"/>
        <v>0</v>
      </c>
      <c r="U20" s="139">
        <f t="shared" si="18"/>
        <v>0</v>
      </c>
      <c r="V20" s="139">
        <f t="shared" si="5"/>
        <v>0</v>
      </c>
      <c r="W20" s="139">
        <f t="shared" si="6"/>
        <v>0</v>
      </c>
      <c r="X20" s="139">
        <f t="shared" si="7"/>
        <v>0</v>
      </c>
      <c r="Y20" s="196"/>
      <c r="Z20" s="276"/>
      <c r="AA20" s="276"/>
      <c r="AB20" s="276"/>
      <c r="AC20" s="276"/>
      <c r="AD20" s="276"/>
      <c r="AE20" s="276"/>
      <c r="AF20" s="276"/>
      <c r="AG20" s="276"/>
      <c r="AH20" s="276"/>
      <c r="AI20" s="276"/>
      <c r="AJ20" s="276"/>
      <c r="AK20" s="276"/>
      <c r="AL20" s="276"/>
      <c r="AM20" s="276"/>
      <c r="AN20" s="276"/>
      <c r="AO20" s="276"/>
      <c r="AP20" s="276"/>
      <c r="AQ20" s="290"/>
      <c r="AS20" s="165">
        <v>6</v>
      </c>
      <c r="AT20" s="165" t="s">
        <v>940</v>
      </c>
      <c r="AU20" s="165" t="s">
        <v>231</v>
      </c>
      <c r="AV20" s="165">
        <v>799.6</v>
      </c>
      <c r="AW20" s="165">
        <v>640</v>
      </c>
      <c r="AX20" s="165">
        <v>3</v>
      </c>
      <c r="AY20" s="165">
        <v>140.4</v>
      </c>
      <c r="AZ20" s="316">
        <f t="shared" si="19"/>
        <v>0</v>
      </c>
    </row>
    <row r="21" spans="1:52" ht="28.5" hidden="1" customHeight="1">
      <c r="A21" s="300" t="s">
        <v>278</v>
      </c>
      <c r="B21" s="129" t="s">
        <v>233</v>
      </c>
      <c r="C21" s="192" t="s">
        <v>632</v>
      </c>
      <c r="D21" s="129" t="s">
        <v>231</v>
      </c>
      <c r="E21" s="202"/>
      <c r="F21" s="193"/>
      <c r="G21" s="193"/>
      <c r="H21" s="193"/>
      <c r="I21" s="193"/>
      <c r="J21" s="193"/>
      <c r="K21" s="193"/>
      <c r="L21" s="193"/>
      <c r="M21" s="311">
        <f t="shared" ref="M21" si="37">N21+N21*O21/100+P21</f>
        <v>411.6</v>
      </c>
      <c r="N21" s="311">
        <v>300</v>
      </c>
      <c r="O21" s="311">
        <v>3</v>
      </c>
      <c r="P21" s="311">
        <v>102.6</v>
      </c>
      <c r="Q21" s="139">
        <f t="shared" ref="Q21" si="38">E21*$M21</f>
        <v>0</v>
      </c>
      <c r="R21" s="139">
        <f t="shared" ref="R21" si="39">F21*$M21</f>
        <v>0</v>
      </c>
      <c r="S21" s="139">
        <f t="shared" ref="S21" si="40">G21*$M21</f>
        <v>0</v>
      </c>
      <c r="T21" s="139">
        <f t="shared" ref="T21" si="41">H21*$M21</f>
        <v>0</v>
      </c>
      <c r="U21" s="139">
        <f t="shared" si="18"/>
        <v>0</v>
      </c>
      <c r="V21" s="139">
        <f t="shared" si="5"/>
        <v>0</v>
      </c>
      <c r="W21" s="139">
        <f t="shared" si="6"/>
        <v>0</v>
      </c>
      <c r="X21" s="139">
        <f t="shared" si="7"/>
        <v>0</v>
      </c>
      <c r="Y21" s="314"/>
      <c r="Z21" s="276"/>
      <c r="AA21" s="276"/>
      <c r="AB21" s="276"/>
      <c r="AC21" s="276"/>
      <c r="AD21" s="276"/>
      <c r="AE21" s="276"/>
      <c r="AF21" s="276"/>
      <c r="AG21" s="276"/>
      <c r="AH21" s="276"/>
      <c r="AI21" s="276"/>
      <c r="AJ21" s="276"/>
      <c r="AK21" s="276"/>
      <c r="AL21" s="276"/>
      <c r="AM21" s="276"/>
      <c r="AN21" s="276"/>
      <c r="AO21" s="276"/>
      <c r="AP21" s="276"/>
      <c r="AQ21" s="290"/>
      <c r="AS21" s="165">
        <v>3</v>
      </c>
      <c r="AT21" s="165" t="s">
        <v>630</v>
      </c>
      <c r="AU21" s="165" t="s">
        <v>231</v>
      </c>
      <c r="AV21" s="165">
        <v>648.5</v>
      </c>
      <c r="AW21" s="165">
        <v>530</v>
      </c>
      <c r="AX21" s="165">
        <v>3</v>
      </c>
      <c r="AY21" s="165">
        <v>102.6</v>
      </c>
      <c r="AZ21" s="316">
        <f t="shared" si="19"/>
        <v>236.89999999999998</v>
      </c>
    </row>
    <row r="22" spans="1:52" ht="28.5" hidden="1" customHeight="1">
      <c r="A22" s="300" t="s">
        <v>278</v>
      </c>
      <c r="B22" s="129" t="s">
        <v>233</v>
      </c>
      <c r="C22" s="192" t="s">
        <v>631</v>
      </c>
      <c r="D22" s="129" t="s">
        <v>231</v>
      </c>
      <c r="E22" s="193"/>
      <c r="F22" s="193"/>
      <c r="G22" s="193"/>
      <c r="H22" s="193"/>
      <c r="I22" s="193"/>
      <c r="J22" s="193"/>
      <c r="K22" s="193"/>
      <c r="L22" s="193"/>
      <c r="M22" s="311">
        <f t="shared" ref="M22:M28" si="42">N22+N22*O22/100+P22</f>
        <v>449.4</v>
      </c>
      <c r="N22" s="311">
        <v>300</v>
      </c>
      <c r="O22" s="311">
        <v>3</v>
      </c>
      <c r="P22" s="311">
        <v>140.4</v>
      </c>
      <c r="Q22" s="139">
        <f t="shared" ref="Q22:T28" si="43">E22*$M22</f>
        <v>0</v>
      </c>
      <c r="R22" s="139">
        <f t="shared" si="43"/>
        <v>0</v>
      </c>
      <c r="S22" s="139">
        <f t="shared" si="43"/>
        <v>0</v>
      </c>
      <c r="T22" s="139">
        <f t="shared" si="43"/>
        <v>0</v>
      </c>
      <c r="U22" s="139">
        <f t="shared" si="18"/>
        <v>0</v>
      </c>
      <c r="V22" s="139">
        <f t="shared" si="5"/>
        <v>0</v>
      </c>
      <c r="W22" s="139">
        <f t="shared" si="6"/>
        <v>0</v>
      </c>
      <c r="X22" s="139">
        <f t="shared" si="7"/>
        <v>0</v>
      </c>
      <c r="Y22" s="314"/>
      <c r="Z22" s="276"/>
      <c r="AA22" s="276"/>
      <c r="AB22" s="276"/>
      <c r="AC22" s="276"/>
      <c r="AD22" s="276"/>
      <c r="AE22" s="276"/>
      <c r="AF22" s="276"/>
      <c r="AG22" s="276"/>
      <c r="AH22" s="276"/>
      <c r="AI22" s="276"/>
      <c r="AJ22" s="276"/>
      <c r="AK22" s="276"/>
      <c r="AL22" s="276"/>
      <c r="AM22" s="276"/>
      <c r="AN22" s="276"/>
      <c r="AO22" s="276"/>
      <c r="AP22" s="276"/>
      <c r="AQ22" s="290"/>
      <c r="AS22" s="165">
        <v>4</v>
      </c>
      <c r="AT22" s="165" t="s">
        <v>629</v>
      </c>
      <c r="AU22" s="165" t="s">
        <v>231</v>
      </c>
      <c r="AV22" s="165">
        <v>686.3</v>
      </c>
      <c r="AW22" s="165">
        <v>530</v>
      </c>
      <c r="AX22" s="165">
        <v>3</v>
      </c>
      <c r="AY22" s="165">
        <v>140.4</v>
      </c>
      <c r="AZ22" s="316">
        <f t="shared" si="19"/>
        <v>236.89999999999998</v>
      </c>
    </row>
    <row r="23" spans="1:52" ht="28.5" hidden="1" customHeight="1">
      <c r="A23" s="300" t="s">
        <v>278</v>
      </c>
      <c r="B23" s="129" t="s">
        <v>233</v>
      </c>
      <c r="C23" s="192" t="s">
        <v>833</v>
      </c>
      <c r="D23" s="129" t="s">
        <v>231</v>
      </c>
      <c r="E23" s="193"/>
      <c r="F23" s="193"/>
      <c r="G23" s="193"/>
      <c r="H23" s="193"/>
      <c r="I23" s="193"/>
      <c r="J23" s="193"/>
      <c r="K23" s="193"/>
      <c r="L23" s="193"/>
      <c r="M23" s="311">
        <f t="shared" si="42"/>
        <v>514.20000000000005</v>
      </c>
      <c r="N23" s="311">
        <v>300</v>
      </c>
      <c r="O23" s="311">
        <v>3</v>
      </c>
      <c r="P23" s="311">
        <v>205.2</v>
      </c>
      <c r="Q23" s="139">
        <f t="shared" si="43"/>
        <v>0</v>
      </c>
      <c r="R23" s="139">
        <f t="shared" si="43"/>
        <v>0</v>
      </c>
      <c r="S23" s="139">
        <f t="shared" si="43"/>
        <v>0</v>
      </c>
      <c r="T23" s="139">
        <f t="shared" si="43"/>
        <v>0</v>
      </c>
      <c r="U23" s="139">
        <f t="shared" si="18"/>
        <v>0</v>
      </c>
      <c r="V23" s="139">
        <f t="shared" si="5"/>
        <v>0</v>
      </c>
      <c r="W23" s="139">
        <f t="shared" si="6"/>
        <v>0</v>
      </c>
      <c r="X23" s="139">
        <f t="shared" si="7"/>
        <v>0</v>
      </c>
      <c r="Y23" s="314"/>
      <c r="Z23" s="276"/>
      <c r="AA23" s="276"/>
      <c r="AB23" s="276"/>
      <c r="AC23" s="276"/>
      <c r="AD23" s="276"/>
      <c r="AE23" s="276"/>
      <c r="AF23" s="276"/>
      <c r="AG23" s="276"/>
      <c r="AH23" s="276"/>
      <c r="AI23" s="276"/>
      <c r="AJ23" s="276"/>
      <c r="AK23" s="276"/>
      <c r="AL23" s="276"/>
      <c r="AM23" s="276"/>
      <c r="AN23" s="276"/>
      <c r="AO23" s="276"/>
      <c r="AP23" s="276"/>
      <c r="AQ23" s="290"/>
      <c r="AS23" s="165">
        <v>5</v>
      </c>
      <c r="AT23" s="165" t="s">
        <v>832</v>
      </c>
      <c r="AU23" s="165" t="s">
        <v>231</v>
      </c>
      <c r="AV23" s="165">
        <v>751.1</v>
      </c>
      <c r="AW23" s="165">
        <v>530</v>
      </c>
      <c r="AX23" s="165">
        <v>3</v>
      </c>
      <c r="AY23" s="165">
        <v>205.2</v>
      </c>
      <c r="AZ23" s="316">
        <f t="shared" si="19"/>
        <v>236.89999999999998</v>
      </c>
    </row>
    <row r="24" spans="1:52" ht="28.5" hidden="1" customHeight="1">
      <c r="A24" s="300"/>
      <c r="B24" s="129">
        <v>7</v>
      </c>
      <c r="C24" s="192" t="s">
        <v>836</v>
      </c>
      <c r="D24" s="129" t="s">
        <v>231</v>
      </c>
      <c r="E24" s="202"/>
      <c r="F24" s="193"/>
      <c r="G24" s="193"/>
      <c r="H24" s="193"/>
      <c r="I24" s="193"/>
      <c r="J24" s="193"/>
      <c r="K24" s="193"/>
      <c r="L24" s="193"/>
      <c r="M24" s="311">
        <f t="shared" si="42"/>
        <v>391</v>
      </c>
      <c r="N24" s="311">
        <v>280</v>
      </c>
      <c r="O24" s="311">
        <v>3</v>
      </c>
      <c r="P24" s="311">
        <v>102.6</v>
      </c>
      <c r="Q24" s="139">
        <f t="shared" si="43"/>
        <v>0</v>
      </c>
      <c r="R24" s="139">
        <f t="shared" si="43"/>
        <v>0</v>
      </c>
      <c r="S24" s="139">
        <f t="shared" si="43"/>
        <v>0</v>
      </c>
      <c r="T24" s="139">
        <f t="shared" si="43"/>
        <v>0</v>
      </c>
      <c r="U24" s="139">
        <f t="shared" ref="U24" si="44">I24*$M24</f>
        <v>0</v>
      </c>
      <c r="V24" s="139">
        <f t="shared" ref="V24" si="45">J24*$M24</f>
        <v>0</v>
      </c>
      <c r="W24" s="139">
        <f t="shared" ref="W24" si="46">K24*$M24</f>
        <v>0</v>
      </c>
      <c r="X24" s="139">
        <f t="shared" ref="X24" si="47">L24*$M24</f>
        <v>0</v>
      </c>
      <c r="Y24" s="196"/>
      <c r="Z24" s="276"/>
      <c r="AA24" s="276"/>
      <c r="AB24" s="276"/>
      <c r="AC24" s="276"/>
      <c r="AD24" s="276"/>
      <c r="AE24" s="276"/>
      <c r="AF24" s="276"/>
      <c r="AG24" s="276"/>
      <c r="AH24" s="276"/>
      <c r="AI24" s="276"/>
      <c r="AJ24" s="276"/>
      <c r="AK24" s="276"/>
      <c r="AL24" s="276"/>
      <c r="AM24" s="276"/>
      <c r="AN24" s="276"/>
      <c r="AO24" s="276"/>
      <c r="AP24" s="276"/>
      <c r="AQ24" s="290"/>
      <c r="AS24" s="165">
        <v>7</v>
      </c>
      <c r="AT24" s="165" t="s">
        <v>836</v>
      </c>
      <c r="AU24" s="165" t="s">
        <v>231</v>
      </c>
      <c r="AV24" s="165">
        <v>391</v>
      </c>
      <c r="AW24" s="165">
        <v>280</v>
      </c>
      <c r="AX24" s="165">
        <v>3</v>
      </c>
      <c r="AY24" s="165">
        <v>102.6</v>
      </c>
      <c r="AZ24" s="316">
        <f t="shared" si="19"/>
        <v>0</v>
      </c>
    </row>
    <row r="25" spans="1:52" ht="28.5" hidden="1" customHeight="1">
      <c r="A25" s="300"/>
      <c r="B25" s="129">
        <v>8</v>
      </c>
      <c r="C25" s="192" t="s">
        <v>834</v>
      </c>
      <c r="D25" s="129" t="s">
        <v>231</v>
      </c>
      <c r="E25" s="193"/>
      <c r="F25" s="193"/>
      <c r="G25" s="193"/>
      <c r="H25" s="193"/>
      <c r="I25" s="193"/>
      <c r="J25" s="193"/>
      <c r="K25" s="193"/>
      <c r="L25" s="193"/>
      <c r="M25" s="311">
        <f t="shared" si="42"/>
        <v>428.79999999999995</v>
      </c>
      <c r="N25" s="311">
        <v>280</v>
      </c>
      <c r="O25" s="311">
        <v>3</v>
      </c>
      <c r="P25" s="311">
        <v>140.4</v>
      </c>
      <c r="Q25" s="139">
        <f t="shared" si="43"/>
        <v>0</v>
      </c>
      <c r="R25" s="139">
        <f t="shared" si="43"/>
        <v>0</v>
      </c>
      <c r="S25" s="139">
        <f t="shared" si="43"/>
        <v>0</v>
      </c>
      <c r="T25" s="139">
        <f t="shared" si="43"/>
        <v>0</v>
      </c>
      <c r="U25" s="139">
        <f t="shared" ref="U25:U56" si="48">I25*$M25</f>
        <v>0</v>
      </c>
      <c r="V25" s="139">
        <f t="shared" ref="V25:V56" si="49">J25*$M25</f>
        <v>0</v>
      </c>
      <c r="W25" s="139">
        <f t="shared" ref="W25:W56" si="50">K25*$M25</f>
        <v>0</v>
      </c>
      <c r="X25" s="139">
        <f t="shared" ref="X25:X56" si="51">L25*$M25</f>
        <v>0</v>
      </c>
      <c r="Y25" s="196"/>
      <c r="Z25" s="276"/>
      <c r="AA25" s="276"/>
      <c r="AB25" s="276"/>
      <c r="AC25" s="276"/>
      <c r="AD25" s="276"/>
      <c r="AE25" s="276"/>
      <c r="AF25" s="276"/>
      <c r="AG25" s="276"/>
      <c r="AH25" s="276"/>
      <c r="AI25" s="276"/>
      <c r="AJ25" s="276"/>
      <c r="AK25" s="276"/>
      <c r="AL25" s="276"/>
      <c r="AM25" s="276"/>
      <c r="AN25" s="276"/>
      <c r="AO25" s="276"/>
      <c r="AP25" s="276"/>
      <c r="AQ25" s="290"/>
      <c r="AS25" s="165">
        <v>8</v>
      </c>
      <c r="AT25" s="165" t="s">
        <v>834</v>
      </c>
      <c r="AU25" s="165" t="s">
        <v>231</v>
      </c>
      <c r="AV25" s="165">
        <v>428.8</v>
      </c>
      <c r="AW25" s="165">
        <v>280</v>
      </c>
      <c r="AX25" s="165">
        <v>3</v>
      </c>
      <c r="AY25" s="165">
        <v>140.4</v>
      </c>
      <c r="AZ25" s="316">
        <f t="shared" si="19"/>
        <v>0</v>
      </c>
    </row>
    <row r="26" spans="1:52" ht="28.5" hidden="1" customHeight="1">
      <c r="A26" s="300"/>
      <c r="B26" s="129">
        <v>9</v>
      </c>
      <c r="C26" s="192" t="s">
        <v>838</v>
      </c>
      <c r="D26" s="129" t="s">
        <v>231</v>
      </c>
      <c r="E26" s="193"/>
      <c r="F26" s="193"/>
      <c r="G26" s="193"/>
      <c r="H26" s="193"/>
      <c r="I26" s="193"/>
      <c r="J26" s="193"/>
      <c r="K26" s="193"/>
      <c r="L26" s="193"/>
      <c r="M26" s="311">
        <f t="shared" si="42"/>
        <v>493.59999999999997</v>
      </c>
      <c r="N26" s="311">
        <v>280</v>
      </c>
      <c r="O26" s="311">
        <v>3</v>
      </c>
      <c r="P26" s="311">
        <v>205.2</v>
      </c>
      <c r="Q26" s="139">
        <f t="shared" si="43"/>
        <v>0</v>
      </c>
      <c r="R26" s="139">
        <f t="shared" si="43"/>
        <v>0</v>
      </c>
      <c r="S26" s="139">
        <f t="shared" si="43"/>
        <v>0</v>
      </c>
      <c r="T26" s="139">
        <f t="shared" si="43"/>
        <v>0</v>
      </c>
      <c r="U26" s="139">
        <f t="shared" si="48"/>
        <v>0</v>
      </c>
      <c r="V26" s="139">
        <f t="shared" si="49"/>
        <v>0</v>
      </c>
      <c r="W26" s="139">
        <f t="shared" si="50"/>
        <v>0</v>
      </c>
      <c r="X26" s="139">
        <f t="shared" si="51"/>
        <v>0</v>
      </c>
      <c r="Y26" s="196"/>
      <c r="Z26" s="276"/>
      <c r="AA26" s="276"/>
      <c r="AB26" s="276"/>
      <c r="AC26" s="276"/>
      <c r="AD26" s="276"/>
      <c r="AE26" s="276"/>
      <c r="AF26" s="276"/>
      <c r="AG26" s="276"/>
      <c r="AH26" s="276"/>
      <c r="AI26" s="276"/>
      <c r="AJ26" s="276"/>
      <c r="AK26" s="276"/>
      <c r="AL26" s="276"/>
      <c r="AM26" s="276"/>
      <c r="AN26" s="276"/>
      <c r="AO26" s="276"/>
      <c r="AP26" s="276"/>
      <c r="AQ26" s="290"/>
      <c r="AS26" s="165">
        <v>9</v>
      </c>
      <c r="AT26" s="165" t="s">
        <v>838</v>
      </c>
      <c r="AU26" s="165" t="s">
        <v>231</v>
      </c>
      <c r="AV26" s="165">
        <v>493.6</v>
      </c>
      <c r="AW26" s="165">
        <v>280</v>
      </c>
      <c r="AX26" s="165">
        <v>3</v>
      </c>
      <c r="AY26" s="165">
        <v>205.2</v>
      </c>
      <c r="AZ26" s="316">
        <f t="shared" si="19"/>
        <v>0</v>
      </c>
    </row>
    <row r="27" spans="1:52" ht="28.5" hidden="1" customHeight="1">
      <c r="A27" s="300"/>
      <c r="B27" s="129">
        <v>10</v>
      </c>
      <c r="C27" s="192" t="s">
        <v>984</v>
      </c>
      <c r="D27" s="129" t="s">
        <v>235</v>
      </c>
      <c r="E27" s="303"/>
      <c r="F27" s="193"/>
      <c r="G27" s="193"/>
      <c r="H27" s="193"/>
      <c r="I27" s="193"/>
      <c r="J27" s="193"/>
      <c r="K27" s="193"/>
      <c r="L27" s="193"/>
      <c r="M27" s="311">
        <f t="shared" si="42"/>
        <v>16.052500000000002</v>
      </c>
      <c r="N27" s="311">
        <f>'附件4-8甲供材料清单'!M194</f>
        <v>11.25</v>
      </c>
      <c r="O27" s="311">
        <v>5</v>
      </c>
      <c r="P27" s="311">
        <v>4.24</v>
      </c>
      <c r="Q27" s="139">
        <f t="shared" si="43"/>
        <v>0</v>
      </c>
      <c r="R27" s="139">
        <f t="shared" si="43"/>
        <v>0</v>
      </c>
      <c r="S27" s="139">
        <f t="shared" si="43"/>
        <v>0</v>
      </c>
      <c r="T27" s="139">
        <f t="shared" si="43"/>
        <v>0</v>
      </c>
      <c r="U27" s="139">
        <f t="shared" si="48"/>
        <v>0</v>
      </c>
      <c r="V27" s="139">
        <f t="shared" si="49"/>
        <v>0</v>
      </c>
      <c r="W27" s="139">
        <f t="shared" si="50"/>
        <v>0</v>
      </c>
      <c r="X27" s="139">
        <f t="shared" si="51"/>
        <v>0</v>
      </c>
      <c r="Y27" s="192" t="s">
        <v>244</v>
      </c>
      <c r="Z27" s="276">
        <f t="shared" ref="Z27" si="52">Q27</f>
        <v>0</v>
      </c>
      <c r="AA27" s="276">
        <f t="shared" ref="AA27" si="53">R27</f>
        <v>0</v>
      </c>
      <c r="AB27" s="276">
        <f t="shared" ref="AB27:AG29" si="54">S27</f>
        <v>0</v>
      </c>
      <c r="AC27" s="276">
        <f t="shared" si="54"/>
        <v>0</v>
      </c>
      <c r="AD27" s="276">
        <f t="shared" si="54"/>
        <v>0</v>
      </c>
      <c r="AE27" s="276">
        <f t="shared" si="54"/>
        <v>0</v>
      </c>
      <c r="AF27" s="276">
        <f t="shared" si="54"/>
        <v>0</v>
      </c>
      <c r="AG27" s="276">
        <f t="shared" si="54"/>
        <v>0</v>
      </c>
      <c r="AH27" s="276"/>
      <c r="AI27" s="276">
        <f t="shared" ref="AI27" si="55">E27*$N27*(1+$O27%)</f>
        <v>0</v>
      </c>
      <c r="AJ27" s="276">
        <f t="shared" ref="AJ27" si="56">F27*$N27*(1+$O27%)</f>
        <v>0</v>
      </c>
      <c r="AK27" s="276">
        <f t="shared" ref="AK27:AP29" si="57">G27*$N27*(1+$O27%)</f>
        <v>0</v>
      </c>
      <c r="AL27" s="276">
        <f t="shared" si="57"/>
        <v>0</v>
      </c>
      <c r="AM27" s="276">
        <f t="shared" si="57"/>
        <v>0</v>
      </c>
      <c r="AN27" s="276">
        <f t="shared" si="57"/>
        <v>0</v>
      </c>
      <c r="AO27" s="276">
        <f t="shared" si="57"/>
        <v>0</v>
      </c>
      <c r="AP27" s="276">
        <f t="shared" si="57"/>
        <v>0</v>
      </c>
      <c r="AQ27" s="290"/>
      <c r="AS27" s="165">
        <v>10</v>
      </c>
      <c r="AT27" s="165" t="s">
        <v>984</v>
      </c>
      <c r="AU27" s="165" t="s">
        <v>235</v>
      </c>
      <c r="AV27" s="165">
        <v>16.052499999999998</v>
      </c>
      <c r="AW27" s="165">
        <v>11.25</v>
      </c>
      <c r="AX27" s="165">
        <v>5</v>
      </c>
      <c r="AY27" s="165">
        <v>4.24</v>
      </c>
      <c r="AZ27" s="316">
        <f t="shared" si="19"/>
        <v>0</v>
      </c>
    </row>
    <row r="28" spans="1:52" ht="28.5" hidden="1" customHeight="1">
      <c r="A28" s="300"/>
      <c r="B28" s="129">
        <v>11</v>
      </c>
      <c r="C28" s="192" t="s">
        <v>985</v>
      </c>
      <c r="D28" s="129" t="s">
        <v>235</v>
      </c>
      <c r="E28" s="303"/>
      <c r="F28" s="193"/>
      <c r="G28" s="193"/>
      <c r="H28" s="193"/>
      <c r="I28" s="193"/>
      <c r="J28" s="193"/>
      <c r="K28" s="193"/>
      <c r="L28" s="193"/>
      <c r="M28" s="311">
        <f t="shared" si="42"/>
        <v>24.23</v>
      </c>
      <c r="N28" s="311">
        <f>'附件4-8甲供材料清单'!M193</f>
        <v>15</v>
      </c>
      <c r="O28" s="311">
        <v>5</v>
      </c>
      <c r="P28" s="311">
        <v>8.48</v>
      </c>
      <c r="Q28" s="139">
        <f t="shared" si="43"/>
        <v>0</v>
      </c>
      <c r="R28" s="139">
        <f t="shared" si="43"/>
        <v>0</v>
      </c>
      <c r="S28" s="139">
        <f t="shared" si="43"/>
        <v>0</v>
      </c>
      <c r="T28" s="139">
        <f t="shared" si="43"/>
        <v>0</v>
      </c>
      <c r="U28" s="139">
        <f t="shared" si="48"/>
        <v>0</v>
      </c>
      <c r="V28" s="139">
        <f t="shared" si="49"/>
        <v>0</v>
      </c>
      <c r="W28" s="139">
        <f t="shared" si="50"/>
        <v>0</v>
      </c>
      <c r="X28" s="139">
        <f t="shared" si="51"/>
        <v>0</v>
      </c>
      <c r="Y28" s="192" t="s">
        <v>244</v>
      </c>
      <c r="Z28" s="276">
        <f>Q28</f>
        <v>0</v>
      </c>
      <c r="AA28" s="276">
        <f>R28</f>
        <v>0</v>
      </c>
      <c r="AB28" s="276">
        <f t="shared" si="54"/>
        <v>0</v>
      </c>
      <c r="AC28" s="276">
        <f t="shared" si="54"/>
        <v>0</v>
      </c>
      <c r="AD28" s="276">
        <f t="shared" si="54"/>
        <v>0</v>
      </c>
      <c r="AE28" s="276">
        <f t="shared" si="54"/>
        <v>0</v>
      </c>
      <c r="AF28" s="276">
        <f t="shared" si="54"/>
        <v>0</v>
      </c>
      <c r="AG28" s="276">
        <f t="shared" si="54"/>
        <v>0</v>
      </c>
      <c r="AH28" s="276"/>
      <c r="AI28" s="276">
        <f>E28*$N28*(1+$O28%)</f>
        <v>0</v>
      </c>
      <c r="AJ28" s="276">
        <f>F28*$N28*(1+$O28%)</f>
        <v>0</v>
      </c>
      <c r="AK28" s="276">
        <f t="shared" si="57"/>
        <v>0</v>
      </c>
      <c r="AL28" s="276">
        <f t="shared" si="57"/>
        <v>0</v>
      </c>
      <c r="AM28" s="276">
        <f t="shared" si="57"/>
        <v>0</v>
      </c>
      <c r="AN28" s="276">
        <f t="shared" si="57"/>
        <v>0</v>
      </c>
      <c r="AO28" s="276">
        <f t="shared" si="57"/>
        <v>0</v>
      </c>
      <c r="AP28" s="276">
        <f t="shared" si="57"/>
        <v>0</v>
      </c>
      <c r="AQ28" s="290"/>
      <c r="AS28" s="165">
        <v>11</v>
      </c>
      <c r="AT28" s="165" t="s">
        <v>985</v>
      </c>
      <c r="AU28" s="165" t="s">
        <v>235</v>
      </c>
      <c r="AV28" s="165">
        <v>24.23</v>
      </c>
      <c r="AW28" s="165">
        <v>15</v>
      </c>
      <c r="AX28" s="165">
        <v>5</v>
      </c>
      <c r="AY28" s="165">
        <v>8.48</v>
      </c>
      <c r="AZ28" s="316">
        <f t="shared" si="19"/>
        <v>0</v>
      </c>
    </row>
    <row r="29" spans="1:52" ht="41.25" hidden="1" customHeight="1">
      <c r="A29" s="300" t="s">
        <v>277</v>
      </c>
      <c r="B29" s="129" t="s">
        <v>278</v>
      </c>
      <c r="C29" s="192" t="s">
        <v>986</v>
      </c>
      <c r="D29" s="129" t="s">
        <v>231</v>
      </c>
      <c r="E29" s="193">
        <v>1</v>
      </c>
      <c r="F29" s="193">
        <v>1</v>
      </c>
      <c r="G29" s="193">
        <v>1</v>
      </c>
      <c r="H29" s="193">
        <f>SUBTOTAL(9,E29:G29)</f>
        <v>0</v>
      </c>
      <c r="I29" s="193">
        <f t="shared" ref="I29" si="58">SUBTOTAL(9,F29:H29)</f>
        <v>0</v>
      </c>
      <c r="J29" s="193">
        <f>SUBTOTAL(9,G29:I29)</f>
        <v>0</v>
      </c>
      <c r="K29" s="193">
        <f>SUBTOTAL(9,H29:J29)</f>
        <v>0</v>
      </c>
      <c r="L29" s="193">
        <f>SUBTOTAL(9,I29:K29)</f>
        <v>0</v>
      </c>
      <c r="M29" s="311">
        <f t="shared" ref="M29" si="59">N29+N29*O29/100+P29</f>
        <v>115.28333333333335</v>
      </c>
      <c r="N29" s="311">
        <f>'附件4-8甲供材料清单'!$M$195</f>
        <v>63.888888888888893</v>
      </c>
      <c r="O29" s="311">
        <v>5</v>
      </c>
      <c r="P29" s="311">
        <v>48.2</v>
      </c>
      <c r="Q29" s="139">
        <f t="shared" ref="Q29" si="60">E29*$M29</f>
        <v>115.28333333333335</v>
      </c>
      <c r="R29" s="139">
        <f t="shared" ref="R29" si="61">F29*$M29</f>
        <v>115.28333333333335</v>
      </c>
      <c r="S29" s="139">
        <f t="shared" ref="S29" si="62">G29*$M29</f>
        <v>115.28333333333335</v>
      </c>
      <c r="T29" s="139">
        <f t="shared" ref="T29" si="63">H29*$M29</f>
        <v>0</v>
      </c>
      <c r="U29" s="139">
        <f t="shared" si="48"/>
        <v>0</v>
      </c>
      <c r="V29" s="139">
        <f t="shared" si="49"/>
        <v>0</v>
      </c>
      <c r="W29" s="139">
        <f t="shared" si="50"/>
        <v>0</v>
      </c>
      <c r="X29" s="139">
        <f t="shared" si="51"/>
        <v>0</v>
      </c>
      <c r="Y29" s="192" t="s">
        <v>244</v>
      </c>
      <c r="Z29" s="276">
        <f>Q29</f>
        <v>115.28333333333335</v>
      </c>
      <c r="AA29" s="276">
        <f>R29</f>
        <v>115.28333333333335</v>
      </c>
      <c r="AB29" s="276">
        <f t="shared" si="54"/>
        <v>115.28333333333335</v>
      </c>
      <c r="AC29" s="276">
        <f t="shared" si="54"/>
        <v>0</v>
      </c>
      <c r="AD29" s="276">
        <f t="shared" si="54"/>
        <v>0</v>
      </c>
      <c r="AE29" s="276">
        <f t="shared" si="54"/>
        <v>0</v>
      </c>
      <c r="AF29" s="276">
        <f t="shared" si="54"/>
        <v>0</v>
      </c>
      <c r="AG29" s="276">
        <f t="shared" si="54"/>
        <v>0</v>
      </c>
      <c r="AH29" s="276"/>
      <c r="AI29" s="276">
        <f>E29*$N29*(1+$O29%)</f>
        <v>67.083333333333343</v>
      </c>
      <c r="AJ29" s="276">
        <f>F29*$N29*(1+$O29%)</f>
        <v>67.083333333333343</v>
      </c>
      <c r="AK29" s="276">
        <f t="shared" si="57"/>
        <v>67.083333333333343</v>
      </c>
      <c r="AL29" s="276">
        <f t="shared" si="57"/>
        <v>0</v>
      </c>
      <c r="AM29" s="276">
        <f t="shared" si="57"/>
        <v>0</v>
      </c>
      <c r="AN29" s="276">
        <f t="shared" si="57"/>
        <v>0</v>
      </c>
      <c r="AO29" s="276">
        <f t="shared" si="57"/>
        <v>0</v>
      </c>
      <c r="AP29" s="276">
        <f t="shared" si="57"/>
        <v>0</v>
      </c>
      <c r="AQ29" s="290"/>
      <c r="AZ29" s="316">
        <f t="shared" si="19"/>
        <v>-115.28333333333335</v>
      </c>
    </row>
    <row r="30" spans="1:52" ht="23.25" hidden="1" customHeight="1">
      <c r="A30" s="300"/>
      <c r="B30" s="197" t="s">
        <v>62</v>
      </c>
      <c r="C30" s="195" t="s">
        <v>261</v>
      </c>
      <c r="D30" s="129"/>
      <c r="E30" s="303"/>
      <c r="F30" s="193"/>
      <c r="G30" s="193"/>
      <c r="H30" s="193"/>
      <c r="I30" s="193"/>
      <c r="J30" s="193"/>
      <c r="K30" s="193"/>
      <c r="L30" s="193"/>
      <c r="M30" s="311">
        <f t="shared" ref="M30:M36" si="64">N30+N30*O30/100+P30</f>
        <v>0</v>
      </c>
      <c r="N30" s="311"/>
      <c r="O30" s="311"/>
      <c r="P30" s="311"/>
      <c r="Q30" s="139">
        <f t="shared" ref="Q30:T36" si="65">E30*$M30</f>
        <v>0</v>
      </c>
      <c r="R30" s="139">
        <f t="shared" si="65"/>
        <v>0</v>
      </c>
      <c r="S30" s="139">
        <f t="shared" si="65"/>
        <v>0</v>
      </c>
      <c r="T30" s="139">
        <f t="shared" si="65"/>
        <v>0</v>
      </c>
      <c r="U30" s="139">
        <f t="shared" si="48"/>
        <v>0</v>
      </c>
      <c r="V30" s="139">
        <f t="shared" si="49"/>
        <v>0</v>
      </c>
      <c r="W30" s="139">
        <f t="shared" si="50"/>
        <v>0</v>
      </c>
      <c r="X30" s="139">
        <f t="shared" si="51"/>
        <v>0</v>
      </c>
      <c r="Y30" s="192"/>
      <c r="Z30" s="276"/>
      <c r="AA30" s="276"/>
      <c r="AB30" s="276"/>
      <c r="AC30" s="276"/>
      <c r="AD30" s="276"/>
      <c r="AE30" s="276"/>
      <c r="AF30" s="276"/>
      <c r="AG30" s="276"/>
      <c r="AH30" s="276"/>
      <c r="AI30" s="276"/>
      <c r="AJ30" s="276"/>
      <c r="AK30" s="276"/>
      <c r="AL30" s="276"/>
      <c r="AM30" s="276"/>
      <c r="AN30" s="276"/>
      <c r="AO30" s="276"/>
      <c r="AP30" s="276"/>
      <c r="AQ30" s="290"/>
      <c r="AS30" s="165" t="s">
        <v>62</v>
      </c>
      <c r="AT30" s="165" t="s">
        <v>261</v>
      </c>
      <c r="AU30" s="165"/>
      <c r="AV30" s="165">
        <v>0</v>
      </c>
      <c r="AW30" s="165"/>
      <c r="AX30" s="165"/>
      <c r="AY30" s="165"/>
      <c r="AZ30" s="316">
        <f t="shared" si="19"/>
        <v>0</v>
      </c>
    </row>
    <row r="31" spans="1:52" ht="34.5" hidden="1" customHeight="1">
      <c r="A31" s="300"/>
      <c r="B31" s="129">
        <v>1</v>
      </c>
      <c r="C31" s="192" t="s">
        <v>987</v>
      </c>
      <c r="D31" s="129" t="s">
        <v>231</v>
      </c>
      <c r="E31" s="193"/>
      <c r="F31" s="193"/>
      <c r="G31" s="193"/>
      <c r="H31" s="193"/>
      <c r="I31" s="193"/>
      <c r="J31" s="193"/>
      <c r="K31" s="193"/>
      <c r="L31" s="193"/>
      <c r="M31" s="311">
        <f t="shared" si="64"/>
        <v>138.54411111111111</v>
      </c>
      <c r="N31" s="311">
        <f>'大堂(新标)'!N42</f>
        <v>69.444444444444443</v>
      </c>
      <c r="O31" s="311">
        <v>10.5</v>
      </c>
      <c r="P31" s="311">
        <v>61.808</v>
      </c>
      <c r="Q31" s="139">
        <f t="shared" si="65"/>
        <v>0</v>
      </c>
      <c r="R31" s="139">
        <f t="shared" si="65"/>
        <v>0</v>
      </c>
      <c r="S31" s="139">
        <f t="shared" si="65"/>
        <v>0</v>
      </c>
      <c r="T31" s="139">
        <f t="shared" si="65"/>
        <v>0</v>
      </c>
      <c r="U31" s="139">
        <f t="shared" si="48"/>
        <v>0</v>
      </c>
      <c r="V31" s="139">
        <f t="shared" si="49"/>
        <v>0</v>
      </c>
      <c r="W31" s="139">
        <f t="shared" si="50"/>
        <v>0</v>
      </c>
      <c r="X31" s="139">
        <f t="shared" si="51"/>
        <v>0</v>
      </c>
      <c r="Y31" s="192" t="s">
        <v>244</v>
      </c>
      <c r="Z31" s="276">
        <f t="shared" ref="Z31" si="66">Q31</f>
        <v>0</v>
      </c>
      <c r="AA31" s="276">
        <f t="shared" ref="AA31" si="67">R31</f>
        <v>0</v>
      </c>
      <c r="AB31" s="276">
        <f t="shared" ref="AB31:AG36" si="68">S31</f>
        <v>0</v>
      </c>
      <c r="AC31" s="276">
        <f t="shared" si="68"/>
        <v>0</v>
      </c>
      <c r="AD31" s="276">
        <f t="shared" si="68"/>
        <v>0</v>
      </c>
      <c r="AE31" s="276">
        <f t="shared" si="68"/>
        <v>0</v>
      </c>
      <c r="AF31" s="276">
        <f t="shared" si="68"/>
        <v>0</v>
      </c>
      <c r="AG31" s="276">
        <f t="shared" si="68"/>
        <v>0</v>
      </c>
      <c r="AH31" s="276"/>
      <c r="AI31" s="276">
        <f t="shared" ref="AI31" si="69">E31*$N31*(1+$O31%)</f>
        <v>0</v>
      </c>
      <c r="AJ31" s="276">
        <f t="shared" ref="AJ31" si="70">F31*$N31*(1+$O31%)</f>
        <v>0</v>
      </c>
      <c r="AK31" s="276">
        <f t="shared" ref="AK31:AP36" si="71">G31*$N31*(1+$O31%)</f>
        <v>0</v>
      </c>
      <c r="AL31" s="276">
        <f t="shared" si="71"/>
        <v>0</v>
      </c>
      <c r="AM31" s="276">
        <f t="shared" si="71"/>
        <v>0</v>
      </c>
      <c r="AN31" s="276">
        <f t="shared" si="71"/>
        <v>0</v>
      </c>
      <c r="AO31" s="276">
        <f t="shared" si="71"/>
        <v>0</v>
      </c>
      <c r="AP31" s="276">
        <f t="shared" si="71"/>
        <v>0</v>
      </c>
      <c r="AQ31" s="290"/>
      <c r="AS31" s="165">
        <v>1</v>
      </c>
      <c r="AT31" s="165" t="s">
        <v>987</v>
      </c>
      <c r="AU31" s="165" t="s">
        <v>231</v>
      </c>
      <c r="AV31" s="165">
        <v>138.54411111111099</v>
      </c>
      <c r="AW31" s="165">
        <v>69.4444444444444</v>
      </c>
      <c r="AX31" s="165">
        <v>10.5</v>
      </c>
      <c r="AY31" s="165">
        <v>61.808</v>
      </c>
      <c r="AZ31" s="316">
        <f t="shared" si="19"/>
        <v>0</v>
      </c>
    </row>
    <row r="32" spans="1:52" ht="49.5" hidden="1" customHeight="1">
      <c r="A32" s="300"/>
      <c r="B32" s="304" t="s">
        <v>233</v>
      </c>
      <c r="C32" s="305" t="s">
        <v>988</v>
      </c>
      <c r="D32" s="306" t="s">
        <v>231</v>
      </c>
      <c r="E32" s="307"/>
      <c r="F32" s="193"/>
      <c r="G32" s="193"/>
      <c r="H32" s="193"/>
      <c r="I32" s="193"/>
      <c r="J32" s="193"/>
      <c r="K32" s="193"/>
      <c r="L32" s="193"/>
      <c r="M32" s="311">
        <f t="shared" si="64"/>
        <v>161.54611111111112</v>
      </c>
      <c r="N32" s="311">
        <f t="shared" ref="N32" si="72">N31</f>
        <v>69.444444444444443</v>
      </c>
      <c r="O32" s="312">
        <v>10.5</v>
      </c>
      <c r="P32" s="313">
        <v>84.81</v>
      </c>
      <c r="Q32" s="139">
        <f t="shared" si="65"/>
        <v>0</v>
      </c>
      <c r="R32" s="139">
        <f t="shared" si="65"/>
        <v>0</v>
      </c>
      <c r="S32" s="139">
        <f t="shared" si="65"/>
        <v>0</v>
      </c>
      <c r="T32" s="139">
        <f t="shared" si="65"/>
        <v>0</v>
      </c>
      <c r="U32" s="139">
        <f t="shared" si="48"/>
        <v>0</v>
      </c>
      <c r="V32" s="139">
        <f t="shared" si="49"/>
        <v>0</v>
      </c>
      <c r="W32" s="139">
        <f t="shared" si="50"/>
        <v>0</v>
      </c>
      <c r="X32" s="139">
        <f t="shared" si="51"/>
        <v>0</v>
      </c>
      <c r="Y32" s="192" t="s">
        <v>244</v>
      </c>
      <c r="Z32" s="276">
        <f t="shared" ref="Z32:AA36" si="73">Q32</f>
        <v>0</v>
      </c>
      <c r="AA32" s="276">
        <f t="shared" si="73"/>
        <v>0</v>
      </c>
      <c r="AB32" s="276">
        <f t="shared" si="68"/>
        <v>0</v>
      </c>
      <c r="AC32" s="276">
        <f t="shared" si="68"/>
        <v>0</v>
      </c>
      <c r="AD32" s="276">
        <f t="shared" si="68"/>
        <v>0</v>
      </c>
      <c r="AE32" s="276">
        <f t="shared" si="68"/>
        <v>0</v>
      </c>
      <c r="AF32" s="276">
        <f t="shared" si="68"/>
        <v>0</v>
      </c>
      <c r="AG32" s="276">
        <f t="shared" si="68"/>
        <v>0</v>
      </c>
      <c r="AH32" s="276"/>
      <c r="AI32" s="276">
        <f t="shared" ref="AI32:AJ36" si="74">E32*$N32*(1+$O32%)</f>
        <v>0</v>
      </c>
      <c r="AJ32" s="276">
        <f t="shared" si="74"/>
        <v>0</v>
      </c>
      <c r="AK32" s="276">
        <f t="shared" si="71"/>
        <v>0</v>
      </c>
      <c r="AL32" s="276">
        <f t="shared" si="71"/>
        <v>0</v>
      </c>
      <c r="AM32" s="276">
        <f t="shared" si="71"/>
        <v>0</v>
      </c>
      <c r="AN32" s="276">
        <f t="shared" si="71"/>
        <v>0</v>
      </c>
      <c r="AO32" s="276">
        <f t="shared" si="71"/>
        <v>0</v>
      </c>
      <c r="AP32" s="276">
        <f t="shared" si="71"/>
        <v>0</v>
      </c>
      <c r="AQ32" s="290"/>
      <c r="AS32" s="165" t="s">
        <v>233</v>
      </c>
      <c r="AT32" s="165" t="s">
        <v>988</v>
      </c>
      <c r="AU32" s="165" t="s">
        <v>231</v>
      </c>
      <c r="AV32" s="165">
        <v>161.546111111111</v>
      </c>
      <c r="AW32" s="165">
        <v>69.4444444444444</v>
      </c>
      <c r="AX32" s="165">
        <v>10.5</v>
      </c>
      <c r="AY32" s="165">
        <v>84.81</v>
      </c>
      <c r="AZ32" s="316">
        <f t="shared" si="19"/>
        <v>0</v>
      </c>
    </row>
    <row r="33" spans="1:52" ht="72" hidden="1" customHeight="1">
      <c r="A33" s="300"/>
      <c r="B33" s="304" t="s">
        <v>233</v>
      </c>
      <c r="C33" s="305" t="s">
        <v>918</v>
      </c>
      <c r="D33" s="306" t="s">
        <v>231</v>
      </c>
      <c r="E33" s="307"/>
      <c r="F33" s="193"/>
      <c r="G33" s="193"/>
      <c r="H33" s="193"/>
      <c r="I33" s="193"/>
      <c r="J33" s="193"/>
      <c r="K33" s="193"/>
      <c r="L33" s="193"/>
      <c r="M33" s="311">
        <f t="shared" si="64"/>
        <v>167.54611111111112</v>
      </c>
      <c r="N33" s="311">
        <f>N32</f>
        <v>69.444444444444443</v>
      </c>
      <c r="O33" s="312">
        <v>10.5</v>
      </c>
      <c r="P33" s="312">
        <v>90.81</v>
      </c>
      <c r="Q33" s="139">
        <f t="shared" si="65"/>
        <v>0</v>
      </c>
      <c r="R33" s="139">
        <f t="shared" si="65"/>
        <v>0</v>
      </c>
      <c r="S33" s="139">
        <f t="shared" si="65"/>
        <v>0</v>
      </c>
      <c r="T33" s="139">
        <f t="shared" si="65"/>
        <v>0</v>
      </c>
      <c r="U33" s="139">
        <f t="shared" si="48"/>
        <v>0</v>
      </c>
      <c r="V33" s="139">
        <f t="shared" si="49"/>
        <v>0</v>
      </c>
      <c r="W33" s="139">
        <f t="shared" si="50"/>
        <v>0</v>
      </c>
      <c r="X33" s="139">
        <f t="shared" si="51"/>
        <v>0</v>
      </c>
      <c r="Y33" s="192" t="s">
        <v>244</v>
      </c>
      <c r="Z33" s="276">
        <f t="shared" si="73"/>
        <v>0</v>
      </c>
      <c r="AA33" s="276">
        <f t="shared" si="73"/>
        <v>0</v>
      </c>
      <c r="AB33" s="276">
        <f t="shared" si="68"/>
        <v>0</v>
      </c>
      <c r="AC33" s="276">
        <f t="shared" si="68"/>
        <v>0</v>
      </c>
      <c r="AD33" s="276">
        <f t="shared" si="68"/>
        <v>0</v>
      </c>
      <c r="AE33" s="276">
        <f t="shared" si="68"/>
        <v>0</v>
      </c>
      <c r="AF33" s="276">
        <f t="shared" si="68"/>
        <v>0</v>
      </c>
      <c r="AG33" s="276">
        <f t="shared" si="68"/>
        <v>0</v>
      </c>
      <c r="AH33" s="276"/>
      <c r="AI33" s="276">
        <f t="shared" si="74"/>
        <v>0</v>
      </c>
      <c r="AJ33" s="276">
        <f t="shared" si="74"/>
        <v>0</v>
      </c>
      <c r="AK33" s="276">
        <f t="shared" si="71"/>
        <v>0</v>
      </c>
      <c r="AL33" s="276">
        <f t="shared" si="71"/>
        <v>0</v>
      </c>
      <c r="AM33" s="276">
        <f t="shared" si="71"/>
        <v>0</v>
      </c>
      <c r="AN33" s="276">
        <f t="shared" si="71"/>
        <v>0</v>
      </c>
      <c r="AO33" s="276">
        <f t="shared" si="71"/>
        <v>0</v>
      </c>
      <c r="AP33" s="276">
        <f t="shared" si="71"/>
        <v>0</v>
      </c>
      <c r="AQ33" s="290"/>
      <c r="AS33" s="165" t="s">
        <v>233</v>
      </c>
      <c r="AT33" s="165" t="s">
        <v>918</v>
      </c>
      <c r="AU33" s="165" t="s">
        <v>231</v>
      </c>
      <c r="AV33" s="165">
        <v>167.546111111111</v>
      </c>
      <c r="AW33" s="165">
        <v>69.4444444444444</v>
      </c>
      <c r="AX33" s="165">
        <v>10.5</v>
      </c>
      <c r="AY33" s="165">
        <v>90.81</v>
      </c>
      <c r="AZ33" s="316">
        <f t="shared" si="19"/>
        <v>0</v>
      </c>
    </row>
    <row r="34" spans="1:52" ht="46.5" hidden="1" customHeight="1">
      <c r="A34" s="300"/>
      <c r="B34" s="304" t="s">
        <v>233</v>
      </c>
      <c r="C34" s="305" t="s">
        <v>989</v>
      </c>
      <c r="D34" s="306" t="s">
        <v>231</v>
      </c>
      <c r="E34" s="307"/>
      <c r="F34" s="193"/>
      <c r="G34" s="193"/>
      <c r="H34" s="193"/>
      <c r="I34" s="193"/>
      <c r="J34" s="193"/>
      <c r="K34" s="193"/>
      <c r="L34" s="193"/>
      <c r="M34" s="311">
        <f t="shared" si="64"/>
        <v>153.22611111111109</v>
      </c>
      <c r="N34" s="311">
        <f>N33</f>
        <v>69.444444444444443</v>
      </c>
      <c r="O34" s="312">
        <v>10.5</v>
      </c>
      <c r="P34" s="312">
        <v>76.489999999999995</v>
      </c>
      <c r="Q34" s="139">
        <f t="shared" si="65"/>
        <v>0</v>
      </c>
      <c r="R34" s="139">
        <f t="shared" si="65"/>
        <v>0</v>
      </c>
      <c r="S34" s="139">
        <f t="shared" si="65"/>
        <v>0</v>
      </c>
      <c r="T34" s="139">
        <f t="shared" si="65"/>
        <v>0</v>
      </c>
      <c r="U34" s="139">
        <f t="shared" si="48"/>
        <v>0</v>
      </c>
      <c r="V34" s="139">
        <f t="shared" si="49"/>
        <v>0</v>
      </c>
      <c r="W34" s="139">
        <f t="shared" si="50"/>
        <v>0</v>
      </c>
      <c r="X34" s="139">
        <f t="shared" si="51"/>
        <v>0</v>
      </c>
      <c r="Y34" s="192" t="s">
        <v>244</v>
      </c>
      <c r="Z34" s="276">
        <f t="shared" si="73"/>
        <v>0</v>
      </c>
      <c r="AA34" s="276">
        <f t="shared" si="73"/>
        <v>0</v>
      </c>
      <c r="AB34" s="276">
        <f t="shared" si="68"/>
        <v>0</v>
      </c>
      <c r="AC34" s="276">
        <f t="shared" si="68"/>
        <v>0</v>
      </c>
      <c r="AD34" s="276">
        <f t="shared" si="68"/>
        <v>0</v>
      </c>
      <c r="AE34" s="276">
        <f t="shared" si="68"/>
        <v>0</v>
      </c>
      <c r="AF34" s="276">
        <f t="shared" si="68"/>
        <v>0</v>
      </c>
      <c r="AG34" s="276">
        <f t="shared" si="68"/>
        <v>0</v>
      </c>
      <c r="AH34" s="276"/>
      <c r="AI34" s="276">
        <f t="shared" si="74"/>
        <v>0</v>
      </c>
      <c r="AJ34" s="276">
        <f t="shared" si="74"/>
        <v>0</v>
      </c>
      <c r="AK34" s="276">
        <f t="shared" si="71"/>
        <v>0</v>
      </c>
      <c r="AL34" s="276">
        <f t="shared" si="71"/>
        <v>0</v>
      </c>
      <c r="AM34" s="276">
        <f t="shared" si="71"/>
        <v>0</v>
      </c>
      <c r="AN34" s="276">
        <f t="shared" si="71"/>
        <v>0</v>
      </c>
      <c r="AO34" s="276">
        <f t="shared" si="71"/>
        <v>0</v>
      </c>
      <c r="AP34" s="276">
        <f t="shared" si="71"/>
        <v>0</v>
      </c>
      <c r="AQ34" s="290"/>
      <c r="AS34" s="165" t="s">
        <v>233</v>
      </c>
      <c r="AT34" s="165" t="s">
        <v>989</v>
      </c>
      <c r="AU34" s="165" t="s">
        <v>231</v>
      </c>
      <c r="AV34" s="165">
        <v>153.22611111111101</v>
      </c>
      <c r="AW34" s="165">
        <v>69.4444444444444</v>
      </c>
      <c r="AX34" s="165">
        <v>10.5</v>
      </c>
      <c r="AY34" s="165">
        <v>76.489999999999995</v>
      </c>
      <c r="AZ34" s="316">
        <f t="shared" si="19"/>
        <v>0</v>
      </c>
    </row>
    <row r="35" spans="1:52" ht="69" hidden="1" customHeight="1">
      <c r="A35" s="300"/>
      <c r="B35" s="304" t="s">
        <v>233</v>
      </c>
      <c r="C35" s="305" t="s">
        <v>990</v>
      </c>
      <c r="D35" s="306" t="s">
        <v>231</v>
      </c>
      <c r="E35" s="307"/>
      <c r="F35" s="193"/>
      <c r="G35" s="193"/>
      <c r="H35" s="193"/>
      <c r="I35" s="193"/>
      <c r="J35" s="193"/>
      <c r="K35" s="193"/>
      <c r="L35" s="193"/>
      <c r="M35" s="311">
        <f t="shared" si="64"/>
        <v>159.22611111111109</v>
      </c>
      <c r="N35" s="311">
        <f>N34</f>
        <v>69.444444444444443</v>
      </c>
      <c r="O35" s="312">
        <v>10.5</v>
      </c>
      <c r="P35" s="312">
        <v>82.49</v>
      </c>
      <c r="Q35" s="139">
        <f t="shared" si="65"/>
        <v>0</v>
      </c>
      <c r="R35" s="139">
        <f t="shared" si="65"/>
        <v>0</v>
      </c>
      <c r="S35" s="139">
        <f t="shared" si="65"/>
        <v>0</v>
      </c>
      <c r="T35" s="139">
        <f t="shared" si="65"/>
        <v>0</v>
      </c>
      <c r="U35" s="139">
        <f t="shared" si="48"/>
        <v>0</v>
      </c>
      <c r="V35" s="139">
        <f t="shared" si="49"/>
        <v>0</v>
      </c>
      <c r="W35" s="139">
        <f t="shared" si="50"/>
        <v>0</v>
      </c>
      <c r="X35" s="139">
        <f t="shared" si="51"/>
        <v>0</v>
      </c>
      <c r="Y35" s="192" t="s">
        <v>244</v>
      </c>
      <c r="Z35" s="276">
        <f t="shared" si="73"/>
        <v>0</v>
      </c>
      <c r="AA35" s="276">
        <f t="shared" si="73"/>
        <v>0</v>
      </c>
      <c r="AB35" s="276">
        <f t="shared" si="68"/>
        <v>0</v>
      </c>
      <c r="AC35" s="276">
        <f t="shared" si="68"/>
        <v>0</v>
      </c>
      <c r="AD35" s="276">
        <f t="shared" si="68"/>
        <v>0</v>
      </c>
      <c r="AE35" s="276">
        <f t="shared" si="68"/>
        <v>0</v>
      </c>
      <c r="AF35" s="276">
        <f t="shared" si="68"/>
        <v>0</v>
      </c>
      <c r="AG35" s="276">
        <f t="shared" si="68"/>
        <v>0</v>
      </c>
      <c r="AH35" s="276"/>
      <c r="AI35" s="276">
        <f t="shared" si="74"/>
        <v>0</v>
      </c>
      <c r="AJ35" s="276">
        <f t="shared" si="74"/>
        <v>0</v>
      </c>
      <c r="AK35" s="276">
        <f t="shared" si="71"/>
        <v>0</v>
      </c>
      <c r="AL35" s="276">
        <f t="shared" si="71"/>
        <v>0</v>
      </c>
      <c r="AM35" s="276">
        <f t="shared" si="71"/>
        <v>0</v>
      </c>
      <c r="AN35" s="276">
        <f t="shared" si="71"/>
        <v>0</v>
      </c>
      <c r="AO35" s="276">
        <f t="shared" si="71"/>
        <v>0</v>
      </c>
      <c r="AP35" s="276">
        <f t="shared" si="71"/>
        <v>0</v>
      </c>
      <c r="AQ35" s="290"/>
      <c r="AS35" s="165" t="s">
        <v>233</v>
      </c>
      <c r="AT35" s="165" t="s">
        <v>990</v>
      </c>
      <c r="AU35" s="165" t="s">
        <v>231</v>
      </c>
      <c r="AV35" s="165">
        <v>159.22611111111101</v>
      </c>
      <c r="AW35" s="165">
        <v>69.4444444444444</v>
      </c>
      <c r="AX35" s="165">
        <v>10.5</v>
      </c>
      <c r="AY35" s="165">
        <v>82.49</v>
      </c>
      <c r="AZ35" s="316">
        <f t="shared" si="19"/>
        <v>0</v>
      </c>
    </row>
    <row r="36" spans="1:52" ht="52.5" hidden="1" customHeight="1">
      <c r="A36" s="300"/>
      <c r="B36" s="304" t="s">
        <v>233</v>
      </c>
      <c r="C36" s="305" t="s">
        <v>991</v>
      </c>
      <c r="D36" s="306" t="s">
        <v>231</v>
      </c>
      <c r="E36" s="307"/>
      <c r="F36" s="193"/>
      <c r="G36" s="193"/>
      <c r="H36" s="193"/>
      <c r="I36" s="193"/>
      <c r="J36" s="193"/>
      <c r="K36" s="193"/>
      <c r="L36" s="193"/>
      <c r="M36" s="311">
        <f t="shared" si="64"/>
        <v>206.4361111111111</v>
      </c>
      <c r="N36" s="311">
        <f>N35</f>
        <v>69.444444444444443</v>
      </c>
      <c r="O36" s="312">
        <v>10.5</v>
      </c>
      <c r="P36" s="312">
        <v>129.69999999999999</v>
      </c>
      <c r="Q36" s="139">
        <f t="shared" si="65"/>
        <v>0</v>
      </c>
      <c r="R36" s="139">
        <f t="shared" si="65"/>
        <v>0</v>
      </c>
      <c r="S36" s="139">
        <f t="shared" si="65"/>
        <v>0</v>
      </c>
      <c r="T36" s="139">
        <f t="shared" si="65"/>
        <v>0</v>
      </c>
      <c r="U36" s="139">
        <f t="shared" si="48"/>
        <v>0</v>
      </c>
      <c r="V36" s="139">
        <f t="shared" si="49"/>
        <v>0</v>
      </c>
      <c r="W36" s="139">
        <f t="shared" si="50"/>
        <v>0</v>
      </c>
      <c r="X36" s="139">
        <f t="shared" si="51"/>
        <v>0</v>
      </c>
      <c r="Y36" s="192" t="s">
        <v>244</v>
      </c>
      <c r="Z36" s="276">
        <f t="shared" si="73"/>
        <v>0</v>
      </c>
      <c r="AA36" s="276">
        <f t="shared" si="73"/>
        <v>0</v>
      </c>
      <c r="AB36" s="276">
        <f t="shared" si="68"/>
        <v>0</v>
      </c>
      <c r="AC36" s="276">
        <f t="shared" si="68"/>
        <v>0</v>
      </c>
      <c r="AD36" s="276">
        <f t="shared" si="68"/>
        <v>0</v>
      </c>
      <c r="AE36" s="276">
        <f t="shared" si="68"/>
        <v>0</v>
      </c>
      <c r="AF36" s="276">
        <f t="shared" si="68"/>
        <v>0</v>
      </c>
      <c r="AG36" s="276">
        <f t="shared" si="68"/>
        <v>0</v>
      </c>
      <c r="AH36" s="276"/>
      <c r="AI36" s="276">
        <f t="shared" si="74"/>
        <v>0</v>
      </c>
      <c r="AJ36" s="276">
        <f t="shared" si="74"/>
        <v>0</v>
      </c>
      <c r="AK36" s="276">
        <f t="shared" si="71"/>
        <v>0</v>
      </c>
      <c r="AL36" s="276">
        <f t="shared" si="71"/>
        <v>0</v>
      </c>
      <c r="AM36" s="276">
        <f t="shared" si="71"/>
        <v>0</v>
      </c>
      <c r="AN36" s="276">
        <f t="shared" si="71"/>
        <v>0</v>
      </c>
      <c r="AO36" s="276">
        <f t="shared" si="71"/>
        <v>0</v>
      </c>
      <c r="AP36" s="276">
        <f t="shared" si="71"/>
        <v>0</v>
      </c>
      <c r="AQ36" s="290"/>
      <c r="AS36" s="165" t="s">
        <v>233</v>
      </c>
      <c r="AT36" s="165" t="s">
        <v>991</v>
      </c>
      <c r="AU36" s="165" t="s">
        <v>231</v>
      </c>
      <c r="AV36" s="165">
        <v>206.43611111111099</v>
      </c>
      <c r="AW36" s="165">
        <v>69.4444444444444</v>
      </c>
      <c r="AX36" s="165">
        <v>10.5</v>
      </c>
      <c r="AY36" s="165">
        <v>129.69999999999999</v>
      </c>
      <c r="AZ36" s="316">
        <f t="shared" si="19"/>
        <v>0</v>
      </c>
    </row>
    <row r="37" spans="1:52" ht="31.5" hidden="1" customHeight="1">
      <c r="A37" s="300" t="s">
        <v>277</v>
      </c>
      <c r="B37" s="129" t="s">
        <v>278</v>
      </c>
      <c r="C37" s="196" t="s">
        <v>725</v>
      </c>
      <c r="D37" s="129" t="s">
        <v>231</v>
      </c>
      <c r="E37" s="193">
        <v>1</v>
      </c>
      <c r="F37" s="193">
        <v>1</v>
      </c>
      <c r="G37" s="193">
        <v>1</v>
      </c>
      <c r="H37" s="193">
        <f t="shared" ref="H37" si="75">SUBTOTAL(9,E37:G37)</f>
        <v>0</v>
      </c>
      <c r="I37" s="193">
        <f t="shared" ref="I37" si="76">SUBTOTAL(9,F37:H37)</f>
        <v>0</v>
      </c>
      <c r="J37" s="193">
        <f t="shared" ref="J37" si="77">SUBTOTAL(9,G37:I37)</f>
        <v>0</v>
      </c>
      <c r="K37" s="193">
        <f t="shared" ref="K37" si="78">SUBTOTAL(9,H37:J37)</f>
        <v>0</v>
      </c>
      <c r="L37" s="193">
        <f t="shared" ref="L37" si="79">SUBTOTAL(9,I37:K37)</f>
        <v>0</v>
      </c>
      <c r="M37" s="311">
        <f t="shared" ref="M37" si="80">N37+N37*O37/100+P37</f>
        <v>14</v>
      </c>
      <c r="N37" s="311">
        <v>8</v>
      </c>
      <c r="O37" s="311"/>
      <c r="P37" s="311">
        <v>6</v>
      </c>
      <c r="Q37" s="139">
        <f t="shared" ref="Q37" si="81">E37*$M37</f>
        <v>14</v>
      </c>
      <c r="R37" s="139">
        <f t="shared" ref="R37" si="82">F37*$M37</f>
        <v>14</v>
      </c>
      <c r="S37" s="139">
        <f t="shared" ref="S37" si="83">G37*$M37</f>
        <v>14</v>
      </c>
      <c r="T37" s="139">
        <f t="shared" ref="T37" si="84">H37*$M37</f>
        <v>0</v>
      </c>
      <c r="U37" s="139">
        <f t="shared" si="48"/>
        <v>0</v>
      </c>
      <c r="V37" s="139">
        <f t="shared" si="49"/>
        <v>0</v>
      </c>
      <c r="W37" s="139">
        <f t="shared" si="50"/>
        <v>0</v>
      </c>
      <c r="X37" s="139">
        <f t="shared" si="51"/>
        <v>0</v>
      </c>
      <c r="Y37" s="192"/>
      <c r="Z37" s="276"/>
      <c r="AA37" s="276"/>
      <c r="AB37" s="276"/>
      <c r="AC37" s="276"/>
      <c r="AD37" s="276"/>
      <c r="AE37" s="276"/>
      <c r="AF37" s="276"/>
      <c r="AG37" s="276"/>
      <c r="AH37" s="276"/>
      <c r="AI37" s="276"/>
      <c r="AJ37" s="276"/>
      <c r="AK37" s="276"/>
      <c r="AL37" s="276"/>
      <c r="AM37" s="276"/>
      <c r="AN37" s="276"/>
      <c r="AO37" s="276"/>
      <c r="AP37" s="276"/>
      <c r="AQ37" s="290"/>
      <c r="AZ37" s="316">
        <f t="shared" si="19"/>
        <v>-14</v>
      </c>
    </row>
    <row r="38" spans="1:52" ht="42" hidden="1" customHeight="1">
      <c r="A38" s="300"/>
      <c r="B38" s="129">
        <v>2</v>
      </c>
      <c r="C38" s="192" t="s">
        <v>992</v>
      </c>
      <c r="D38" s="129" t="s">
        <v>235</v>
      </c>
      <c r="E38" s="193">
        <v>1</v>
      </c>
      <c r="F38" s="193">
        <v>1</v>
      </c>
      <c r="G38" s="193">
        <v>1</v>
      </c>
      <c r="H38" s="193">
        <f t="shared" ref="H38:L39" si="85">SUBTOTAL(9,E38:G38)</f>
        <v>0</v>
      </c>
      <c r="I38" s="193">
        <f t="shared" si="85"/>
        <v>0</v>
      </c>
      <c r="J38" s="193">
        <f t="shared" si="85"/>
        <v>0</v>
      </c>
      <c r="K38" s="193">
        <f t="shared" si="85"/>
        <v>0</v>
      </c>
      <c r="L38" s="193">
        <f t="shared" si="85"/>
        <v>0</v>
      </c>
      <c r="M38" s="311">
        <f>N38+N38*O38/100+P38</f>
        <v>32.590000000000003</v>
      </c>
      <c r="N38" s="311">
        <f>'大堂(新标)'!N61</f>
        <v>18.333333333333336</v>
      </c>
      <c r="O38" s="311">
        <v>5</v>
      </c>
      <c r="P38" s="311">
        <v>13.34</v>
      </c>
      <c r="Q38" s="139">
        <f>E38*$M38</f>
        <v>32.590000000000003</v>
      </c>
      <c r="R38" s="139">
        <f>F38*$M38</f>
        <v>32.590000000000003</v>
      </c>
      <c r="S38" s="139">
        <f>G38*$M38</f>
        <v>32.590000000000003</v>
      </c>
      <c r="T38" s="139">
        <f>H38*$M38</f>
        <v>0</v>
      </c>
      <c r="U38" s="139">
        <f t="shared" si="48"/>
        <v>0</v>
      </c>
      <c r="V38" s="139">
        <f t="shared" si="49"/>
        <v>0</v>
      </c>
      <c r="W38" s="139">
        <f t="shared" si="50"/>
        <v>0</v>
      </c>
      <c r="X38" s="139">
        <f t="shared" si="51"/>
        <v>0</v>
      </c>
      <c r="Y38" s="192" t="s">
        <v>244</v>
      </c>
      <c r="Z38" s="276">
        <f>Q38</f>
        <v>32.590000000000003</v>
      </c>
      <c r="AA38" s="276">
        <f t="shared" ref="AA38" si="86">R38</f>
        <v>32.590000000000003</v>
      </c>
      <c r="AB38" s="276">
        <f t="shared" ref="AB38:AG39" si="87">S38</f>
        <v>32.590000000000003</v>
      </c>
      <c r="AC38" s="276">
        <f t="shared" si="87"/>
        <v>0</v>
      </c>
      <c r="AD38" s="276">
        <f t="shared" si="87"/>
        <v>0</v>
      </c>
      <c r="AE38" s="276">
        <f t="shared" si="87"/>
        <v>0</v>
      </c>
      <c r="AF38" s="276">
        <f t="shared" si="87"/>
        <v>0</v>
      </c>
      <c r="AG38" s="276">
        <f t="shared" si="87"/>
        <v>0</v>
      </c>
      <c r="AH38" s="276"/>
      <c r="AI38" s="276">
        <f>E38*$N38*(1+$O38%)</f>
        <v>19.250000000000004</v>
      </c>
      <c r="AJ38" s="276">
        <f t="shared" ref="AJ38" si="88">F38*$N38*(1+$O38%)</f>
        <v>19.250000000000004</v>
      </c>
      <c r="AK38" s="276">
        <f t="shared" ref="AK38:AP39" si="89">G38*$N38*(1+$O38%)</f>
        <v>19.250000000000004</v>
      </c>
      <c r="AL38" s="276">
        <f t="shared" si="89"/>
        <v>0</v>
      </c>
      <c r="AM38" s="276">
        <f t="shared" si="89"/>
        <v>0</v>
      </c>
      <c r="AN38" s="276">
        <f t="shared" si="89"/>
        <v>0</v>
      </c>
      <c r="AO38" s="276">
        <f t="shared" si="89"/>
        <v>0</v>
      </c>
      <c r="AP38" s="276">
        <f t="shared" si="89"/>
        <v>0</v>
      </c>
      <c r="AQ38" s="290"/>
      <c r="AS38" s="165">
        <v>2</v>
      </c>
      <c r="AT38" s="165" t="s">
        <v>992</v>
      </c>
      <c r="AU38" s="165" t="s">
        <v>235</v>
      </c>
      <c r="AV38" s="165">
        <v>30.28</v>
      </c>
      <c r="AW38" s="165">
        <v>16.133333333333301</v>
      </c>
      <c r="AX38" s="165">
        <v>5</v>
      </c>
      <c r="AY38" s="165">
        <v>13.34</v>
      </c>
      <c r="AZ38" s="316">
        <f t="shared" si="19"/>
        <v>-2.3100000000000023</v>
      </c>
    </row>
    <row r="39" spans="1:52" ht="42" hidden="1" customHeight="1">
      <c r="A39" s="300" t="s">
        <v>277</v>
      </c>
      <c r="B39" s="129" t="s">
        <v>278</v>
      </c>
      <c r="C39" s="192" t="s">
        <v>993</v>
      </c>
      <c r="D39" s="129" t="s">
        <v>235</v>
      </c>
      <c r="E39" s="193">
        <v>1</v>
      </c>
      <c r="F39" s="193">
        <v>1</v>
      </c>
      <c r="G39" s="193">
        <v>1</v>
      </c>
      <c r="H39" s="193">
        <f t="shared" si="85"/>
        <v>0</v>
      </c>
      <c r="I39" s="193">
        <f t="shared" si="85"/>
        <v>0</v>
      </c>
      <c r="J39" s="193">
        <f t="shared" si="85"/>
        <v>0</v>
      </c>
      <c r="K39" s="193">
        <f t="shared" si="85"/>
        <v>0</v>
      </c>
      <c r="L39" s="193">
        <f t="shared" si="85"/>
        <v>0</v>
      </c>
      <c r="M39" s="311">
        <f t="shared" ref="M39" si="90">N39+N39*O39/100+P39</f>
        <v>16.268275000000003</v>
      </c>
      <c r="N39" s="311">
        <f>'附件4-8甲供材料清单'!$M$196</f>
        <v>6.3888333333333334</v>
      </c>
      <c r="O39" s="311">
        <v>5</v>
      </c>
      <c r="P39" s="311">
        <v>9.56</v>
      </c>
      <c r="Q39" s="139">
        <f t="shared" ref="Q39" si="91">E39*$M39</f>
        <v>16.268275000000003</v>
      </c>
      <c r="R39" s="139">
        <f t="shared" ref="R39" si="92">F39*$M39</f>
        <v>16.268275000000003</v>
      </c>
      <c r="S39" s="139">
        <f t="shared" ref="S39" si="93">G39*$M39</f>
        <v>16.268275000000003</v>
      </c>
      <c r="T39" s="139">
        <f t="shared" ref="T39" si="94">H39*$M39</f>
        <v>0</v>
      </c>
      <c r="U39" s="139">
        <f t="shared" si="48"/>
        <v>0</v>
      </c>
      <c r="V39" s="139">
        <f t="shared" si="49"/>
        <v>0</v>
      </c>
      <c r="W39" s="139">
        <f t="shared" si="50"/>
        <v>0</v>
      </c>
      <c r="X39" s="139">
        <f t="shared" si="51"/>
        <v>0</v>
      </c>
      <c r="Y39" s="192" t="s">
        <v>244</v>
      </c>
      <c r="Z39" s="276">
        <f>Q39</f>
        <v>16.268275000000003</v>
      </c>
      <c r="AA39" s="276">
        <f>R39</f>
        <v>16.268275000000003</v>
      </c>
      <c r="AB39" s="276">
        <f t="shared" si="87"/>
        <v>16.268275000000003</v>
      </c>
      <c r="AC39" s="276">
        <f t="shared" si="87"/>
        <v>0</v>
      </c>
      <c r="AD39" s="276">
        <f t="shared" si="87"/>
        <v>0</v>
      </c>
      <c r="AE39" s="276">
        <f t="shared" si="87"/>
        <v>0</v>
      </c>
      <c r="AF39" s="276">
        <f t="shared" si="87"/>
        <v>0</v>
      </c>
      <c r="AG39" s="276">
        <f t="shared" si="87"/>
        <v>0</v>
      </c>
      <c r="AH39" s="276"/>
      <c r="AI39" s="276">
        <f>E39*$N39*(1+$O39%)</f>
        <v>6.7082750000000004</v>
      </c>
      <c r="AJ39" s="276">
        <f>F39*$N39*(1+$O39%)</f>
        <v>6.7082750000000004</v>
      </c>
      <c r="AK39" s="276">
        <f t="shared" si="89"/>
        <v>6.7082750000000004</v>
      </c>
      <c r="AL39" s="276">
        <f t="shared" si="89"/>
        <v>0</v>
      </c>
      <c r="AM39" s="276">
        <f t="shared" si="89"/>
        <v>0</v>
      </c>
      <c r="AN39" s="276">
        <f t="shared" si="89"/>
        <v>0</v>
      </c>
      <c r="AO39" s="276">
        <f t="shared" si="89"/>
        <v>0</v>
      </c>
      <c r="AP39" s="276">
        <f t="shared" si="89"/>
        <v>0</v>
      </c>
      <c r="AQ39" s="290"/>
      <c r="AZ39" s="316">
        <f t="shared" si="19"/>
        <v>-16.268275000000003</v>
      </c>
    </row>
    <row r="40" spans="1:52" ht="22.5" hidden="1">
      <c r="A40" s="300"/>
      <c r="B40" s="129">
        <v>3</v>
      </c>
      <c r="C40" s="192" t="s">
        <v>994</v>
      </c>
      <c r="D40" s="129" t="s">
        <v>235</v>
      </c>
      <c r="E40" s="193"/>
      <c r="F40" s="193"/>
      <c r="G40" s="193"/>
      <c r="H40" s="193"/>
      <c r="I40" s="193"/>
      <c r="J40" s="193"/>
      <c r="K40" s="193"/>
      <c r="L40" s="193"/>
      <c r="M40" s="311">
        <f t="shared" ref="M40:M48" si="95">N40+N40*O40/100+P40</f>
        <v>73.56</v>
      </c>
      <c r="N40" s="311">
        <v>57</v>
      </c>
      <c r="O40" s="311">
        <v>3</v>
      </c>
      <c r="P40" s="311">
        <v>14.85</v>
      </c>
      <c r="Q40" s="139">
        <f t="shared" ref="Q40:Q48" si="96">E40*$M40</f>
        <v>0</v>
      </c>
      <c r="R40" s="139">
        <f t="shared" ref="R40:R48" si="97">F40*$M40</f>
        <v>0</v>
      </c>
      <c r="S40" s="139">
        <f t="shared" ref="S40:S48" si="98">G40*$M40</f>
        <v>0</v>
      </c>
      <c r="T40" s="139">
        <f t="shared" ref="T40:T48" si="99">H40*$M40</f>
        <v>0</v>
      </c>
      <c r="U40" s="139">
        <f t="shared" si="48"/>
        <v>0</v>
      </c>
      <c r="V40" s="139">
        <f t="shared" si="49"/>
        <v>0</v>
      </c>
      <c r="W40" s="139">
        <f t="shared" si="50"/>
        <v>0</v>
      </c>
      <c r="X40" s="139">
        <f t="shared" si="51"/>
        <v>0</v>
      </c>
      <c r="Y40" s="192"/>
      <c r="Z40" s="276"/>
      <c r="AA40" s="276"/>
      <c r="AB40" s="276"/>
      <c r="AC40" s="276"/>
      <c r="AD40" s="276"/>
      <c r="AE40" s="276"/>
      <c r="AF40" s="276"/>
      <c r="AG40" s="276"/>
      <c r="AH40" s="276"/>
      <c r="AI40" s="276"/>
      <c r="AJ40" s="276"/>
      <c r="AK40" s="276"/>
      <c r="AL40" s="276"/>
      <c r="AM40" s="276"/>
      <c r="AN40" s="276"/>
      <c r="AO40" s="276"/>
      <c r="AP40" s="276"/>
      <c r="AQ40" s="290"/>
      <c r="AS40" s="165">
        <v>3</v>
      </c>
      <c r="AT40" s="165" t="s">
        <v>994</v>
      </c>
      <c r="AU40" s="165" t="s">
        <v>235</v>
      </c>
      <c r="AV40" s="165">
        <v>73.56</v>
      </c>
      <c r="AW40" s="165">
        <v>57</v>
      </c>
      <c r="AX40" s="165">
        <v>3</v>
      </c>
      <c r="AY40" s="165">
        <v>14.85</v>
      </c>
      <c r="AZ40" s="316">
        <f t="shared" ref="AZ40" si="100">AV40-M40</f>
        <v>0</v>
      </c>
    </row>
    <row r="41" spans="1:52" ht="33.75" hidden="1">
      <c r="A41" s="300"/>
      <c r="B41" s="129">
        <v>4</v>
      </c>
      <c r="C41" s="192" t="s">
        <v>995</v>
      </c>
      <c r="D41" s="129" t="s">
        <v>231</v>
      </c>
      <c r="E41" s="193"/>
      <c r="F41" s="193"/>
      <c r="G41" s="193"/>
      <c r="H41" s="193"/>
      <c r="I41" s="193"/>
      <c r="J41" s="193"/>
      <c r="K41" s="193"/>
      <c r="L41" s="193"/>
      <c r="M41" s="311">
        <f t="shared" si="95"/>
        <v>562.92240000000004</v>
      </c>
      <c r="N41" s="311">
        <v>280</v>
      </c>
      <c r="O41" s="311">
        <v>2</v>
      </c>
      <c r="P41" s="311">
        <v>277.32240000000002</v>
      </c>
      <c r="Q41" s="139">
        <f t="shared" si="96"/>
        <v>0</v>
      </c>
      <c r="R41" s="139">
        <f t="shared" si="97"/>
        <v>0</v>
      </c>
      <c r="S41" s="139">
        <f t="shared" si="98"/>
        <v>0</v>
      </c>
      <c r="T41" s="139">
        <f t="shared" si="99"/>
        <v>0</v>
      </c>
      <c r="U41" s="139">
        <f t="shared" si="48"/>
        <v>0</v>
      </c>
      <c r="V41" s="139">
        <f t="shared" si="49"/>
        <v>0</v>
      </c>
      <c r="W41" s="139">
        <f t="shared" si="50"/>
        <v>0</v>
      </c>
      <c r="X41" s="139">
        <f t="shared" si="51"/>
        <v>0</v>
      </c>
      <c r="Y41" s="192" t="s">
        <v>792</v>
      </c>
      <c r="Z41" s="276"/>
      <c r="AA41" s="276"/>
      <c r="AB41" s="276"/>
      <c r="AC41" s="276"/>
      <c r="AD41" s="276"/>
      <c r="AE41" s="276"/>
      <c r="AF41" s="276"/>
      <c r="AG41" s="276"/>
      <c r="AH41" s="276"/>
      <c r="AI41" s="276"/>
      <c r="AJ41" s="276"/>
      <c r="AK41" s="276"/>
      <c r="AL41" s="276"/>
      <c r="AM41" s="276"/>
      <c r="AN41" s="276"/>
      <c r="AO41" s="276"/>
      <c r="AP41" s="276"/>
      <c r="AQ41" s="290"/>
      <c r="AS41" s="165">
        <v>4</v>
      </c>
      <c r="AT41" s="165" t="s">
        <v>995</v>
      </c>
      <c r="AU41" s="165" t="s">
        <v>231</v>
      </c>
      <c r="AV41" s="165">
        <v>562.92240000000004</v>
      </c>
      <c r="AW41" s="165">
        <v>280</v>
      </c>
      <c r="AX41" s="165">
        <v>2</v>
      </c>
      <c r="AY41" s="165">
        <v>277.32240000000002</v>
      </c>
      <c r="AZ41" s="316">
        <f t="shared" ref="AZ41:AZ71" si="101">AV41-M41</f>
        <v>0</v>
      </c>
    </row>
    <row r="42" spans="1:52" ht="41.25" hidden="1" customHeight="1">
      <c r="A42" s="300"/>
      <c r="B42" s="129">
        <v>5</v>
      </c>
      <c r="C42" s="192" t="s">
        <v>996</v>
      </c>
      <c r="D42" s="129" t="s">
        <v>231</v>
      </c>
      <c r="E42" s="303"/>
      <c r="F42" s="193"/>
      <c r="G42" s="193"/>
      <c r="H42" s="193"/>
      <c r="I42" s="193"/>
      <c r="J42" s="193"/>
      <c r="K42" s="193"/>
      <c r="L42" s="193"/>
      <c r="M42" s="311">
        <f t="shared" si="95"/>
        <v>549.9</v>
      </c>
      <c r="N42" s="311">
        <v>450</v>
      </c>
      <c r="O42" s="311">
        <v>3</v>
      </c>
      <c r="P42" s="311">
        <v>86.4</v>
      </c>
      <c r="Q42" s="139">
        <f t="shared" si="96"/>
        <v>0</v>
      </c>
      <c r="R42" s="139">
        <f t="shared" si="97"/>
        <v>0</v>
      </c>
      <c r="S42" s="139">
        <f t="shared" si="98"/>
        <v>0</v>
      </c>
      <c r="T42" s="139">
        <f t="shared" si="99"/>
        <v>0</v>
      </c>
      <c r="U42" s="139">
        <f t="shared" si="48"/>
        <v>0</v>
      </c>
      <c r="V42" s="139">
        <f t="shared" si="49"/>
        <v>0</v>
      </c>
      <c r="W42" s="139">
        <f t="shared" si="50"/>
        <v>0</v>
      </c>
      <c r="X42" s="139">
        <f t="shared" si="51"/>
        <v>0</v>
      </c>
      <c r="Y42" s="192"/>
      <c r="Z42" s="276"/>
      <c r="AA42" s="276"/>
      <c r="AB42" s="276"/>
      <c r="AC42" s="276"/>
      <c r="AD42" s="276"/>
      <c r="AE42" s="276"/>
      <c r="AF42" s="276"/>
      <c r="AG42" s="276"/>
      <c r="AH42" s="276"/>
      <c r="AI42" s="276"/>
      <c r="AJ42" s="276"/>
      <c r="AK42" s="276"/>
      <c r="AL42" s="276"/>
      <c r="AM42" s="276"/>
      <c r="AN42" s="276"/>
      <c r="AO42" s="276"/>
      <c r="AP42" s="276"/>
      <c r="AQ42" s="290"/>
      <c r="AS42" s="165">
        <v>5</v>
      </c>
      <c r="AT42" s="165" t="s">
        <v>996</v>
      </c>
      <c r="AU42" s="165" t="s">
        <v>231</v>
      </c>
      <c r="AV42" s="165">
        <v>549.9</v>
      </c>
      <c r="AW42" s="165">
        <v>450</v>
      </c>
      <c r="AX42" s="165">
        <v>3</v>
      </c>
      <c r="AY42" s="165">
        <v>86.4</v>
      </c>
      <c r="AZ42" s="316">
        <f t="shared" si="101"/>
        <v>0</v>
      </c>
    </row>
    <row r="43" spans="1:52" ht="31.5" hidden="1" customHeight="1">
      <c r="A43" s="300"/>
      <c r="B43" s="129">
        <v>6</v>
      </c>
      <c r="C43" s="192" t="s">
        <v>997</v>
      </c>
      <c r="D43" s="129" t="s">
        <v>231</v>
      </c>
      <c r="E43" s="303"/>
      <c r="F43" s="193"/>
      <c r="G43" s="193"/>
      <c r="H43" s="193"/>
      <c r="I43" s="193"/>
      <c r="J43" s="193"/>
      <c r="K43" s="193"/>
      <c r="L43" s="193"/>
      <c r="M43" s="311">
        <f t="shared" si="95"/>
        <v>179.10000000000002</v>
      </c>
      <c r="N43" s="311">
        <v>90</v>
      </c>
      <c r="O43" s="311">
        <v>3</v>
      </c>
      <c r="P43" s="311">
        <v>86.4</v>
      </c>
      <c r="Q43" s="139">
        <f t="shared" si="96"/>
        <v>0</v>
      </c>
      <c r="R43" s="139">
        <f t="shared" si="97"/>
        <v>0</v>
      </c>
      <c r="S43" s="139">
        <f t="shared" si="98"/>
        <v>0</v>
      </c>
      <c r="T43" s="139">
        <f t="shared" si="99"/>
        <v>0</v>
      </c>
      <c r="U43" s="139">
        <f t="shared" si="48"/>
        <v>0</v>
      </c>
      <c r="V43" s="139">
        <f t="shared" si="49"/>
        <v>0</v>
      </c>
      <c r="W43" s="139">
        <f t="shared" si="50"/>
        <v>0</v>
      </c>
      <c r="X43" s="139">
        <f t="shared" si="51"/>
        <v>0</v>
      </c>
      <c r="Y43" s="192"/>
      <c r="Z43" s="276"/>
      <c r="AA43" s="276"/>
      <c r="AB43" s="276"/>
      <c r="AC43" s="276"/>
      <c r="AD43" s="276"/>
      <c r="AE43" s="276"/>
      <c r="AF43" s="276"/>
      <c r="AG43" s="276"/>
      <c r="AH43" s="276"/>
      <c r="AI43" s="276"/>
      <c r="AJ43" s="276"/>
      <c r="AK43" s="276"/>
      <c r="AL43" s="276"/>
      <c r="AM43" s="276"/>
      <c r="AN43" s="276"/>
      <c r="AO43" s="276"/>
      <c r="AP43" s="276"/>
      <c r="AQ43" s="290"/>
      <c r="AS43" s="165">
        <v>6</v>
      </c>
      <c r="AT43" s="165" t="s">
        <v>997</v>
      </c>
      <c r="AU43" s="165" t="s">
        <v>231</v>
      </c>
      <c r="AV43" s="165">
        <v>179.1</v>
      </c>
      <c r="AW43" s="165">
        <v>90</v>
      </c>
      <c r="AX43" s="165">
        <v>3</v>
      </c>
      <c r="AY43" s="165">
        <v>86.4</v>
      </c>
      <c r="AZ43" s="316">
        <f t="shared" si="101"/>
        <v>0</v>
      </c>
    </row>
    <row r="44" spans="1:52" ht="31.5" hidden="1" customHeight="1">
      <c r="A44" s="300"/>
      <c r="B44" s="129">
        <v>7</v>
      </c>
      <c r="C44" s="196" t="s">
        <v>998</v>
      </c>
      <c r="D44" s="129" t="s">
        <v>231</v>
      </c>
      <c r="E44" s="303"/>
      <c r="F44" s="193"/>
      <c r="G44" s="193"/>
      <c r="H44" s="193"/>
      <c r="I44" s="193"/>
      <c r="J44" s="193"/>
      <c r="K44" s="193"/>
      <c r="L44" s="193"/>
      <c r="M44" s="311">
        <f t="shared" si="95"/>
        <v>1111.25</v>
      </c>
      <c r="N44" s="311">
        <v>995</v>
      </c>
      <c r="O44" s="311">
        <v>3</v>
      </c>
      <c r="P44" s="311">
        <v>86.4</v>
      </c>
      <c r="Q44" s="139">
        <f t="shared" si="96"/>
        <v>0</v>
      </c>
      <c r="R44" s="139">
        <f t="shared" si="97"/>
        <v>0</v>
      </c>
      <c r="S44" s="139">
        <f t="shared" si="98"/>
        <v>0</v>
      </c>
      <c r="T44" s="139">
        <f t="shared" si="99"/>
        <v>0</v>
      </c>
      <c r="U44" s="139">
        <f t="shared" si="48"/>
        <v>0</v>
      </c>
      <c r="V44" s="139">
        <f t="shared" si="49"/>
        <v>0</v>
      </c>
      <c r="W44" s="139">
        <f t="shared" si="50"/>
        <v>0</v>
      </c>
      <c r="X44" s="139">
        <f t="shared" si="51"/>
        <v>0</v>
      </c>
      <c r="Y44" s="192"/>
      <c r="Z44" s="276"/>
      <c r="AA44" s="276"/>
      <c r="AB44" s="276"/>
      <c r="AC44" s="276"/>
      <c r="AD44" s="276"/>
      <c r="AE44" s="276"/>
      <c r="AF44" s="276"/>
      <c r="AG44" s="276"/>
      <c r="AH44" s="276"/>
      <c r="AI44" s="276"/>
      <c r="AJ44" s="276"/>
      <c r="AK44" s="276"/>
      <c r="AL44" s="276"/>
      <c r="AM44" s="276"/>
      <c r="AN44" s="276"/>
      <c r="AO44" s="276"/>
      <c r="AP44" s="276"/>
      <c r="AQ44" s="290"/>
      <c r="AS44" s="165">
        <v>7</v>
      </c>
      <c r="AT44" s="165" t="s">
        <v>998</v>
      </c>
      <c r="AU44" s="165" t="s">
        <v>231</v>
      </c>
      <c r="AV44" s="165">
        <v>1111.25</v>
      </c>
      <c r="AW44" s="165">
        <v>995</v>
      </c>
      <c r="AX44" s="165">
        <v>3</v>
      </c>
      <c r="AY44" s="165">
        <v>86.4</v>
      </c>
      <c r="AZ44" s="316">
        <f t="shared" si="101"/>
        <v>0</v>
      </c>
    </row>
    <row r="45" spans="1:52" ht="31.5" hidden="1" customHeight="1">
      <c r="A45" s="300"/>
      <c r="B45" s="129">
        <v>8</v>
      </c>
      <c r="C45" s="192" t="s">
        <v>999</v>
      </c>
      <c r="D45" s="129" t="s">
        <v>231</v>
      </c>
      <c r="E45" s="303"/>
      <c r="F45" s="193"/>
      <c r="G45" s="193"/>
      <c r="H45" s="193"/>
      <c r="I45" s="193"/>
      <c r="J45" s="193"/>
      <c r="K45" s="193"/>
      <c r="L45" s="193"/>
      <c r="M45" s="311">
        <f t="shared" si="95"/>
        <v>393.81600000000003</v>
      </c>
      <c r="N45" s="311">
        <v>280</v>
      </c>
      <c r="O45" s="311">
        <v>2</v>
      </c>
      <c r="P45" s="311">
        <v>108.21599999999999</v>
      </c>
      <c r="Q45" s="139">
        <f t="shared" si="96"/>
        <v>0</v>
      </c>
      <c r="R45" s="139">
        <f t="shared" si="97"/>
        <v>0</v>
      </c>
      <c r="S45" s="139">
        <f t="shared" si="98"/>
        <v>0</v>
      </c>
      <c r="T45" s="139">
        <f t="shared" si="99"/>
        <v>0</v>
      </c>
      <c r="U45" s="139">
        <f t="shared" si="48"/>
        <v>0</v>
      </c>
      <c r="V45" s="139">
        <f t="shared" si="49"/>
        <v>0</v>
      </c>
      <c r="W45" s="139">
        <f t="shared" si="50"/>
        <v>0</v>
      </c>
      <c r="X45" s="139">
        <f t="shared" si="51"/>
        <v>0</v>
      </c>
      <c r="Y45" s="192"/>
      <c r="Z45" s="276"/>
      <c r="AA45" s="276"/>
      <c r="AB45" s="276"/>
      <c r="AC45" s="276"/>
      <c r="AD45" s="276"/>
      <c r="AE45" s="276"/>
      <c r="AF45" s="276"/>
      <c r="AG45" s="276"/>
      <c r="AH45" s="276"/>
      <c r="AI45" s="276"/>
      <c r="AJ45" s="276"/>
      <c r="AK45" s="276"/>
      <c r="AL45" s="276"/>
      <c r="AM45" s="276"/>
      <c r="AN45" s="276"/>
      <c r="AO45" s="276"/>
      <c r="AP45" s="276"/>
      <c r="AQ45" s="290"/>
      <c r="AS45" s="165">
        <v>8</v>
      </c>
      <c r="AT45" s="165" t="s">
        <v>999</v>
      </c>
      <c r="AU45" s="165" t="s">
        <v>231</v>
      </c>
      <c r="AV45" s="165">
        <v>393.81599999999997</v>
      </c>
      <c r="AW45" s="165">
        <v>280</v>
      </c>
      <c r="AX45" s="165">
        <v>2</v>
      </c>
      <c r="AY45" s="165">
        <v>108.21599999999999</v>
      </c>
      <c r="AZ45" s="316">
        <f t="shared" si="101"/>
        <v>0</v>
      </c>
    </row>
    <row r="46" spans="1:52" ht="31.5" hidden="1" customHeight="1">
      <c r="A46" s="300"/>
      <c r="B46" s="129">
        <v>9</v>
      </c>
      <c r="C46" s="192" t="s">
        <v>1000</v>
      </c>
      <c r="D46" s="129" t="s">
        <v>235</v>
      </c>
      <c r="E46" s="193"/>
      <c r="F46" s="193"/>
      <c r="G46" s="193"/>
      <c r="H46" s="193"/>
      <c r="I46" s="193"/>
      <c r="J46" s="193"/>
      <c r="K46" s="193"/>
      <c r="L46" s="193"/>
      <c r="M46" s="311">
        <f t="shared" si="95"/>
        <v>93.134</v>
      </c>
      <c r="N46" s="311">
        <v>60.8</v>
      </c>
      <c r="O46" s="311">
        <v>3</v>
      </c>
      <c r="P46" s="311">
        <v>30.51</v>
      </c>
      <c r="Q46" s="139">
        <f t="shared" si="96"/>
        <v>0</v>
      </c>
      <c r="R46" s="139">
        <f t="shared" si="97"/>
        <v>0</v>
      </c>
      <c r="S46" s="139">
        <f t="shared" si="98"/>
        <v>0</v>
      </c>
      <c r="T46" s="139">
        <f t="shared" si="99"/>
        <v>0</v>
      </c>
      <c r="U46" s="139">
        <f t="shared" si="48"/>
        <v>0</v>
      </c>
      <c r="V46" s="139">
        <f t="shared" si="49"/>
        <v>0</v>
      </c>
      <c r="W46" s="139">
        <f t="shared" si="50"/>
        <v>0</v>
      </c>
      <c r="X46" s="139">
        <f t="shared" si="51"/>
        <v>0</v>
      </c>
      <c r="Y46" s="192" t="s">
        <v>795</v>
      </c>
      <c r="Z46" s="276"/>
      <c r="AA46" s="276"/>
      <c r="AB46" s="276"/>
      <c r="AC46" s="276"/>
      <c r="AD46" s="276"/>
      <c r="AE46" s="276"/>
      <c r="AF46" s="276"/>
      <c r="AG46" s="276"/>
      <c r="AH46" s="276"/>
      <c r="AI46" s="276"/>
      <c r="AJ46" s="276"/>
      <c r="AK46" s="276"/>
      <c r="AL46" s="276"/>
      <c r="AM46" s="276"/>
      <c r="AN46" s="276"/>
      <c r="AO46" s="276"/>
      <c r="AP46" s="276"/>
      <c r="AQ46" s="290"/>
      <c r="AS46" s="165">
        <v>9</v>
      </c>
      <c r="AT46" s="165" t="s">
        <v>1000</v>
      </c>
      <c r="AU46" s="165" t="s">
        <v>235</v>
      </c>
      <c r="AV46" s="165">
        <v>93.134</v>
      </c>
      <c r="AW46" s="165">
        <v>60.8</v>
      </c>
      <c r="AX46" s="165">
        <v>3</v>
      </c>
      <c r="AY46" s="165">
        <v>30.51</v>
      </c>
      <c r="AZ46" s="316">
        <f t="shared" si="101"/>
        <v>0</v>
      </c>
    </row>
    <row r="47" spans="1:52" ht="31.5" hidden="1" customHeight="1">
      <c r="A47" s="300"/>
      <c r="B47" s="129">
        <v>10</v>
      </c>
      <c r="C47" s="192" t="s">
        <v>1001</v>
      </c>
      <c r="D47" s="129" t="s">
        <v>270</v>
      </c>
      <c r="E47" s="202"/>
      <c r="F47" s="193"/>
      <c r="G47" s="193"/>
      <c r="H47" s="193"/>
      <c r="I47" s="193"/>
      <c r="J47" s="193"/>
      <c r="K47" s="193"/>
      <c r="L47" s="193"/>
      <c r="M47" s="311">
        <f t="shared" si="95"/>
        <v>28.156427999999998</v>
      </c>
      <c r="N47" s="311">
        <f>9800*0.12*0.027*0.15+500*0.12*0.15</f>
        <v>13.762799999999999</v>
      </c>
      <c r="O47" s="311">
        <v>1</v>
      </c>
      <c r="P47" s="311">
        <v>14.256</v>
      </c>
      <c r="Q47" s="139">
        <f t="shared" si="96"/>
        <v>0</v>
      </c>
      <c r="R47" s="139">
        <f t="shared" si="97"/>
        <v>0</v>
      </c>
      <c r="S47" s="139">
        <f t="shared" si="98"/>
        <v>0</v>
      </c>
      <c r="T47" s="139">
        <f t="shared" si="99"/>
        <v>0</v>
      </c>
      <c r="U47" s="139">
        <f t="shared" si="48"/>
        <v>0</v>
      </c>
      <c r="V47" s="139">
        <f t="shared" si="49"/>
        <v>0</v>
      </c>
      <c r="W47" s="139">
        <f t="shared" si="50"/>
        <v>0</v>
      </c>
      <c r="X47" s="139">
        <f t="shared" si="51"/>
        <v>0</v>
      </c>
      <c r="Y47" s="192"/>
      <c r="Z47" s="276"/>
      <c r="AA47" s="276"/>
      <c r="AB47" s="276"/>
      <c r="AC47" s="276"/>
      <c r="AD47" s="276"/>
      <c r="AE47" s="276"/>
      <c r="AF47" s="276"/>
      <c r="AG47" s="276"/>
      <c r="AH47" s="276"/>
      <c r="AI47" s="276"/>
      <c r="AJ47" s="276"/>
      <c r="AK47" s="276"/>
      <c r="AL47" s="276"/>
      <c r="AM47" s="276"/>
      <c r="AN47" s="276"/>
      <c r="AO47" s="276"/>
      <c r="AP47" s="276"/>
      <c r="AQ47" s="290"/>
      <c r="AS47" s="165">
        <v>10</v>
      </c>
      <c r="AT47" s="165" t="s">
        <v>1002</v>
      </c>
      <c r="AU47" s="165" t="s">
        <v>270</v>
      </c>
      <c r="AV47" s="165">
        <v>28.156427999999998</v>
      </c>
      <c r="AW47" s="165">
        <v>13.7628</v>
      </c>
      <c r="AX47" s="165">
        <v>1</v>
      </c>
      <c r="AY47" s="165">
        <v>14.256</v>
      </c>
      <c r="AZ47" s="316">
        <f t="shared" si="101"/>
        <v>0</v>
      </c>
    </row>
    <row r="48" spans="1:52" ht="55.5" hidden="1" customHeight="1">
      <c r="A48" s="300"/>
      <c r="B48" s="129">
        <v>11</v>
      </c>
      <c r="C48" s="192" t="s">
        <v>914</v>
      </c>
      <c r="D48" s="129" t="s">
        <v>231</v>
      </c>
      <c r="E48" s="308"/>
      <c r="F48" s="193"/>
      <c r="G48" s="193"/>
      <c r="H48" s="193"/>
      <c r="I48" s="193"/>
      <c r="J48" s="193"/>
      <c r="K48" s="193"/>
      <c r="L48" s="193"/>
      <c r="M48" s="311">
        <f t="shared" si="95"/>
        <v>562.92000000000007</v>
      </c>
      <c r="N48" s="311">
        <v>280</v>
      </c>
      <c r="O48" s="311">
        <v>2</v>
      </c>
      <c r="P48" s="311">
        <v>277.32</v>
      </c>
      <c r="Q48" s="139">
        <f t="shared" si="96"/>
        <v>0</v>
      </c>
      <c r="R48" s="139">
        <f t="shared" si="97"/>
        <v>0</v>
      </c>
      <c r="S48" s="139">
        <f t="shared" si="98"/>
        <v>0</v>
      </c>
      <c r="T48" s="139">
        <f t="shared" si="99"/>
        <v>0</v>
      </c>
      <c r="U48" s="139">
        <f t="shared" si="48"/>
        <v>0</v>
      </c>
      <c r="V48" s="139">
        <f t="shared" si="49"/>
        <v>0</v>
      </c>
      <c r="W48" s="139">
        <f t="shared" si="50"/>
        <v>0</v>
      </c>
      <c r="X48" s="139">
        <f t="shared" si="51"/>
        <v>0</v>
      </c>
      <c r="Y48" s="192" t="s">
        <v>792</v>
      </c>
      <c r="Z48" s="276"/>
      <c r="AA48" s="276"/>
      <c r="AB48" s="276"/>
      <c r="AC48" s="276"/>
      <c r="AD48" s="276"/>
      <c r="AE48" s="276"/>
      <c r="AF48" s="276"/>
      <c r="AG48" s="276"/>
      <c r="AH48" s="276"/>
      <c r="AI48" s="276"/>
      <c r="AJ48" s="276"/>
      <c r="AK48" s="276"/>
      <c r="AL48" s="276"/>
      <c r="AM48" s="276"/>
      <c r="AN48" s="276"/>
      <c r="AO48" s="276"/>
      <c r="AP48" s="276"/>
      <c r="AQ48" s="290"/>
      <c r="AS48" s="165">
        <v>11</v>
      </c>
      <c r="AT48" s="165" t="s">
        <v>1003</v>
      </c>
      <c r="AU48" s="165" t="s">
        <v>231</v>
      </c>
      <c r="AV48" s="165">
        <v>562.91999999999996</v>
      </c>
      <c r="AW48" s="165">
        <v>280</v>
      </c>
      <c r="AX48" s="165">
        <v>2</v>
      </c>
      <c r="AY48" s="165">
        <v>277.32</v>
      </c>
      <c r="AZ48" s="316">
        <f t="shared" si="101"/>
        <v>0</v>
      </c>
    </row>
    <row r="49" spans="1:52" ht="33" hidden="1" customHeight="1">
      <c r="A49" s="300" t="s">
        <v>1004</v>
      </c>
      <c r="B49" s="129" t="s">
        <v>278</v>
      </c>
      <c r="C49" s="196" t="s">
        <v>883</v>
      </c>
      <c r="D49" s="129" t="s">
        <v>235</v>
      </c>
      <c r="E49" s="193">
        <v>1</v>
      </c>
      <c r="F49" s="193">
        <v>1</v>
      </c>
      <c r="G49" s="193">
        <v>1</v>
      </c>
      <c r="H49" s="193">
        <f t="shared" ref="H49" si="102">SUBTOTAL(9,E49:G49)</f>
        <v>0</v>
      </c>
      <c r="I49" s="193">
        <f t="shared" ref="I49" si="103">SUBTOTAL(9,F49:H49)</f>
        <v>0</v>
      </c>
      <c r="J49" s="193">
        <f t="shared" ref="J49" si="104">SUBTOTAL(9,G49:I49)</f>
        <v>0</v>
      </c>
      <c r="K49" s="193">
        <f t="shared" ref="K49" si="105">SUBTOTAL(9,H49:J49)</f>
        <v>0</v>
      </c>
      <c r="L49" s="193">
        <f t="shared" ref="L49" si="106">SUBTOTAL(9,I49:K49)</f>
        <v>0</v>
      </c>
      <c r="M49" s="311">
        <f t="shared" ref="M49" si="107">N49+N49*O49%+P49</f>
        <v>119.78076000000001</v>
      </c>
      <c r="N49" s="311">
        <f>9800*0.095*0.032+9.5*7</f>
        <v>96.292000000000002</v>
      </c>
      <c r="O49" s="311">
        <v>3</v>
      </c>
      <c r="P49" s="311">
        <v>20.6</v>
      </c>
      <c r="Q49" s="139">
        <f t="shared" ref="Q49" si="108">E49*$M49</f>
        <v>119.78076000000001</v>
      </c>
      <c r="R49" s="139">
        <f t="shared" ref="R49:R87" si="109">F49*$M49</f>
        <v>119.78076000000001</v>
      </c>
      <c r="S49" s="139">
        <f t="shared" ref="S49:S87" si="110">G49*$M49</f>
        <v>119.78076000000001</v>
      </c>
      <c r="T49" s="139">
        <f t="shared" ref="T49:T87" si="111">H49*$M49</f>
        <v>0</v>
      </c>
      <c r="U49" s="139">
        <f t="shared" si="48"/>
        <v>0</v>
      </c>
      <c r="V49" s="139">
        <f t="shared" si="49"/>
        <v>0</v>
      </c>
      <c r="W49" s="139">
        <f t="shared" si="50"/>
        <v>0</v>
      </c>
      <c r="X49" s="139">
        <f t="shared" si="51"/>
        <v>0</v>
      </c>
      <c r="Y49" s="315"/>
      <c r="Z49" s="276"/>
      <c r="AA49" s="276"/>
      <c r="AB49" s="276"/>
      <c r="AC49" s="276"/>
      <c r="AD49" s="276"/>
      <c r="AE49" s="276"/>
      <c r="AF49" s="276"/>
      <c r="AG49" s="276"/>
      <c r="AH49" s="276"/>
      <c r="AI49" s="276"/>
      <c r="AJ49" s="276"/>
      <c r="AK49" s="276"/>
      <c r="AL49" s="276"/>
      <c r="AM49" s="276"/>
      <c r="AN49" s="276"/>
      <c r="AO49" s="276"/>
      <c r="AP49" s="276"/>
      <c r="AQ49" s="290"/>
      <c r="AZ49" s="316">
        <f t="shared" si="101"/>
        <v>-119.78076000000001</v>
      </c>
    </row>
    <row r="50" spans="1:52" ht="33" hidden="1" customHeight="1">
      <c r="A50" s="300" t="s">
        <v>1004</v>
      </c>
      <c r="B50" s="129" t="s">
        <v>278</v>
      </c>
      <c r="C50" s="196" t="s">
        <v>885</v>
      </c>
      <c r="D50" s="129" t="s">
        <v>235</v>
      </c>
      <c r="E50" s="193">
        <v>1</v>
      </c>
      <c r="F50" s="193">
        <v>1</v>
      </c>
      <c r="G50" s="193">
        <v>1</v>
      </c>
      <c r="H50" s="193">
        <f t="shared" ref="H50:L55" si="112">SUBTOTAL(9,E50:G50)</f>
        <v>0</v>
      </c>
      <c r="I50" s="193">
        <f t="shared" si="112"/>
        <v>0</v>
      </c>
      <c r="J50" s="193">
        <f t="shared" si="112"/>
        <v>0</v>
      </c>
      <c r="K50" s="193">
        <f t="shared" si="112"/>
        <v>0</v>
      </c>
      <c r="L50" s="193">
        <f t="shared" si="112"/>
        <v>0</v>
      </c>
      <c r="M50" s="311">
        <f>N50+N50*O50%+P50</f>
        <v>115.46917999999999</v>
      </c>
      <c r="N50" s="311">
        <f>9800*0.09*0.033+9*7</f>
        <v>92.105999999999995</v>
      </c>
      <c r="O50" s="311">
        <v>3</v>
      </c>
      <c r="P50" s="311">
        <v>20.6</v>
      </c>
      <c r="Q50" s="139">
        <f t="shared" ref="Q50:Q87" si="113">E50*$M50</f>
        <v>115.46917999999999</v>
      </c>
      <c r="R50" s="139">
        <f t="shared" si="109"/>
        <v>115.46917999999999</v>
      </c>
      <c r="S50" s="139">
        <f t="shared" si="110"/>
        <v>115.46917999999999</v>
      </c>
      <c r="T50" s="139">
        <f t="shared" si="111"/>
        <v>0</v>
      </c>
      <c r="U50" s="139">
        <f t="shared" si="48"/>
        <v>0</v>
      </c>
      <c r="V50" s="139">
        <f t="shared" si="49"/>
        <v>0</v>
      </c>
      <c r="W50" s="139">
        <f t="shared" si="50"/>
        <v>0</v>
      </c>
      <c r="X50" s="139">
        <f t="shared" si="51"/>
        <v>0</v>
      </c>
      <c r="Y50" s="315"/>
      <c r="Z50" s="276"/>
      <c r="AA50" s="276"/>
      <c r="AB50" s="276"/>
      <c r="AC50" s="276"/>
      <c r="AD50" s="276"/>
      <c r="AE50" s="276"/>
      <c r="AF50" s="276"/>
      <c r="AG50" s="276"/>
      <c r="AH50" s="276"/>
      <c r="AI50" s="276"/>
      <c r="AJ50" s="276"/>
      <c r="AK50" s="276"/>
      <c r="AL50" s="276"/>
      <c r="AM50" s="276"/>
      <c r="AN50" s="276"/>
      <c r="AO50" s="276"/>
      <c r="AP50" s="276"/>
      <c r="AQ50" s="290"/>
      <c r="AZ50" s="316">
        <f t="shared" si="101"/>
        <v>-115.46917999999999</v>
      </c>
    </row>
    <row r="51" spans="1:52" ht="33" hidden="1" customHeight="1">
      <c r="A51" s="300" t="s">
        <v>1004</v>
      </c>
      <c r="B51" s="129" t="s">
        <v>278</v>
      </c>
      <c r="C51" s="309" t="s">
        <v>887</v>
      </c>
      <c r="D51" s="129" t="s">
        <v>270</v>
      </c>
      <c r="E51" s="193">
        <v>1</v>
      </c>
      <c r="F51" s="193">
        <v>1</v>
      </c>
      <c r="G51" s="193">
        <v>1</v>
      </c>
      <c r="H51" s="193">
        <f t="shared" si="112"/>
        <v>0</v>
      </c>
      <c r="I51" s="193">
        <f t="shared" si="112"/>
        <v>0</v>
      </c>
      <c r="J51" s="193">
        <f t="shared" si="112"/>
        <v>0</v>
      </c>
      <c r="K51" s="193">
        <f t="shared" si="112"/>
        <v>0</v>
      </c>
      <c r="L51" s="193">
        <f t="shared" si="112"/>
        <v>0</v>
      </c>
      <c r="M51" s="311">
        <f>N51+N51*O51%+P51</f>
        <v>35.541750000000008</v>
      </c>
      <c r="N51" s="311">
        <f>9800*0.1*0.25*0.035+500*0.1*0.25</f>
        <v>21.075000000000003</v>
      </c>
      <c r="O51" s="311">
        <v>1</v>
      </c>
      <c r="P51" s="311">
        <v>14.256</v>
      </c>
      <c r="Q51" s="139">
        <f t="shared" si="113"/>
        <v>35.541750000000008</v>
      </c>
      <c r="R51" s="139">
        <f t="shared" si="109"/>
        <v>35.541750000000008</v>
      </c>
      <c r="S51" s="139">
        <f t="shared" si="110"/>
        <v>35.541750000000008</v>
      </c>
      <c r="T51" s="139">
        <f t="shared" si="111"/>
        <v>0</v>
      </c>
      <c r="U51" s="139">
        <f t="shared" si="48"/>
        <v>0</v>
      </c>
      <c r="V51" s="139">
        <f t="shared" si="49"/>
        <v>0</v>
      </c>
      <c r="W51" s="139">
        <f t="shared" si="50"/>
        <v>0</v>
      </c>
      <c r="X51" s="139">
        <f t="shared" si="51"/>
        <v>0</v>
      </c>
      <c r="Y51" s="315"/>
      <c r="Z51" s="276"/>
      <c r="AA51" s="276"/>
      <c r="AB51" s="276"/>
      <c r="AC51" s="276"/>
      <c r="AD51" s="276"/>
      <c r="AE51" s="276"/>
      <c r="AF51" s="276"/>
      <c r="AG51" s="276"/>
      <c r="AH51" s="276"/>
      <c r="AI51" s="276"/>
      <c r="AJ51" s="276"/>
      <c r="AK51" s="276"/>
      <c r="AL51" s="276"/>
      <c r="AM51" s="276"/>
      <c r="AN51" s="276"/>
      <c r="AO51" s="276"/>
      <c r="AP51" s="276"/>
      <c r="AQ51" s="290"/>
      <c r="AZ51" s="316">
        <f t="shared" si="101"/>
        <v>-35.541750000000008</v>
      </c>
    </row>
    <row r="52" spans="1:52" ht="33" hidden="1" customHeight="1">
      <c r="A52" s="300" t="s">
        <v>277</v>
      </c>
      <c r="B52" s="129" t="s">
        <v>278</v>
      </c>
      <c r="C52" s="268" t="s">
        <v>1005</v>
      </c>
      <c r="D52" s="269" t="s">
        <v>231</v>
      </c>
      <c r="E52" s="193">
        <v>1</v>
      </c>
      <c r="F52" s="193">
        <v>1</v>
      </c>
      <c r="G52" s="193">
        <v>1</v>
      </c>
      <c r="H52" s="193">
        <f t="shared" si="112"/>
        <v>0</v>
      </c>
      <c r="I52" s="193">
        <f t="shared" si="112"/>
        <v>0</v>
      </c>
      <c r="J52" s="193">
        <f t="shared" si="112"/>
        <v>0</v>
      </c>
      <c r="K52" s="193">
        <f t="shared" si="112"/>
        <v>0</v>
      </c>
      <c r="L52" s="193">
        <f t="shared" si="112"/>
        <v>0</v>
      </c>
      <c r="M52" s="311">
        <f t="shared" ref="M52" si="114">N52+N52*O52/100+P52</f>
        <v>358.84</v>
      </c>
      <c r="N52" s="311">
        <v>260</v>
      </c>
      <c r="O52" s="311">
        <v>2</v>
      </c>
      <c r="P52" s="311">
        <v>93.64</v>
      </c>
      <c r="Q52" s="139">
        <f t="shared" si="113"/>
        <v>358.84</v>
      </c>
      <c r="R52" s="139">
        <f t="shared" si="109"/>
        <v>358.84</v>
      </c>
      <c r="S52" s="139">
        <f t="shared" si="110"/>
        <v>358.84</v>
      </c>
      <c r="T52" s="139">
        <f t="shared" si="111"/>
        <v>0</v>
      </c>
      <c r="U52" s="139">
        <f t="shared" si="48"/>
        <v>0</v>
      </c>
      <c r="V52" s="139">
        <f t="shared" si="49"/>
        <v>0</v>
      </c>
      <c r="W52" s="139">
        <f t="shared" si="50"/>
        <v>0</v>
      </c>
      <c r="X52" s="139">
        <f t="shared" si="51"/>
        <v>0</v>
      </c>
      <c r="Y52" s="192"/>
      <c r="Z52" s="276"/>
      <c r="AA52" s="276"/>
      <c r="AB52" s="276"/>
      <c r="AC52" s="276"/>
      <c r="AD52" s="276"/>
      <c r="AE52" s="276"/>
      <c r="AF52" s="276"/>
      <c r="AG52" s="276"/>
      <c r="AH52" s="276"/>
      <c r="AI52" s="276"/>
      <c r="AJ52" s="276"/>
      <c r="AK52" s="276"/>
      <c r="AL52" s="276"/>
      <c r="AM52" s="276"/>
      <c r="AN52" s="276"/>
      <c r="AO52" s="276"/>
      <c r="AP52" s="276"/>
      <c r="AQ52" s="290"/>
      <c r="AZ52" s="316">
        <f t="shared" si="101"/>
        <v>-358.84</v>
      </c>
    </row>
    <row r="53" spans="1:52" ht="33" hidden="1" customHeight="1">
      <c r="A53" s="300" t="s">
        <v>277</v>
      </c>
      <c r="B53" s="129" t="s">
        <v>278</v>
      </c>
      <c r="C53" s="270" t="s">
        <v>1006</v>
      </c>
      <c r="D53" s="269" t="s">
        <v>235</v>
      </c>
      <c r="E53" s="193">
        <v>1</v>
      </c>
      <c r="F53" s="193">
        <v>1</v>
      </c>
      <c r="G53" s="193">
        <v>1</v>
      </c>
      <c r="H53" s="193">
        <f t="shared" si="112"/>
        <v>0</v>
      </c>
      <c r="I53" s="193">
        <f t="shared" si="112"/>
        <v>0</v>
      </c>
      <c r="J53" s="193">
        <f t="shared" si="112"/>
        <v>0</v>
      </c>
      <c r="K53" s="193">
        <f t="shared" si="112"/>
        <v>0</v>
      </c>
      <c r="L53" s="193">
        <f t="shared" si="112"/>
        <v>0</v>
      </c>
      <c r="M53" s="311">
        <f t="shared" ref="M53:M87" si="115">N53+N53*O53/100+P53</f>
        <v>67.176600000000008</v>
      </c>
      <c r="N53" s="311">
        <v>45.22</v>
      </c>
      <c r="O53" s="311">
        <v>3</v>
      </c>
      <c r="P53" s="311">
        <v>20.6</v>
      </c>
      <c r="Q53" s="139">
        <f t="shared" si="113"/>
        <v>67.176600000000008</v>
      </c>
      <c r="R53" s="139">
        <f t="shared" si="109"/>
        <v>67.176600000000008</v>
      </c>
      <c r="S53" s="139">
        <f t="shared" si="110"/>
        <v>67.176600000000008</v>
      </c>
      <c r="T53" s="139">
        <f t="shared" si="111"/>
        <v>0</v>
      </c>
      <c r="U53" s="139">
        <f t="shared" si="48"/>
        <v>0</v>
      </c>
      <c r="V53" s="139">
        <f t="shared" si="49"/>
        <v>0</v>
      </c>
      <c r="W53" s="139">
        <f t="shared" si="50"/>
        <v>0</v>
      </c>
      <c r="X53" s="139">
        <f t="shared" si="51"/>
        <v>0</v>
      </c>
      <c r="Y53" s="192"/>
      <c r="Z53" s="276"/>
      <c r="AA53" s="276"/>
      <c r="AB53" s="276"/>
      <c r="AC53" s="276"/>
      <c r="AD53" s="276"/>
      <c r="AE53" s="276"/>
      <c r="AF53" s="276"/>
      <c r="AG53" s="276"/>
      <c r="AH53" s="276"/>
      <c r="AI53" s="276"/>
      <c r="AJ53" s="276"/>
      <c r="AK53" s="276"/>
      <c r="AL53" s="276"/>
      <c r="AM53" s="276"/>
      <c r="AN53" s="276"/>
      <c r="AO53" s="276"/>
      <c r="AP53" s="276"/>
      <c r="AQ53" s="290"/>
      <c r="AZ53" s="316">
        <f t="shared" si="101"/>
        <v>-67.176600000000008</v>
      </c>
    </row>
    <row r="54" spans="1:52" ht="33" hidden="1" customHeight="1">
      <c r="A54" s="300" t="s">
        <v>277</v>
      </c>
      <c r="B54" s="129" t="s">
        <v>278</v>
      </c>
      <c r="C54" s="268" t="s">
        <v>1007</v>
      </c>
      <c r="D54" s="269" t="s">
        <v>270</v>
      </c>
      <c r="E54" s="193">
        <v>1</v>
      </c>
      <c r="F54" s="193">
        <v>1</v>
      </c>
      <c r="G54" s="193">
        <v>1</v>
      </c>
      <c r="H54" s="193">
        <f t="shared" si="112"/>
        <v>0</v>
      </c>
      <c r="I54" s="193">
        <f t="shared" si="112"/>
        <v>0</v>
      </c>
      <c r="J54" s="193">
        <f t="shared" si="112"/>
        <v>0</v>
      </c>
      <c r="K54" s="193">
        <f t="shared" si="112"/>
        <v>0</v>
      </c>
      <c r="L54" s="193">
        <f t="shared" si="112"/>
        <v>0</v>
      </c>
      <c r="M54" s="311">
        <f t="shared" si="115"/>
        <v>40.7483</v>
      </c>
      <c r="N54" s="311">
        <v>26.23</v>
      </c>
      <c r="O54" s="311">
        <v>1</v>
      </c>
      <c r="P54" s="311">
        <v>14.256</v>
      </c>
      <c r="Q54" s="139">
        <f t="shared" si="113"/>
        <v>40.7483</v>
      </c>
      <c r="R54" s="139">
        <f t="shared" si="109"/>
        <v>40.7483</v>
      </c>
      <c r="S54" s="139">
        <f t="shared" si="110"/>
        <v>40.7483</v>
      </c>
      <c r="T54" s="139">
        <f t="shared" si="111"/>
        <v>0</v>
      </c>
      <c r="U54" s="139">
        <f t="shared" si="48"/>
        <v>0</v>
      </c>
      <c r="V54" s="139">
        <f t="shared" si="49"/>
        <v>0</v>
      </c>
      <c r="W54" s="139">
        <f t="shared" si="50"/>
        <v>0</v>
      </c>
      <c r="X54" s="139">
        <f t="shared" si="51"/>
        <v>0</v>
      </c>
      <c r="Y54" s="192"/>
      <c r="Z54" s="276"/>
      <c r="AA54" s="276"/>
      <c r="AB54" s="276"/>
      <c r="AC54" s="276"/>
      <c r="AD54" s="276"/>
      <c r="AE54" s="276"/>
      <c r="AF54" s="276"/>
      <c r="AG54" s="276"/>
      <c r="AH54" s="276"/>
      <c r="AI54" s="276"/>
      <c r="AJ54" s="276"/>
      <c r="AK54" s="276"/>
      <c r="AL54" s="276"/>
      <c r="AM54" s="276"/>
      <c r="AN54" s="276"/>
      <c r="AO54" s="276"/>
      <c r="AP54" s="276"/>
      <c r="AQ54" s="290"/>
      <c r="AZ54" s="316">
        <f t="shared" si="101"/>
        <v>-40.7483</v>
      </c>
    </row>
    <row r="55" spans="1:52" ht="31.5" customHeight="1">
      <c r="A55" s="300"/>
      <c r="B55" s="129">
        <v>12</v>
      </c>
      <c r="C55" s="192" t="s">
        <v>1008</v>
      </c>
      <c r="D55" s="129" t="s">
        <v>231</v>
      </c>
      <c r="E55" s="193">
        <v>1</v>
      </c>
      <c r="F55" s="193">
        <v>1</v>
      </c>
      <c r="G55" s="193">
        <v>1</v>
      </c>
      <c r="H55" s="193">
        <f t="shared" si="112"/>
        <v>3</v>
      </c>
      <c r="I55" s="193">
        <f t="shared" si="112"/>
        <v>2</v>
      </c>
      <c r="J55" s="193">
        <f t="shared" si="112"/>
        <v>1</v>
      </c>
      <c r="K55" s="193">
        <f t="shared" si="112"/>
        <v>0</v>
      </c>
      <c r="L55" s="193">
        <f t="shared" si="112"/>
        <v>0</v>
      </c>
      <c r="M55" s="311">
        <f t="shared" si="115"/>
        <v>21.43271</v>
      </c>
      <c r="N55" s="311">
        <f>N8</f>
        <v>2.2087100000000004</v>
      </c>
      <c r="O55" s="311">
        <v>0</v>
      </c>
      <c r="P55" s="311">
        <v>19.224</v>
      </c>
      <c r="Q55" s="139">
        <f t="shared" si="113"/>
        <v>21.43271</v>
      </c>
      <c r="R55" s="139">
        <f t="shared" si="109"/>
        <v>21.43271</v>
      </c>
      <c r="S55" s="139">
        <f t="shared" si="110"/>
        <v>21.43271</v>
      </c>
      <c r="T55" s="139">
        <f t="shared" si="111"/>
        <v>64.29813</v>
      </c>
      <c r="U55" s="139">
        <f t="shared" si="48"/>
        <v>42.86542</v>
      </c>
      <c r="V55" s="139">
        <f t="shared" si="49"/>
        <v>21.43271</v>
      </c>
      <c r="W55" s="139">
        <f t="shared" si="50"/>
        <v>0</v>
      </c>
      <c r="X55" s="139">
        <f t="shared" si="51"/>
        <v>0</v>
      </c>
      <c r="Y55" s="192" t="s">
        <v>244</v>
      </c>
      <c r="Z55" s="276">
        <f>Q55</f>
        <v>21.43271</v>
      </c>
      <c r="AA55" s="276">
        <f t="shared" ref="AA55" si="116">R55</f>
        <v>21.43271</v>
      </c>
      <c r="AB55" s="276">
        <f t="shared" ref="AB55:AG55" si="117">S55</f>
        <v>21.43271</v>
      </c>
      <c r="AC55" s="276">
        <f t="shared" si="117"/>
        <v>64.29813</v>
      </c>
      <c r="AD55" s="276">
        <f t="shared" si="117"/>
        <v>42.86542</v>
      </c>
      <c r="AE55" s="276">
        <f t="shared" si="117"/>
        <v>21.43271</v>
      </c>
      <c r="AF55" s="276">
        <f t="shared" si="117"/>
        <v>0</v>
      </c>
      <c r="AG55" s="276">
        <f t="shared" si="117"/>
        <v>0</v>
      </c>
      <c r="AH55" s="276"/>
      <c r="AI55" s="276">
        <f>E55*$N55*(1+$O55%)</f>
        <v>2.2087100000000004</v>
      </c>
      <c r="AJ55" s="276">
        <f t="shared" ref="AJ55" si="118">F55*$N55*(1+$O55%)</f>
        <v>2.2087100000000004</v>
      </c>
      <c r="AK55" s="276">
        <f t="shared" ref="AK55:AP55" si="119">G55*$N55*(1+$O55%)</f>
        <v>2.2087100000000004</v>
      </c>
      <c r="AL55" s="276">
        <f t="shared" si="119"/>
        <v>6.6261300000000016</v>
      </c>
      <c r="AM55" s="276">
        <f t="shared" si="119"/>
        <v>4.4174200000000008</v>
      </c>
      <c r="AN55" s="276">
        <f t="shared" si="119"/>
        <v>2.2087100000000004</v>
      </c>
      <c r="AO55" s="276">
        <f t="shared" si="119"/>
        <v>0</v>
      </c>
      <c r="AP55" s="276">
        <f t="shared" si="119"/>
        <v>0</v>
      </c>
      <c r="AQ55" s="290"/>
      <c r="AS55" s="165">
        <v>12</v>
      </c>
      <c r="AT55" s="165" t="s">
        <v>1008</v>
      </c>
      <c r="AU55" s="165" t="s">
        <v>231</v>
      </c>
      <c r="AV55" s="165">
        <v>21.859439999999999</v>
      </c>
      <c r="AW55" s="165">
        <v>2.63544</v>
      </c>
      <c r="AX55" s="165">
        <v>0</v>
      </c>
      <c r="AY55" s="165">
        <v>19.224</v>
      </c>
      <c r="AZ55" s="316">
        <f t="shared" si="101"/>
        <v>0.42672999999999917</v>
      </c>
    </row>
    <row r="56" spans="1:52" ht="32.25" customHeight="1">
      <c r="A56" s="300"/>
      <c r="B56" s="129">
        <v>13</v>
      </c>
      <c r="C56" s="192" t="s">
        <v>1009</v>
      </c>
      <c r="D56" s="129" t="s">
        <v>235</v>
      </c>
      <c r="E56" s="193"/>
      <c r="F56" s="193"/>
      <c r="G56" s="193"/>
      <c r="H56" s="193"/>
      <c r="I56" s="193"/>
      <c r="J56" s="193"/>
      <c r="K56" s="193"/>
      <c r="L56" s="193"/>
      <c r="M56" s="311">
        <f t="shared" si="115"/>
        <v>12.025</v>
      </c>
      <c r="N56" s="311">
        <v>3.5</v>
      </c>
      <c r="O56" s="311">
        <v>9</v>
      </c>
      <c r="P56" s="311">
        <v>8.2100000000000009</v>
      </c>
      <c r="Q56" s="139">
        <f t="shared" si="113"/>
        <v>0</v>
      </c>
      <c r="R56" s="139">
        <f t="shared" si="109"/>
        <v>0</v>
      </c>
      <c r="S56" s="139">
        <f t="shared" si="110"/>
        <v>0</v>
      </c>
      <c r="T56" s="139">
        <f t="shared" si="111"/>
        <v>0</v>
      </c>
      <c r="U56" s="139">
        <f t="shared" si="48"/>
        <v>0</v>
      </c>
      <c r="V56" s="139">
        <f t="shared" si="49"/>
        <v>0</v>
      </c>
      <c r="W56" s="139">
        <f t="shared" si="50"/>
        <v>0</v>
      </c>
      <c r="X56" s="139">
        <f t="shared" si="51"/>
        <v>0</v>
      </c>
      <c r="Y56" s="192"/>
      <c r="Z56" s="276"/>
      <c r="AA56" s="276"/>
      <c r="AB56" s="276"/>
      <c r="AC56" s="276"/>
      <c r="AD56" s="276"/>
      <c r="AE56" s="276"/>
      <c r="AF56" s="276"/>
      <c r="AG56" s="276"/>
      <c r="AH56" s="276"/>
      <c r="AI56" s="276"/>
      <c r="AJ56" s="276"/>
      <c r="AK56" s="276"/>
      <c r="AL56" s="276"/>
      <c r="AM56" s="276"/>
      <c r="AN56" s="276"/>
      <c r="AO56" s="276"/>
      <c r="AP56" s="276"/>
      <c r="AQ56" s="290"/>
      <c r="AS56" s="165">
        <v>13</v>
      </c>
      <c r="AT56" s="165" t="s">
        <v>1009</v>
      </c>
      <c r="AU56" s="165" t="s">
        <v>235</v>
      </c>
      <c r="AV56" s="165">
        <v>12.025</v>
      </c>
      <c r="AW56" s="165">
        <v>3.5</v>
      </c>
      <c r="AX56" s="165">
        <v>9</v>
      </c>
      <c r="AY56" s="165">
        <v>8.2100000000000009</v>
      </c>
      <c r="AZ56" s="316">
        <f t="shared" si="101"/>
        <v>0</v>
      </c>
    </row>
    <row r="57" spans="1:52" ht="22.5" hidden="1">
      <c r="A57" s="300"/>
      <c r="B57" s="129">
        <v>14</v>
      </c>
      <c r="C57" s="192" t="s">
        <v>335</v>
      </c>
      <c r="D57" s="129" t="s">
        <v>336</v>
      </c>
      <c r="E57" s="303"/>
      <c r="F57" s="193"/>
      <c r="G57" s="193"/>
      <c r="H57" s="193"/>
      <c r="I57" s="193"/>
      <c r="J57" s="193"/>
      <c r="K57" s="193"/>
      <c r="L57" s="193"/>
      <c r="M57" s="311">
        <f t="shared" si="115"/>
        <v>440</v>
      </c>
      <c r="N57" s="311">
        <v>0</v>
      </c>
      <c r="O57" s="311">
        <v>0</v>
      </c>
      <c r="P57" s="311">
        <v>440</v>
      </c>
      <c r="Q57" s="139">
        <f t="shared" si="113"/>
        <v>0</v>
      </c>
      <c r="R57" s="139">
        <f t="shared" si="109"/>
        <v>0</v>
      </c>
      <c r="S57" s="139">
        <f t="shared" si="110"/>
        <v>0</v>
      </c>
      <c r="T57" s="139">
        <f t="shared" si="111"/>
        <v>0</v>
      </c>
      <c r="U57" s="139">
        <f t="shared" ref="U57:U88" si="120">I57*$M57</f>
        <v>0</v>
      </c>
      <c r="V57" s="139">
        <f t="shared" ref="V57:V88" si="121">J57*$M57</f>
        <v>0</v>
      </c>
      <c r="W57" s="139">
        <f t="shared" ref="W57:W88" si="122">K57*$M57</f>
        <v>0</v>
      </c>
      <c r="X57" s="139">
        <f t="shared" ref="X57:X88" si="123">L57*$M57</f>
        <v>0</v>
      </c>
      <c r="Y57" s="192" t="s">
        <v>742</v>
      </c>
      <c r="Z57" s="276"/>
      <c r="AA57" s="276"/>
      <c r="AB57" s="276"/>
      <c r="AC57" s="276"/>
      <c r="AD57" s="276"/>
      <c r="AE57" s="276"/>
      <c r="AF57" s="276"/>
      <c r="AG57" s="276"/>
      <c r="AH57" s="276"/>
      <c r="AI57" s="276"/>
      <c r="AJ57" s="276"/>
      <c r="AK57" s="276"/>
      <c r="AL57" s="276"/>
      <c r="AM57" s="276"/>
      <c r="AN57" s="276"/>
      <c r="AO57" s="276"/>
      <c r="AP57" s="276"/>
      <c r="AQ57" s="290"/>
      <c r="AS57" s="165">
        <v>14</v>
      </c>
      <c r="AT57" s="165" t="s">
        <v>335</v>
      </c>
      <c r="AU57" s="165" t="s">
        <v>336</v>
      </c>
      <c r="AV57" s="165">
        <v>440</v>
      </c>
      <c r="AW57" s="165">
        <v>0</v>
      </c>
      <c r="AX57" s="165">
        <v>0</v>
      </c>
      <c r="AY57" s="165">
        <v>440</v>
      </c>
      <c r="AZ57" s="316">
        <f t="shared" si="101"/>
        <v>0</v>
      </c>
    </row>
    <row r="58" spans="1:52" ht="22.5" hidden="1">
      <c r="A58" s="300"/>
      <c r="B58" s="129">
        <v>15</v>
      </c>
      <c r="C58" s="192" t="s">
        <v>338</v>
      </c>
      <c r="D58" s="129" t="s">
        <v>231</v>
      </c>
      <c r="E58" s="303"/>
      <c r="F58" s="193"/>
      <c r="G58" s="193"/>
      <c r="H58" s="193"/>
      <c r="I58" s="193"/>
      <c r="J58" s="193"/>
      <c r="K58" s="193"/>
      <c r="L58" s="193"/>
      <c r="M58" s="311">
        <f t="shared" si="115"/>
        <v>18.5</v>
      </c>
      <c r="N58" s="311">
        <v>0</v>
      </c>
      <c r="O58" s="311">
        <v>0</v>
      </c>
      <c r="P58" s="311">
        <v>18.5</v>
      </c>
      <c r="Q58" s="139">
        <f t="shared" si="113"/>
        <v>0</v>
      </c>
      <c r="R58" s="139">
        <f t="shared" si="109"/>
        <v>0</v>
      </c>
      <c r="S58" s="139">
        <f t="shared" si="110"/>
        <v>0</v>
      </c>
      <c r="T58" s="139">
        <f t="shared" si="111"/>
        <v>0</v>
      </c>
      <c r="U58" s="139">
        <f t="shared" si="120"/>
        <v>0</v>
      </c>
      <c r="V58" s="139">
        <f t="shared" si="121"/>
        <v>0</v>
      </c>
      <c r="W58" s="139">
        <f t="shared" si="122"/>
        <v>0</v>
      </c>
      <c r="X58" s="139">
        <f t="shared" si="123"/>
        <v>0</v>
      </c>
      <c r="Y58" s="192" t="s">
        <v>742</v>
      </c>
      <c r="Z58" s="276"/>
      <c r="AA58" s="276"/>
      <c r="AB58" s="276"/>
      <c r="AC58" s="276"/>
      <c r="AD58" s="276"/>
      <c r="AE58" s="276"/>
      <c r="AF58" s="276"/>
      <c r="AG58" s="276"/>
      <c r="AH58" s="276"/>
      <c r="AI58" s="276"/>
      <c r="AJ58" s="276"/>
      <c r="AK58" s="276"/>
      <c r="AL58" s="276"/>
      <c r="AM58" s="276"/>
      <c r="AN58" s="276"/>
      <c r="AO58" s="276"/>
      <c r="AP58" s="276"/>
      <c r="AQ58" s="290"/>
      <c r="AS58" s="165">
        <v>15</v>
      </c>
      <c r="AT58" s="165" t="s">
        <v>338</v>
      </c>
      <c r="AU58" s="165" t="s">
        <v>231</v>
      </c>
      <c r="AV58" s="165">
        <v>18.5</v>
      </c>
      <c r="AW58" s="165">
        <v>0</v>
      </c>
      <c r="AX58" s="165">
        <v>0</v>
      </c>
      <c r="AY58" s="165">
        <v>18.5</v>
      </c>
      <c r="AZ58" s="316">
        <f t="shared" si="101"/>
        <v>0</v>
      </c>
    </row>
    <row r="59" spans="1:52" ht="31.5" hidden="1" customHeight="1">
      <c r="A59" s="300"/>
      <c r="B59" s="129">
        <v>16</v>
      </c>
      <c r="C59" s="192" t="s">
        <v>1010</v>
      </c>
      <c r="D59" s="129" t="s">
        <v>231</v>
      </c>
      <c r="E59" s="303"/>
      <c r="F59" s="193"/>
      <c r="G59" s="193"/>
      <c r="H59" s="193"/>
      <c r="I59" s="193"/>
      <c r="J59" s="193"/>
      <c r="K59" s="193"/>
      <c r="L59" s="193"/>
      <c r="M59" s="311">
        <f t="shared" si="115"/>
        <v>138.54611111111112</v>
      </c>
      <c r="N59" s="311">
        <f>N31</f>
        <v>69.444444444444443</v>
      </c>
      <c r="O59" s="311">
        <v>10.5</v>
      </c>
      <c r="P59" s="311">
        <v>61.81</v>
      </c>
      <c r="Q59" s="139">
        <f t="shared" si="113"/>
        <v>0</v>
      </c>
      <c r="R59" s="139">
        <f t="shared" si="109"/>
        <v>0</v>
      </c>
      <c r="S59" s="139">
        <f t="shared" si="110"/>
        <v>0</v>
      </c>
      <c r="T59" s="139">
        <f t="shared" si="111"/>
        <v>0</v>
      </c>
      <c r="U59" s="139">
        <f t="shared" si="120"/>
        <v>0</v>
      </c>
      <c r="V59" s="139">
        <f t="shared" si="121"/>
        <v>0</v>
      </c>
      <c r="W59" s="139">
        <f t="shared" si="122"/>
        <v>0</v>
      </c>
      <c r="X59" s="139">
        <f t="shared" si="123"/>
        <v>0</v>
      </c>
      <c r="Y59" s="192" t="s">
        <v>954</v>
      </c>
      <c r="Z59" s="276">
        <f>Q59</f>
        <v>0</v>
      </c>
      <c r="AA59" s="276">
        <f t="shared" ref="AA59" si="124">R59</f>
        <v>0</v>
      </c>
      <c r="AB59" s="276">
        <f t="shared" ref="AB59:AG59" si="125">S59</f>
        <v>0</v>
      </c>
      <c r="AC59" s="276">
        <f t="shared" si="125"/>
        <v>0</v>
      </c>
      <c r="AD59" s="276">
        <f t="shared" si="125"/>
        <v>0</v>
      </c>
      <c r="AE59" s="276">
        <f t="shared" si="125"/>
        <v>0</v>
      </c>
      <c r="AF59" s="276">
        <f t="shared" si="125"/>
        <v>0</v>
      </c>
      <c r="AG59" s="276">
        <f t="shared" si="125"/>
        <v>0</v>
      </c>
      <c r="AH59" s="276"/>
      <c r="AI59" s="276">
        <f>E59*$N59*(1+$O59%)</f>
        <v>0</v>
      </c>
      <c r="AJ59" s="276">
        <f t="shared" ref="AJ59" si="126">F59*$N59*(1+$O59%)</f>
        <v>0</v>
      </c>
      <c r="AK59" s="276">
        <f t="shared" ref="AK59:AP59" si="127">G59*$N59*(1+$O59%)</f>
        <v>0</v>
      </c>
      <c r="AL59" s="276">
        <f t="shared" si="127"/>
        <v>0</v>
      </c>
      <c r="AM59" s="276">
        <f t="shared" si="127"/>
        <v>0</v>
      </c>
      <c r="AN59" s="276">
        <f t="shared" si="127"/>
        <v>0</v>
      </c>
      <c r="AO59" s="276">
        <f t="shared" si="127"/>
        <v>0</v>
      </c>
      <c r="AP59" s="276">
        <f t="shared" si="127"/>
        <v>0</v>
      </c>
      <c r="AQ59" s="290"/>
      <c r="AS59" s="165">
        <v>16</v>
      </c>
      <c r="AT59" s="165" t="s">
        <v>1010</v>
      </c>
      <c r="AU59" s="165" t="s">
        <v>231</v>
      </c>
      <c r="AV59" s="165">
        <v>138.546111111111</v>
      </c>
      <c r="AW59" s="165">
        <v>69.4444444444444</v>
      </c>
      <c r="AX59" s="165">
        <v>10.5</v>
      </c>
      <c r="AY59" s="165">
        <v>61.81</v>
      </c>
      <c r="AZ59" s="316">
        <f t="shared" si="101"/>
        <v>0</v>
      </c>
    </row>
    <row r="60" spans="1:52" ht="31.5" hidden="1" customHeight="1">
      <c r="A60" s="300"/>
      <c r="B60" s="129">
        <v>17</v>
      </c>
      <c r="C60" s="196" t="s">
        <v>1011</v>
      </c>
      <c r="D60" s="129" t="s">
        <v>231</v>
      </c>
      <c r="E60" s="303"/>
      <c r="F60" s="193"/>
      <c r="G60" s="193"/>
      <c r="H60" s="193"/>
      <c r="I60" s="193"/>
      <c r="J60" s="193"/>
      <c r="K60" s="193"/>
      <c r="L60" s="193"/>
      <c r="M60" s="311">
        <f t="shared" si="115"/>
        <v>411.04</v>
      </c>
      <c r="N60" s="311">
        <v>260</v>
      </c>
      <c r="O60" s="311">
        <v>3</v>
      </c>
      <c r="P60" s="311">
        <v>143.24</v>
      </c>
      <c r="Q60" s="139">
        <f t="shared" si="113"/>
        <v>0</v>
      </c>
      <c r="R60" s="139">
        <f t="shared" si="109"/>
        <v>0</v>
      </c>
      <c r="S60" s="139">
        <f t="shared" si="110"/>
        <v>0</v>
      </c>
      <c r="T60" s="139">
        <f t="shared" si="111"/>
        <v>0</v>
      </c>
      <c r="U60" s="139">
        <f t="shared" si="120"/>
        <v>0</v>
      </c>
      <c r="V60" s="139">
        <f t="shared" si="121"/>
        <v>0</v>
      </c>
      <c r="W60" s="139">
        <f t="shared" si="122"/>
        <v>0</v>
      </c>
      <c r="X60" s="139">
        <f t="shared" si="123"/>
        <v>0</v>
      </c>
      <c r="Y60" s="192"/>
      <c r="Z60" s="276"/>
      <c r="AA60" s="276"/>
      <c r="AB60" s="276"/>
      <c r="AC60" s="276"/>
      <c r="AD60" s="276"/>
      <c r="AE60" s="276"/>
      <c r="AF60" s="276"/>
      <c r="AG60" s="276"/>
      <c r="AH60" s="276"/>
      <c r="AI60" s="276"/>
      <c r="AJ60" s="276"/>
      <c r="AK60" s="276"/>
      <c r="AL60" s="276"/>
      <c r="AM60" s="276"/>
      <c r="AN60" s="276"/>
      <c r="AO60" s="276"/>
      <c r="AP60" s="276"/>
      <c r="AQ60" s="290"/>
      <c r="AS60" s="165">
        <v>17</v>
      </c>
      <c r="AT60" s="165" t="s">
        <v>1011</v>
      </c>
      <c r="AU60" s="165" t="s">
        <v>231</v>
      </c>
      <c r="AV60" s="165">
        <v>411.04</v>
      </c>
      <c r="AW60" s="165">
        <v>260</v>
      </c>
      <c r="AX60" s="165">
        <v>3</v>
      </c>
      <c r="AY60" s="165">
        <v>143.24</v>
      </c>
      <c r="AZ60" s="316">
        <f t="shared" si="101"/>
        <v>0</v>
      </c>
    </row>
    <row r="61" spans="1:52" ht="31.5" hidden="1" customHeight="1">
      <c r="A61" s="300"/>
      <c r="B61" s="129">
        <v>18</v>
      </c>
      <c r="C61" s="196" t="s">
        <v>1012</v>
      </c>
      <c r="D61" s="129" t="s">
        <v>231</v>
      </c>
      <c r="E61" s="303"/>
      <c r="F61" s="193"/>
      <c r="G61" s="193"/>
      <c r="H61" s="193"/>
      <c r="I61" s="193"/>
      <c r="J61" s="193"/>
      <c r="K61" s="193"/>
      <c r="L61" s="193"/>
      <c r="M61" s="311">
        <f t="shared" si="115"/>
        <v>390.52</v>
      </c>
      <c r="N61" s="311">
        <v>260</v>
      </c>
      <c r="O61" s="311">
        <v>3</v>
      </c>
      <c r="P61" s="311">
        <f>117.72+5</f>
        <v>122.72</v>
      </c>
      <c r="Q61" s="139">
        <f t="shared" si="113"/>
        <v>0</v>
      </c>
      <c r="R61" s="139">
        <f t="shared" si="109"/>
        <v>0</v>
      </c>
      <c r="S61" s="139">
        <f t="shared" si="110"/>
        <v>0</v>
      </c>
      <c r="T61" s="139">
        <f t="shared" si="111"/>
        <v>0</v>
      </c>
      <c r="U61" s="139">
        <f t="shared" si="120"/>
        <v>0</v>
      </c>
      <c r="V61" s="139">
        <f t="shared" si="121"/>
        <v>0</v>
      </c>
      <c r="W61" s="139">
        <f t="shared" si="122"/>
        <v>0</v>
      </c>
      <c r="X61" s="139">
        <f t="shared" si="123"/>
        <v>0</v>
      </c>
      <c r="Y61" s="192"/>
      <c r="Z61" s="276"/>
      <c r="AA61" s="276"/>
      <c r="AB61" s="276"/>
      <c r="AC61" s="276"/>
      <c r="AD61" s="276"/>
      <c r="AE61" s="276"/>
      <c r="AF61" s="276"/>
      <c r="AG61" s="276"/>
      <c r="AH61" s="276"/>
      <c r="AI61" s="276"/>
      <c r="AJ61" s="276"/>
      <c r="AK61" s="276"/>
      <c r="AL61" s="276"/>
      <c r="AM61" s="276"/>
      <c r="AN61" s="276"/>
      <c r="AO61" s="276"/>
      <c r="AP61" s="276"/>
      <c r="AQ61" s="290"/>
      <c r="AS61" s="165">
        <v>18</v>
      </c>
      <c r="AT61" s="165" t="s">
        <v>1012</v>
      </c>
      <c r="AU61" s="165" t="s">
        <v>231</v>
      </c>
      <c r="AV61" s="165">
        <v>390.52</v>
      </c>
      <c r="AW61" s="165">
        <v>260</v>
      </c>
      <c r="AX61" s="165">
        <v>3</v>
      </c>
      <c r="AY61" s="165">
        <v>122.72</v>
      </c>
      <c r="AZ61" s="316">
        <f t="shared" si="101"/>
        <v>0</v>
      </c>
    </row>
    <row r="62" spans="1:52" ht="31.5" hidden="1" customHeight="1">
      <c r="A62" s="300"/>
      <c r="B62" s="129">
        <v>19</v>
      </c>
      <c r="C62" s="196" t="s">
        <v>1013</v>
      </c>
      <c r="D62" s="129" t="s">
        <v>231</v>
      </c>
      <c r="E62" s="303"/>
      <c r="F62" s="193"/>
      <c r="G62" s="193"/>
      <c r="H62" s="193"/>
      <c r="I62" s="193"/>
      <c r="J62" s="193"/>
      <c r="K62" s="193"/>
      <c r="L62" s="193"/>
      <c r="M62" s="311">
        <f t="shared" si="115"/>
        <v>431.64</v>
      </c>
      <c r="N62" s="311">
        <v>280</v>
      </c>
      <c r="O62" s="311">
        <v>3</v>
      </c>
      <c r="P62" s="311">
        <v>143.24</v>
      </c>
      <c r="Q62" s="139">
        <f t="shared" si="113"/>
        <v>0</v>
      </c>
      <c r="R62" s="139">
        <f t="shared" si="109"/>
        <v>0</v>
      </c>
      <c r="S62" s="139">
        <f t="shared" si="110"/>
        <v>0</v>
      </c>
      <c r="T62" s="139">
        <f t="shared" si="111"/>
        <v>0</v>
      </c>
      <c r="U62" s="139">
        <f t="shared" si="120"/>
        <v>0</v>
      </c>
      <c r="V62" s="139">
        <f t="shared" si="121"/>
        <v>0</v>
      </c>
      <c r="W62" s="139">
        <f t="shared" si="122"/>
        <v>0</v>
      </c>
      <c r="X62" s="139">
        <f t="shared" si="123"/>
        <v>0</v>
      </c>
      <c r="Y62" s="192"/>
      <c r="Z62" s="276"/>
      <c r="AA62" s="276"/>
      <c r="AB62" s="276"/>
      <c r="AC62" s="276"/>
      <c r="AD62" s="276"/>
      <c r="AE62" s="276"/>
      <c r="AF62" s="276"/>
      <c r="AG62" s="276"/>
      <c r="AH62" s="276"/>
      <c r="AI62" s="276"/>
      <c r="AJ62" s="276"/>
      <c r="AK62" s="276"/>
      <c r="AL62" s="276"/>
      <c r="AM62" s="276"/>
      <c r="AN62" s="276"/>
      <c r="AO62" s="276"/>
      <c r="AP62" s="276"/>
      <c r="AQ62" s="290"/>
      <c r="AS62" s="165">
        <v>19</v>
      </c>
      <c r="AT62" s="165" t="s">
        <v>1014</v>
      </c>
      <c r="AU62" s="165" t="s">
        <v>231</v>
      </c>
      <c r="AV62" s="165">
        <v>431.64</v>
      </c>
      <c r="AW62" s="165">
        <v>280</v>
      </c>
      <c r="AX62" s="165">
        <v>3</v>
      </c>
      <c r="AY62" s="165">
        <v>143.24</v>
      </c>
      <c r="AZ62" s="316">
        <f t="shared" si="101"/>
        <v>0</v>
      </c>
    </row>
    <row r="63" spans="1:52" ht="31.5" hidden="1" customHeight="1">
      <c r="A63" s="300"/>
      <c r="B63" s="129">
        <v>20</v>
      </c>
      <c r="C63" s="196" t="s">
        <v>1015</v>
      </c>
      <c r="D63" s="129" t="s">
        <v>231</v>
      </c>
      <c r="E63" s="303"/>
      <c r="F63" s="193"/>
      <c r="G63" s="193"/>
      <c r="H63" s="193"/>
      <c r="I63" s="193"/>
      <c r="J63" s="193"/>
      <c r="K63" s="193"/>
      <c r="L63" s="193"/>
      <c r="M63" s="311">
        <f t="shared" si="115"/>
        <v>411.12</v>
      </c>
      <c r="N63" s="311">
        <v>280</v>
      </c>
      <c r="O63" s="311">
        <v>3</v>
      </c>
      <c r="P63" s="311">
        <f>117.72+5</f>
        <v>122.72</v>
      </c>
      <c r="Q63" s="139">
        <f t="shared" si="113"/>
        <v>0</v>
      </c>
      <c r="R63" s="139">
        <f t="shared" si="109"/>
        <v>0</v>
      </c>
      <c r="S63" s="139">
        <f t="shared" si="110"/>
        <v>0</v>
      </c>
      <c r="T63" s="139">
        <f t="shared" si="111"/>
        <v>0</v>
      </c>
      <c r="U63" s="139">
        <f t="shared" si="120"/>
        <v>0</v>
      </c>
      <c r="V63" s="139">
        <f t="shared" si="121"/>
        <v>0</v>
      </c>
      <c r="W63" s="139">
        <f t="shared" si="122"/>
        <v>0</v>
      </c>
      <c r="X63" s="139">
        <f t="shared" si="123"/>
        <v>0</v>
      </c>
      <c r="Y63" s="192"/>
      <c r="Z63" s="276"/>
      <c r="AA63" s="276"/>
      <c r="AB63" s="276"/>
      <c r="AC63" s="276"/>
      <c r="AD63" s="276"/>
      <c r="AE63" s="276"/>
      <c r="AF63" s="276"/>
      <c r="AG63" s="276"/>
      <c r="AH63" s="276"/>
      <c r="AI63" s="276"/>
      <c r="AJ63" s="276"/>
      <c r="AK63" s="276"/>
      <c r="AL63" s="276"/>
      <c r="AM63" s="276"/>
      <c r="AN63" s="276"/>
      <c r="AO63" s="276"/>
      <c r="AP63" s="276"/>
      <c r="AQ63" s="290"/>
      <c r="AS63" s="165">
        <v>20</v>
      </c>
      <c r="AT63" s="165" t="s">
        <v>1016</v>
      </c>
      <c r="AU63" s="165" t="s">
        <v>231</v>
      </c>
      <c r="AV63" s="165">
        <v>411.12</v>
      </c>
      <c r="AW63" s="165">
        <v>280</v>
      </c>
      <c r="AX63" s="165">
        <v>3</v>
      </c>
      <c r="AY63" s="165">
        <v>122.72</v>
      </c>
      <c r="AZ63" s="316">
        <f t="shared" si="101"/>
        <v>0</v>
      </c>
    </row>
    <row r="64" spans="1:52" ht="31.5" hidden="1" customHeight="1">
      <c r="A64" s="300"/>
      <c r="B64" s="129">
        <v>21</v>
      </c>
      <c r="C64" s="192" t="s">
        <v>956</v>
      </c>
      <c r="D64" s="129" t="s">
        <v>235</v>
      </c>
      <c r="E64" s="303"/>
      <c r="F64" s="193"/>
      <c r="G64" s="193"/>
      <c r="H64" s="193"/>
      <c r="I64" s="193"/>
      <c r="J64" s="193"/>
      <c r="K64" s="193"/>
      <c r="L64" s="193"/>
      <c r="M64" s="311">
        <f t="shared" si="115"/>
        <v>136.4</v>
      </c>
      <c r="N64" s="311">
        <v>80</v>
      </c>
      <c r="O64" s="311">
        <v>3</v>
      </c>
      <c r="P64" s="311">
        <v>54</v>
      </c>
      <c r="Q64" s="139">
        <f t="shared" si="113"/>
        <v>0</v>
      </c>
      <c r="R64" s="139">
        <f t="shared" si="109"/>
        <v>0</v>
      </c>
      <c r="S64" s="139">
        <f t="shared" si="110"/>
        <v>0</v>
      </c>
      <c r="T64" s="139">
        <f t="shared" si="111"/>
        <v>0</v>
      </c>
      <c r="U64" s="139">
        <f t="shared" si="120"/>
        <v>0</v>
      </c>
      <c r="V64" s="139">
        <f t="shared" si="121"/>
        <v>0</v>
      </c>
      <c r="W64" s="139">
        <f t="shared" si="122"/>
        <v>0</v>
      </c>
      <c r="X64" s="139">
        <f t="shared" si="123"/>
        <v>0</v>
      </c>
      <c r="Y64" s="192"/>
      <c r="Z64" s="276"/>
      <c r="AA64" s="276"/>
      <c r="AB64" s="276"/>
      <c r="AC64" s="276"/>
      <c r="AD64" s="276"/>
      <c r="AE64" s="276"/>
      <c r="AF64" s="276"/>
      <c r="AG64" s="276"/>
      <c r="AH64" s="276"/>
      <c r="AI64" s="276"/>
      <c r="AJ64" s="276"/>
      <c r="AK64" s="276"/>
      <c r="AL64" s="276"/>
      <c r="AM64" s="276"/>
      <c r="AN64" s="276"/>
      <c r="AO64" s="276"/>
      <c r="AP64" s="276"/>
      <c r="AQ64" s="290"/>
      <c r="AS64" s="165">
        <v>21</v>
      </c>
      <c r="AT64" s="165" t="s">
        <v>956</v>
      </c>
      <c r="AU64" s="165" t="s">
        <v>235</v>
      </c>
      <c r="AV64" s="165">
        <v>136.4</v>
      </c>
      <c r="AW64" s="165">
        <v>80</v>
      </c>
      <c r="AX64" s="165">
        <v>3</v>
      </c>
      <c r="AY64" s="165">
        <v>54</v>
      </c>
      <c r="AZ64" s="316">
        <f t="shared" si="101"/>
        <v>0</v>
      </c>
    </row>
    <row r="65" spans="1:52" ht="31.5" hidden="1" customHeight="1">
      <c r="A65" s="300"/>
      <c r="B65" s="129">
        <v>22</v>
      </c>
      <c r="C65" s="192" t="s">
        <v>957</v>
      </c>
      <c r="D65" s="129" t="s">
        <v>235</v>
      </c>
      <c r="E65" s="193">
        <v>1</v>
      </c>
      <c r="F65" s="193">
        <v>1</v>
      </c>
      <c r="G65" s="193">
        <v>1</v>
      </c>
      <c r="H65" s="193">
        <f>SUBTOTAL(9,E65:G65)</f>
        <v>0</v>
      </c>
      <c r="I65" s="193">
        <f t="shared" ref="I65" si="128">SUBTOTAL(9,F65:H65)</f>
        <v>0</v>
      </c>
      <c r="J65" s="193">
        <f t="shared" ref="J65:L66" si="129">SUBTOTAL(9,G65:I65)</f>
        <v>0</v>
      </c>
      <c r="K65" s="193">
        <f t="shared" si="129"/>
        <v>0</v>
      </c>
      <c r="L65" s="193">
        <f t="shared" si="129"/>
        <v>0</v>
      </c>
      <c r="M65" s="311">
        <f t="shared" si="115"/>
        <v>396.87</v>
      </c>
      <c r="N65" s="311">
        <f>'附件4-8甲供材料清单'!K167</f>
        <v>363</v>
      </c>
      <c r="O65" s="311">
        <v>1</v>
      </c>
      <c r="P65" s="311">
        <v>30.24</v>
      </c>
      <c r="Q65" s="139">
        <f t="shared" si="113"/>
        <v>396.87</v>
      </c>
      <c r="R65" s="139">
        <f t="shared" si="109"/>
        <v>396.87</v>
      </c>
      <c r="S65" s="139">
        <f t="shared" si="110"/>
        <v>396.87</v>
      </c>
      <c r="T65" s="139">
        <f t="shared" si="111"/>
        <v>0</v>
      </c>
      <c r="U65" s="139">
        <f t="shared" si="120"/>
        <v>0</v>
      </c>
      <c r="V65" s="139">
        <f t="shared" si="121"/>
        <v>0</v>
      </c>
      <c r="W65" s="139">
        <f t="shared" si="122"/>
        <v>0</v>
      </c>
      <c r="X65" s="139">
        <f t="shared" si="123"/>
        <v>0</v>
      </c>
      <c r="Y65" s="192" t="s">
        <v>244</v>
      </c>
      <c r="Z65" s="276">
        <f>Q65</f>
        <v>396.87</v>
      </c>
      <c r="AA65" s="276">
        <f t="shared" ref="AA65" si="130">R65</f>
        <v>396.87</v>
      </c>
      <c r="AB65" s="276">
        <f t="shared" ref="AB65:AG65" si="131">S65</f>
        <v>396.87</v>
      </c>
      <c r="AC65" s="276">
        <f t="shared" si="131"/>
        <v>0</v>
      </c>
      <c r="AD65" s="276">
        <f t="shared" si="131"/>
        <v>0</v>
      </c>
      <c r="AE65" s="276">
        <f t="shared" si="131"/>
        <v>0</v>
      </c>
      <c r="AF65" s="276">
        <f t="shared" si="131"/>
        <v>0</v>
      </c>
      <c r="AG65" s="276">
        <f t="shared" si="131"/>
        <v>0</v>
      </c>
      <c r="AH65" s="276"/>
      <c r="AI65" s="276">
        <f>E65*$N65*(1+$O65%)</f>
        <v>366.63</v>
      </c>
      <c r="AJ65" s="276">
        <f t="shared" ref="AJ65" si="132">F65*$N65*(1+$O65%)</f>
        <v>366.63</v>
      </c>
      <c r="AK65" s="276">
        <f t="shared" ref="AK65:AP65" si="133">G65*$N65*(1+$O65%)</f>
        <v>366.63</v>
      </c>
      <c r="AL65" s="276">
        <f t="shared" si="133"/>
        <v>0</v>
      </c>
      <c r="AM65" s="276">
        <f t="shared" si="133"/>
        <v>0</v>
      </c>
      <c r="AN65" s="276">
        <f t="shared" si="133"/>
        <v>0</v>
      </c>
      <c r="AO65" s="276">
        <f t="shared" si="133"/>
        <v>0</v>
      </c>
      <c r="AP65" s="276">
        <f t="shared" si="133"/>
        <v>0</v>
      </c>
      <c r="AQ65" s="290"/>
      <c r="AS65" s="165">
        <v>22</v>
      </c>
      <c r="AT65" s="165" t="s">
        <v>957</v>
      </c>
      <c r="AU65" s="165" t="s">
        <v>235</v>
      </c>
      <c r="AV65" s="165">
        <v>403.94</v>
      </c>
      <c r="AW65" s="165" t="s">
        <v>958</v>
      </c>
      <c r="AX65" s="165">
        <v>1</v>
      </c>
      <c r="AY65" s="165">
        <v>30.24</v>
      </c>
      <c r="AZ65" s="316">
        <f t="shared" si="101"/>
        <v>7.0699999999999932</v>
      </c>
    </row>
    <row r="66" spans="1:52" ht="33" hidden="1" customHeight="1">
      <c r="A66" s="300" t="s">
        <v>297</v>
      </c>
      <c r="B66" s="129" t="s">
        <v>278</v>
      </c>
      <c r="C66" s="268" t="s">
        <v>1017</v>
      </c>
      <c r="D66" s="269" t="s">
        <v>231</v>
      </c>
      <c r="E66" s="193">
        <v>1</v>
      </c>
      <c r="F66" s="193">
        <v>1</v>
      </c>
      <c r="G66" s="193">
        <v>1</v>
      </c>
      <c r="H66" s="193">
        <f t="shared" ref="H66" si="134">SUBTOTAL(9,E66:G66)</f>
        <v>0</v>
      </c>
      <c r="I66" s="193">
        <f>SUBTOTAL(9,F66:H66)</f>
        <v>0</v>
      </c>
      <c r="J66" s="193">
        <f t="shared" si="129"/>
        <v>0</v>
      </c>
      <c r="K66" s="193">
        <f t="shared" si="129"/>
        <v>0</v>
      </c>
      <c r="L66" s="193">
        <f t="shared" si="129"/>
        <v>0</v>
      </c>
      <c r="M66" s="311">
        <f t="shared" si="115"/>
        <v>151.44</v>
      </c>
      <c r="N66" s="311">
        <v>120</v>
      </c>
      <c r="O66" s="311">
        <v>1</v>
      </c>
      <c r="P66" s="311">
        <v>30.24</v>
      </c>
      <c r="Q66" s="139">
        <f t="shared" si="113"/>
        <v>151.44</v>
      </c>
      <c r="R66" s="139">
        <f t="shared" si="109"/>
        <v>151.44</v>
      </c>
      <c r="S66" s="139">
        <f t="shared" si="110"/>
        <v>151.44</v>
      </c>
      <c r="T66" s="139">
        <f t="shared" si="111"/>
        <v>0</v>
      </c>
      <c r="U66" s="139">
        <f t="shared" si="120"/>
        <v>0</v>
      </c>
      <c r="V66" s="139">
        <f t="shared" si="121"/>
        <v>0</v>
      </c>
      <c r="W66" s="139">
        <f t="shared" si="122"/>
        <v>0</v>
      </c>
      <c r="X66" s="139">
        <f t="shared" si="123"/>
        <v>0</v>
      </c>
      <c r="Y66" s="192"/>
      <c r="Z66" s="276"/>
      <c r="AA66" s="276"/>
      <c r="AB66" s="276"/>
      <c r="AC66" s="276"/>
      <c r="AD66" s="276"/>
      <c r="AE66" s="276"/>
      <c r="AF66" s="276"/>
      <c r="AG66" s="276"/>
      <c r="AH66" s="276"/>
      <c r="AI66" s="276"/>
      <c r="AJ66" s="276"/>
      <c r="AK66" s="276"/>
      <c r="AL66" s="276"/>
      <c r="AM66" s="276"/>
      <c r="AN66" s="276"/>
      <c r="AO66" s="276"/>
      <c r="AP66" s="276"/>
      <c r="AQ66" s="290"/>
      <c r="AZ66" s="316">
        <f t="shared" si="101"/>
        <v>-151.44</v>
      </c>
    </row>
    <row r="67" spans="1:52" ht="42.75" hidden="1" customHeight="1">
      <c r="A67" s="300"/>
      <c r="B67" s="129">
        <v>23</v>
      </c>
      <c r="C67" s="192" t="s">
        <v>1018</v>
      </c>
      <c r="D67" s="129" t="s">
        <v>231</v>
      </c>
      <c r="E67" s="303"/>
      <c r="F67" s="193"/>
      <c r="G67" s="193"/>
      <c r="H67" s="193"/>
      <c r="I67" s="193"/>
      <c r="J67" s="193"/>
      <c r="K67" s="193"/>
      <c r="L67" s="193"/>
      <c r="M67" s="311">
        <f t="shared" si="115"/>
        <v>354.05611111111114</v>
      </c>
      <c r="N67" s="311">
        <f>N31</f>
        <v>69.444444444444443</v>
      </c>
      <c r="O67" s="311">
        <v>10.5</v>
      </c>
      <c r="P67" s="311">
        <v>277.32</v>
      </c>
      <c r="Q67" s="139">
        <f t="shared" si="113"/>
        <v>0</v>
      </c>
      <c r="R67" s="139">
        <f t="shared" si="109"/>
        <v>0</v>
      </c>
      <c r="S67" s="139">
        <f t="shared" si="110"/>
        <v>0</v>
      </c>
      <c r="T67" s="139">
        <f t="shared" si="111"/>
        <v>0</v>
      </c>
      <c r="U67" s="139">
        <f t="shared" si="120"/>
        <v>0</v>
      </c>
      <c r="V67" s="139">
        <f t="shared" si="121"/>
        <v>0</v>
      </c>
      <c r="W67" s="139">
        <f t="shared" si="122"/>
        <v>0</v>
      </c>
      <c r="X67" s="139">
        <f t="shared" si="123"/>
        <v>0</v>
      </c>
      <c r="Y67" s="192" t="s">
        <v>244</v>
      </c>
      <c r="Z67" s="276">
        <f>Q67</f>
        <v>0</v>
      </c>
      <c r="AA67" s="276">
        <f t="shared" ref="AA67" si="135">R67</f>
        <v>0</v>
      </c>
      <c r="AB67" s="276">
        <f t="shared" ref="AB67:AG67" si="136">S67</f>
        <v>0</v>
      </c>
      <c r="AC67" s="276">
        <f t="shared" si="136"/>
        <v>0</v>
      </c>
      <c r="AD67" s="276">
        <f t="shared" si="136"/>
        <v>0</v>
      </c>
      <c r="AE67" s="276">
        <f t="shared" si="136"/>
        <v>0</v>
      </c>
      <c r="AF67" s="276">
        <f t="shared" si="136"/>
        <v>0</v>
      </c>
      <c r="AG67" s="276">
        <f t="shared" si="136"/>
        <v>0</v>
      </c>
      <c r="AH67" s="276"/>
      <c r="AI67" s="276">
        <f>E67*$N67*(1+$O67%)</f>
        <v>0</v>
      </c>
      <c r="AJ67" s="276">
        <f t="shared" ref="AJ67" si="137">F67*$N67*(1+$O67%)</f>
        <v>0</v>
      </c>
      <c r="AK67" s="276">
        <f t="shared" ref="AK67:AP67" si="138">G67*$N67*(1+$O67%)</f>
        <v>0</v>
      </c>
      <c r="AL67" s="276">
        <f t="shared" si="138"/>
        <v>0</v>
      </c>
      <c r="AM67" s="276">
        <f t="shared" si="138"/>
        <v>0</v>
      </c>
      <c r="AN67" s="276">
        <f t="shared" si="138"/>
        <v>0</v>
      </c>
      <c r="AO67" s="276">
        <f t="shared" si="138"/>
        <v>0</v>
      </c>
      <c r="AP67" s="276">
        <f t="shared" si="138"/>
        <v>0</v>
      </c>
      <c r="AQ67" s="290"/>
      <c r="AS67" s="165">
        <v>23</v>
      </c>
      <c r="AT67" s="165" t="s">
        <v>1018</v>
      </c>
      <c r="AU67" s="165" t="s">
        <v>231</v>
      </c>
      <c r="AV67" s="165">
        <v>354.05611111111102</v>
      </c>
      <c r="AW67" s="165">
        <v>69.4444444444444</v>
      </c>
      <c r="AX67" s="165">
        <v>10.5</v>
      </c>
      <c r="AY67" s="165">
        <v>277.32</v>
      </c>
      <c r="AZ67" s="316">
        <f t="shared" si="101"/>
        <v>0</v>
      </c>
    </row>
    <row r="68" spans="1:52" ht="56.25" hidden="1">
      <c r="A68" s="300"/>
      <c r="B68" s="129">
        <v>24</v>
      </c>
      <c r="C68" s="192" t="s">
        <v>960</v>
      </c>
      <c r="D68" s="129" t="s">
        <v>436</v>
      </c>
      <c r="E68" s="303"/>
      <c r="F68" s="193"/>
      <c r="G68" s="193"/>
      <c r="H68" s="193"/>
      <c r="I68" s="193"/>
      <c r="J68" s="193"/>
      <c r="K68" s="193"/>
      <c r="L68" s="193"/>
      <c r="M68" s="311">
        <f t="shared" si="115"/>
        <v>148</v>
      </c>
      <c r="N68" s="311"/>
      <c r="O68" s="311"/>
      <c r="P68" s="311">
        <v>148</v>
      </c>
      <c r="Q68" s="139">
        <f t="shared" si="113"/>
        <v>0</v>
      </c>
      <c r="R68" s="139">
        <f t="shared" si="109"/>
        <v>0</v>
      </c>
      <c r="S68" s="139">
        <f t="shared" si="110"/>
        <v>0</v>
      </c>
      <c r="T68" s="139">
        <f t="shared" si="111"/>
        <v>0</v>
      </c>
      <c r="U68" s="139">
        <f t="shared" si="120"/>
        <v>0</v>
      </c>
      <c r="V68" s="139">
        <f t="shared" si="121"/>
        <v>0</v>
      </c>
      <c r="W68" s="139">
        <f t="shared" si="122"/>
        <v>0</v>
      </c>
      <c r="X68" s="139">
        <f t="shared" si="123"/>
        <v>0</v>
      </c>
      <c r="Y68" s="192"/>
      <c r="Z68" s="276"/>
      <c r="AA68" s="276"/>
      <c r="AB68" s="276"/>
      <c r="AC68" s="276"/>
      <c r="AD68" s="276"/>
      <c r="AE68" s="276"/>
      <c r="AF68" s="276"/>
      <c r="AG68" s="276"/>
      <c r="AH68" s="276"/>
      <c r="AI68" s="276"/>
      <c r="AJ68" s="276"/>
      <c r="AK68" s="276"/>
      <c r="AL68" s="276"/>
      <c r="AM68" s="276"/>
      <c r="AN68" s="276"/>
      <c r="AO68" s="276"/>
      <c r="AP68" s="276"/>
      <c r="AQ68" s="290"/>
      <c r="AS68" s="165">
        <v>24</v>
      </c>
      <c r="AT68" s="165" t="s">
        <v>960</v>
      </c>
      <c r="AU68" s="165" t="s">
        <v>436</v>
      </c>
      <c r="AV68" s="165">
        <v>148</v>
      </c>
      <c r="AW68" s="165"/>
      <c r="AX68" s="165"/>
      <c r="AY68" s="165">
        <v>148</v>
      </c>
      <c r="AZ68" s="316">
        <f t="shared" si="101"/>
        <v>0</v>
      </c>
    </row>
    <row r="69" spans="1:52" hidden="1">
      <c r="A69" s="300"/>
      <c r="B69" s="129" t="s">
        <v>64</v>
      </c>
      <c r="C69" s="195" t="s">
        <v>743</v>
      </c>
      <c r="D69" s="129"/>
      <c r="E69" s="303"/>
      <c r="F69" s="193"/>
      <c r="G69" s="193"/>
      <c r="H69" s="193"/>
      <c r="I69" s="193"/>
      <c r="J69" s="193"/>
      <c r="K69" s="193"/>
      <c r="L69" s="193"/>
      <c r="M69" s="311">
        <f t="shared" si="115"/>
        <v>0</v>
      </c>
      <c r="N69" s="311"/>
      <c r="O69" s="311"/>
      <c r="P69" s="311"/>
      <c r="Q69" s="139">
        <f t="shared" si="113"/>
        <v>0</v>
      </c>
      <c r="R69" s="139">
        <f t="shared" si="109"/>
        <v>0</v>
      </c>
      <c r="S69" s="139">
        <f t="shared" si="110"/>
        <v>0</v>
      </c>
      <c r="T69" s="139">
        <f t="shared" si="111"/>
        <v>0</v>
      </c>
      <c r="U69" s="139">
        <f t="shared" si="120"/>
        <v>0</v>
      </c>
      <c r="V69" s="139">
        <f t="shared" si="121"/>
        <v>0</v>
      </c>
      <c r="W69" s="139">
        <f t="shared" si="122"/>
        <v>0</v>
      </c>
      <c r="X69" s="139">
        <f t="shared" si="123"/>
        <v>0</v>
      </c>
      <c r="Y69" s="192"/>
      <c r="Z69" s="276"/>
      <c r="AA69" s="276"/>
      <c r="AB69" s="276"/>
      <c r="AC69" s="276"/>
      <c r="AD69" s="276"/>
      <c r="AE69" s="276"/>
      <c r="AF69" s="276"/>
      <c r="AG69" s="276"/>
      <c r="AH69" s="276"/>
      <c r="AI69" s="276"/>
      <c r="AJ69" s="276"/>
      <c r="AK69" s="276"/>
      <c r="AL69" s="276"/>
      <c r="AM69" s="276"/>
      <c r="AN69" s="276"/>
      <c r="AO69" s="276"/>
      <c r="AP69" s="276"/>
      <c r="AQ69" s="290"/>
      <c r="AS69" s="165" t="s">
        <v>64</v>
      </c>
      <c r="AT69" s="165" t="s">
        <v>743</v>
      </c>
      <c r="AU69" s="165"/>
      <c r="AV69" s="165">
        <v>0</v>
      </c>
      <c r="AW69" s="165"/>
      <c r="AX69" s="165"/>
      <c r="AY69" s="165"/>
      <c r="AZ69" s="316">
        <f t="shared" si="101"/>
        <v>0</v>
      </c>
    </row>
    <row r="70" spans="1:52" ht="22.5" hidden="1">
      <c r="A70" s="300"/>
      <c r="B70" s="129">
        <v>1</v>
      </c>
      <c r="C70" s="192" t="s">
        <v>961</v>
      </c>
      <c r="D70" s="129" t="s">
        <v>320</v>
      </c>
      <c r="E70" s="193">
        <v>1</v>
      </c>
      <c r="F70" s="193">
        <v>1</v>
      </c>
      <c r="G70" s="193">
        <v>1</v>
      </c>
      <c r="H70" s="193">
        <f t="shared" ref="H70" si="139">SUBTOTAL(9,E70:G70)</f>
        <v>0</v>
      </c>
      <c r="I70" s="193">
        <f t="shared" ref="I70" si="140">SUBTOTAL(9,F70:H70)</f>
        <v>0</v>
      </c>
      <c r="J70" s="193">
        <f t="shared" ref="J70" si="141">SUBTOTAL(9,G70:I70)</f>
        <v>0</v>
      </c>
      <c r="K70" s="193">
        <f t="shared" ref="K70" si="142">SUBTOTAL(9,H70:J70)</f>
        <v>0</v>
      </c>
      <c r="L70" s="193">
        <f t="shared" ref="L70" si="143">SUBTOTAL(9,I70:K70)</f>
        <v>0</v>
      </c>
      <c r="M70" s="311">
        <f t="shared" si="115"/>
        <v>12.473199999999999</v>
      </c>
      <c r="N70" s="311">
        <f>'大堂(新标)'!N154</f>
        <v>5.72</v>
      </c>
      <c r="O70" s="311">
        <v>1</v>
      </c>
      <c r="P70" s="311">
        <v>6.6959999999999997</v>
      </c>
      <c r="Q70" s="139">
        <f t="shared" si="113"/>
        <v>12.473199999999999</v>
      </c>
      <c r="R70" s="139">
        <f t="shared" si="109"/>
        <v>12.473199999999999</v>
      </c>
      <c r="S70" s="139">
        <f t="shared" si="110"/>
        <v>12.473199999999999</v>
      </c>
      <c r="T70" s="139">
        <f t="shared" si="111"/>
        <v>0</v>
      </c>
      <c r="U70" s="139">
        <f t="shared" si="120"/>
        <v>0</v>
      </c>
      <c r="V70" s="139">
        <f t="shared" si="121"/>
        <v>0</v>
      </c>
      <c r="W70" s="139">
        <f t="shared" si="122"/>
        <v>0</v>
      </c>
      <c r="X70" s="139">
        <f t="shared" si="123"/>
        <v>0</v>
      </c>
      <c r="Y70" s="192" t="s">
        <v>244</v>
      </c>
      <c r="Z70" s="276">
        <f t="shared" ref="Z70" si="144">Q70</f>
        <v>12.473199999999999</v>
      </c>
      <c r="AA70" s="276">
        <f t="shared" ref="AA70" si="145">R70</f>
        <v>12.473199999999999</v>
      </c>
      <c r="AB70" s="276">
        <f t="shared" ref="AB70:AB79" si="146">S70</f>
        <v>12.473199999999999</v>
      </c>
      <c r="AC70" s="276">
        <f t="shared" ref="AC70:AC79" si="147">T70</f>
        <v>0</v>
      </c>
      <c r="AD70" s="276">
        <f t="shared" ref="AD70:AD79" si="148">U70</f>
        <v>0</v>
      </c>
      <c r="AE70" s="276">
        <f t="shared" ref="AE70:AE79" si="149">V70</f>
        <v>0</v>
      </c>
      <c r="AF70" s="276">
        <f t="shared" ref="AF70:AF79" si="150">W70</f>
        <v>0</v>
      </c>
      <c r="AG70" s="276">
        <f t="shared" ref="AG70:AG79" si="151">X70</f>
        <v>0</v>
      </c>
      <c r="AH70" s="276"/>
      <c r="AI70" s="276">
        <f t="shared" ref="AI70" si="152">E70*$N70*(1+$O70%)</f>
        <v>5.7771999999999997</v>
      </c>
      <c r="AJ70" s="276">
        <f t="shared" ref="AJ70" si="153">F70*$N70*(1+$O70%)</f>
        <v>5.7771999999999997</v>
      </c>
      <c r="AK70" s="276">
        <f t="shared" ref="AK70:AK79" si="154">G70*$N70*(1+$O70%)</f>
        <v>5.7771999999999997</v>
      </c>
      <c r="AL70" s="276">
        <f t="shared" ref="AL70:AL79" si="155">H70*$N70*(1+$O70%)</f>
        <v>0</v>
      </c>
      <c r="AM70" s="276">
        <f t="shared" ref="AM70:AM79" si="156">I70*$N70*(1+$O70%)</f>
        <v>0</v>
      </c>
      <c r="AN70" s="276">
        <f t="shared" ref="AN70:AN79" si="157">J70*$N70*(1+$O70%)</f>
        <v>0</v>
      </c>
      <c r="AO70" s="276">
        <f t="shared" ref="AO70:AO79" si="158">K70*$N70*(1+$O70%)</f>
        <v>0</v>
      </c>
      <c r="AP70" s="276">
        <f t="shared" ref="AP70:AP79" si="159">L70*$N70*(1+$O70%)</f>
        <v>0</v>
      </c>
      <c r="AQ70" s="290"/>
      <c r="AS70" s="165">
        <v>1</v>
      </c>
      <c r="AT70" s="165" t="s">
        <v>961</v>
      </c>
      <c r="AU70" s="165" t="s">
        <v>320</v>
      </c>
      <c r="AV70" s="165">
        <v>12.0389</v>
      </c>
      <c r="AW70" s="165" t="s">
        <v>457</v>
      </c>
      <c r="AX70" s="165">
        <v>1</v>
      </c>
      <c r="AY70" s="165">
        <v>6.6959999999999997</v>
      </c>
      <c r="AZ70" s="316">
        <f t="shared" si="101"/>
        <v>-0.43429999999999858</v>
      </c>
    </row>
    <row r="71" spans="1:52" ht="22.5" hidden="1">
      <c r="A71" s="300"/>
      <c r="B71" s="129">
        <v>2</v>
      </c>
      <c r="C71" s="192" t="s">
        <v>962</v>
      </c>
      <c r="D71" s="129" t="s">
        <v>320</v>
      </c>
      <c r="E71" s="193">
        <v>1</v>
      </c>
      <c r="F71" s="193">
        <v>1</v>
      </c>
      <c r="G71" s="193">
        <v>1</v>
      </c>
      <c r="H71" s="193">
        <f t="shared" ref="H71:L75" si="160">SUBTOTAL(9,E71:G71)</f>
        <v>0</v>
      </c>
      <c r="I71" s="193">
        <f t="shared" si="160"/>
        <v>0</v>
      </c>
      <c r="J71" s="193">
        <f t="shared" si="160"/>
        <v>0</v>
      </c>
      <c r="K71" s="193">
        <f t="shared" si="160"/>
        <v>0</v>
      </c>
      <c r="L71" s="193">
        <f t="shared" si="160"/>
        <v>0</v>
      </c>
      <c r="M71" s="311">
        <f t="shared" si="115"/>
        <v>18.815999999999999</v>
      </c>
      <c r="N71" s="311">
        <f>'大堂(新标)'!N157</f>
        <v>12</v>
      </c>
      <c r="O71" s="311">
        <v>1</v>
      </c>
      <c r="P71" s="311">
        <v>6.6959999999999997</v>
      </c>
      <c r="Q71" s="139">
        <f t="shared" si="113"/>
        <v>18.815999999999999</v>
      </c>
      <c r="R71" s="139">
        <f t="shared" si="109"/>
        <v>18.815999999999999</v>
      </c>
      <c r="S71" s="139">
        <f t="shared" si="110"/>
        <v>18.815999999999999</v>
      </c>
      <c r="T71" s="139">
        <f t="shared" si="111"/>
        <v>0</v>
      </c>
      <c r="U71" s="139">
        <f t="shared" si="120"/>
        <v>0</v>
      </c>
      <c r="V71" s="139">
        <f t="shared" si="121"/>
        <v>0</v>
      </c>
      <c r="W71" s="139">
        <f t="shared" si="122"/>
        <v>0</v>
      </c>
      <c r="X71" s="139">
        <f t="shared" si="123"/>
        <v>0</v>
      </c>
      <c r="Y71" s="192" t="s">
        <v>244</v>
      </c>
      <c r="Z71" s="276">
        <f t="shared" ref="Z71:Z79" si="161">Q71</f>
        <v>18.815999999999999</v>
      </c>
      <c r="AA71" s="276">
        <f t="shared" ref="AA71:AA79" si="162">R71</f>
        <v>18.815999999999999</v>
      </c>
      <c r="AB71" s="276">
        <f t="shared" si="146"/>
        <v>18.815999999999999</v>
      </c>
      <c r="AC71" s="276">
        <f t="shared" si="147"/>
        <v>0</v>
      </c>
      <c r="AD71" s="276">
        <f t="shared" si="148"/>
        <v>0</v>
      </c>
      <c r="AE71" s="276">
        <f t="shared" si="149"/>
        <v>0</v>
      </c>
      <c r="AF71" s="276">
        <f t="shared" si="150"/>
        <v>0</v>
      </c>
      <c r="AG71" s="276">
        <f t="shared" si="151"/>
        <v>0</v>
      </c>
      <c r="AH71" s="276"/>
      <c r="AI71" s="276">
        <f t="shared" ref="AI71:AI79" si="163">E71*$N71*(1+$O71%)</f>
        <v>12.120000000000001</v>
      </c>
      <c r="AJ71" s="276">
        <f t="shared" ref="AJ71:AJ79" si="164">F71*$N71*(1+$O71%)</f>
        <v>12.120000000000001</v>
      </c>
      <c r="AK71" s="276">
        <f t="shared" si="154"/>
        <v>12.120000000000001</v>
      </c>
      <c r="AL71" s="276">
        <f t="shared" si="155"/>
        <v>0</v>
      </c>
      <c r="AM71" s="276">
        <f t="shared" si="156"/>
        <v>0</v>
      </c>
      <c r="AN71" s="276">
        <f t="shared" si="157"/>
        <v>0</v>
      </c>
      <c r="AO71" s="276">
        <f t="shared" si="158"/>
        <v>0</v>
      </c>
      <c r="AP71" s="276">
        <f t="shared" si="159"/>
        <v>0</v>
      </c>
      <c r="AQ71" s="290"/>
      <c r="AS71" s="165">
        <v>2</v>
      </c>
      <c r="AT71" s="165" t="s">
        <v>962</v>
      </c>
      <c r="AU71" s="165" t="s">
        <v>320</v>
      </c>
      <c r="AV71" s="165">
        <v>25.522400000000001</v>
      </c>
      <c r="AW71" s="165" t="s">
        <v>464</v>
      </c>
      <c r="AX71" s="165">
        <v>1</v>
      </c>
      <c r="AY71" s="165">
        <v>6.6959999999999997</v>
      </c>
      <c r="AZ71" s="316">
        <f t="shared" si="101"/>
        <v>6.7064000000000021</v>
      </c>
    </row>
    <row r="72" spans="1:52" ht="22.5" hidden="1">
      <c r="A72" s="300"/>
      <c r="B72" s="129">
        <v>3</v>
      </c>
      <c r="C72" s="192" t="s">
        <v>963</v>
      </c>
      <c r="D72" s="129" t="s">
        <v>320</v>
      </c>
      <c r="E72" s="193">
        <v>1</v>
      </c>
      <c r="F72" s="193">
        <v>1</v>
      </c>
      <c r="G72" s="193">
        <v>1</v>
      </c>
      <c r="H72" s="193">
        <f t="shared" si="160"/>
        <v>0</v>
      </c>
      <c r="I72" s="193">
        <f t="shared" si="160"/>
        <v>0</v>
      </c>
      <c r="J72" s="193">
        <f t="shared" si="160"/>
        <v>0</v>
      </c>
      <c r="K72" s="193">
        <f t="shared" si="160"/>
        <v>0</v>
      </c>
      <c r="L72" s="193">
        <f t="shared" si="160"/>
        <v>0</v>
      </c>
      <c r="M72" s="311">
        <f t="shared" si="115"/>
        <v>15.109299999999999</v>
      </c>
      <c r="N72" s="311">
        <f>'大堂(新标)'!N155</f>
        <v>8.33</v>
      </c>
      <c r="O72" s="311">
        <v>1</v>
      </c>
      <c r="P72" s="311">
        <v>6.6959999999999997</v>
      </c>
      <c r="Q72" s="139">
        <f t="shared" si="113"/>
        <v>15.109299999999999</v>
      </c>
      <c r="R72" s="139">
        <f t="shared" si="109"/>
        <v>15.109299999999999</v>
      </c>
      <c r="S72" s="139">
        <f t="shared" si="110"/>
        <v>15.109299999999999</v>
      </c>
      <c r="T72" s="139">
        <f t="shared" si="111"/>
        <v>0</v>
      </c>
      <c r="U72" s="139">
        <f t="shared" si="120"/>
        <v>0</v>
      </c>
      <c r="V72" s="139">
        <f t="shared" si="121"/>
        <v>0</v>
      </c>
      <c r="W72" s="139">
        <f t="shared" si="122"/>
        <v>0</v>
      </c>
      <c r="X72" s="139">
        <f t="shared" si="123"/>
        <v>0</v>
      </c>
      <c r="Y72" s="192" t="s">
        <v>244</v>
      </c>
      <c r="Z72" s="276">
        <f t="shared" si="161"/>
        <v>15.109299999999999</v>
      </c>
      <c r="AA72" s="276">
        <f t="shared" si="162"/>
        <v>15.109299999999999</v>
      </c>
      <c r="AB72" s="276">
        <f t="shared" si="146"/>
        <v>15.109299999999999</v>
      </c>
      <c r="AC72" s="276">
        <f t="shared" si="147"/>
        <v>0</v>
      </c>
      <c r="AD72" s="276">
        <f t="shared" si="148"/>
        <v>0</v>
      </c>
      <c r="AE72" s="276">
        <f t="shared" si="149"/>
        <v>0</v>
      </c>
      <c r="AF72" s="276">
        <f t="shared" si="150"/>
        <v>0</v>
      </c>
      <c r="AG72" s="276">
        <f t="shared" si="151"/>
        <v>0</v>
      </c>
      <c r="AH72" s="276"/>
      <c r="AI72" s="276">
        <f t="shared" si="163"/>
        <v>8.4132999999999996</v>
      </c>
      <c r="AJ72" s="276">
        <f t="shared" si="164"/>
        <v>8.4132999999999996</v>
      </c>
      <c r="AK72" s="276">
        <f t="shared" si="154"/>
        <v>8.4132999999999996</v>
      </c>
      <c r="AL72" s="276">
        <f t="shared" si="155"/>
        <v>0</v>
      </c>
      <c r="AM72" s="276">
        <f t="shared" si="156"/>
        <v>0</v>
      </c>
      <c r="AN72" s="276">
        <f t="shared" si="157"/>
        <v>0</v>
      </c>
      <c r="AO72" s="276">
        <f t="shared" si="158"/>
        <v>0</v>
      </c>
      <c r="AP72" s="276">
        <f t="shared" si="159"/>
        <v>0</v>
      </c>
      <c r="AQ72" s="290"/>
      <c r="AS72" s="165">
        <v>3</v>
      </c>
      <c r="AT72" s="165" t="s">
        <v>963</v>
      </c>
      <c r="AU72" s="165" t="s">
        <v>320</v>
      </c>
      <c r="AV72" s="165">
        <v>14.462899999999999</v>
      </c>
      <c r="AW72" s="165" t="s">
        <v>461</v>
      </c>
      <c r="AX72" s="165">
        <v>1</v>
      </c>
      <c r="AY72" s="165">
        <v>6.6959999999999997</v>
      </c>
      <c r="AZ72" s="316">
        <f t="shared" ref="AZ72" si="165">AV72-M72</f>
        <v>-0.64639999999999986</v>
      </c>
    </row>
    <row r="73" spans="1:52" ht="22.5" hidden="1">
      <c r="A73" s="300"/>
      <c r="B73" s="129">
        <v>4</v>
      </c>
      <c r="C73" s="192" t="s">
        <v>964</v>
      </c>
      <c r="D73" s="129" t="s">
        <v>320</v>
      </c>
      <c r="E73" s="193">
        <v>1</v>
      </c>
      <c r="F73" s="193">
        <v>1</v>
      </c>
      <c r="G73" s="193">
        <v>1</v>
      </c>
      <c r="H73" s="193">
        <f t="shared" si="160"/>
        <v>0</v>
      </c>
      <c r="I73" s="193">
        <f t="shared" si="160"/>
        <v>0</v>
      </c>
      <c r="J73" s="193">
        <f t="shared" si="160"/>
        <v>0</v>
      </c>
      <c r="K73" s="193">
        <f t="shared" si="160"/>
        <v>0</v>
      </c>
      <c r="L73" s="193">
        <f t="shared" si="160"/>
        <v>0</v>
      </c>
      <c r="M73" s="311">
        <f t="shared" si="115"/>
        <v>97.596000000000004</v>
      </c>
      <c r="N73" s="311">
        <f>'大堂(新标)'!N161</f>
        <v>90</v>
      </c>
      <c r="O73" s="311">
        <v>1</v>
      </c>
      <c r="P73" s="311">
        <v>6.6959999999999997</v>
      </c>
      <c r="Q73" s="139">
        <f t="shared" si="113"/>
        <v>97.596000000000004</v>
      </c>
      <c r="R73" s="139">
        <f t="shared" si="109"/>
        <v>97.596000000000004</v>
      </c>
      <c r="S73" s="139">
        <f t="shared" si="110"/>
        <v>97.596000000000004</v>
      </c>
      <c r="T73" s="139">
        <f t="shared" si="111"/>
        <v>0</v>
      </c>
      <c r="U73" s="139">
        <f t="shared" si="120"/>
        <v>0</v>
      </c>
      <c r="V73" s="139">
        <f t="shared" si="121"/>
        <v>0</v>
      </c>
      <c r="W73" s="139">
        <f t="shared" si="122"/>
        <v>0</v>
      </c>
      <c r="X73" s="139">
        <f t="shared" si="123"/>
        <v>0</v>
      </c>
      <c r="Y73" s="192" t="s">
        <v>244</v>
      </c>
      <c r="Z73" s="276">
        <f t="shared" si="161"/>
        <v>97.596000000000004</v>
      </c>
      <c r="AA73" s="276">
        <f t="shared" si="162"/>
        <v>97.596000000000004</v>
      </c>
      <c r="AB73" s="276">
        <f t="shared" si="146"/>
        <v>97.596000000000004</v>
      </c>
      <c r="AC73" s="276">
        <f t="shared" si="147"/>
        <v>0</v>
      </c>
      <c r="AD73" s="276">
        <f t="shared" si="148"/>
        <v>0</v>
      </c>
      <c r="AE73" s="276">
        <f t="shared" si="149"/>
        <v>0</v>
      </c>
      <c r="AF73" s="276">
        <f t="shared" si="150"/>
        <v>0</v>
      </c>
      <c r="AG73" s="276">
        <f t="shared" si="151"/>
        <v>0</v>
      </c>
      <c r="AH73" s="276"/>
      <c r="AI73" s="276">
        <f t="shared" si="163"/>
        <v>90.9</v>
      </c>
      <c r="AJ73" s="276">
        <f t="shared" si="164"/>
        <v>90.9</v>
      </c>
      <c r="AK73" s="276">
        <f t="shared" si="154"/>
        <v>90.9</v>
      </c>
      <c r="AL73" s="276">
        <f t="shared" si="155"/>
        <v>0</v>
      </c>
      <c r="AM73" s="276">
        <f t="shared" si="156"/>
        <v>0</v>
      </c>
      <c r="AN73" s="276">
        <f t="shared" si="157"/>
        <v>0</v>
      </c>
      <c r="AO73" s="276">
        <f t="shared" si="158"/>
        <v>0</v>
      </c>
      <c r="AP73" s="276">
        <f t="shared" si="159"/>
        <v>0</v>
      </c>
      <c r="AQ73" s="290"/>
      <c r="AS73" s="165">
        <v>4</v>
      </c>
      <c r="AT73" s="165" t="s">
        <v>964</v>
      </c>
      <c r="AU73" s="165" t="s">
        <v>320</v>
      </c>
      <c r="AV73" s="165">
        <v>65.942599999999999</v>
      </c>
      <c r="AW73" s="165" t="s">
        <v>753</v>
      </c>
      <c r="AX73" s="165">
        <v>1</v>
      </c>
      <c r="AY73" s="165">
        <v>6.6959999999999997</v>
      </c>
      <c r="AZ73" s="316">
        <f t="shared" ref="AZ73:AZ87" si="166">AV73-M73</f>
        <v>-31.653400000000005</v>
      </c>
    </row>
    <row r="74" spans="1:52" ht="22.5" hidden="1">
      <c r="A74" s="300"/>
      <c r="B74" s="129">
        <v>5</v>
      </c>
      <c r="C74" s="196" t="s">
        <v>750</v>
      </c>
      <c r="D74" s="129" t="s">
        <v>320</v>
      </c>
      <c r="E74" s="193">
        <v>1</v>
      </c>
      <c r="F74" s="193">
        <v>1</v>
      </c>
      <c r="G74" s="193">
        <v>1</v>
      </c>
      <c r="H74" s="193">
        <f t="shared" si="160"/>
        <v>0</v>
      </c>
      <c r="I74" s="193">
        <f t="shared" si="160"/>
        <v>0</v>
      </c>
      <c r="J74" s="193">
        <f t="shared" si="160"/>
        <v>0</v>
      </c>
      <c r="K74" s="193">
        <f t="shared" si="160"/>
        <v>0</v>
      </c>
      <c r="L74" s="193">
        <f t="shared" si="160"/>
        <v>0</v>
      </c>
      <c r="M74" s="311">
        <f t="shared" si="115"/>
        <v>52.146000000000001</v>
      </c>
      <c r="N74" s="311">
        <f>'附件4-8甲供材料清单'!K91</f>
        <v>45</v>
      </c>
      <c r="O74" s="311">
        <v>1</v>
      </c>
      <c r="P74" s="311">
        <v>6.6959999999999997</v>
      </c>
      <c r="Q74" s="139">
        <f t="shared" si="113"/>
        <v>52.146000000000001</v>
      </c>
      <c r="R74" s="139">
        <f t="shared" si="109"/>
        <v>52.146000000000001</v>
      </c>
      <c r="S74" s="139">
        <f t="shared" si="110"/>
        <v>52.146000000000001</v>
      </c>
      <c r="T74" s="139">
        <f t="shared" si="111"/>
        <v>0</v>
      </c>
      <c r="U74" s="139">
        <f t="shared" si="120"/>
        <v>0</v>
      </c>
      <c r="V74" s="139">
        <f t="shared" si="121"/>
        <v>0</v>
      </c>
      <c r="W74" s="139">
        <f t="shared" si="122"/>
        <v>0</v>
      </c>
      <c r="X74" s="139">
        <f t="shared" si="123"/>
        <v>0</v>
      </c>
      <c r="Y74" s="192" t="s">
        <v>244</v>
      </c>
      <c r="Z74" s="276">
        <f t="shared" si="161"/>
        <v>52.146000000000001</v>
      </c>
      <c r="AA74" s="276">
        <f t="shared" si="162"/>
        <v>52.146000000000001</v>
      </c>
      <c r="AB74" s="276">
        <f t="shared" si="146"/>
        <v>52.146000000000001</v>
      </c>
      <c r="AC74" s="276">
        <f t="shared" si="147"/>
        <v>0</v>
      </c>
      <c r="AD74" s="276">
        <f t="shared" si="148"/>
        <v>0</v>
      </c>
      <c r="AE74" s="276">
        <f t="shared" si="149"/>
        <v>0</v>
      </c>
      <c r="AF74" s="276">
        <f t="shared" si="150"/>
        <v>0</v>
      </c>
      <c r="AG74" s="276">
        <f t="shared" si="151"/>
        <v>0</v>
      </c>
      <c r="AH74" s="276"/>
      <c r="AI74" s="276">
        <f t="shared" si="163"/>
        <v>45.45</v>
      </c>
      <c r="AJ74" s="276">
        <f t="shared" si="164"/>
        <v>45.45</v>
      </c>
      <c r="AK74" s="276">
        <f t="shared" si="154"/>
        <v>45.45</v>
      </c>
      <c r="AL74" s="276">
        <f t="shared" si="155"/>
        <v>0</v>
      </c>
      <c r="AM74" s="276">
        <f t="shared" si="156"/>
        <v>0</v>
      </c>
      <c r="AN74" s="276">
        <f t="shared" si="157"/>
        <v>0</v>
      </c>
      <c r="AO74" s="276">
        <f t="shared" si="158"/>
        <v>0</v>
      </c>
      <c r="AP74" s="276">
        <f t="shared" si="159"/>
        <v>0</v>
      </c>
      <c r="AQ74" s="290"/>
      <c r="AS74" s="165">
        <v>5</v>
      </c>
      <c r="AT74" s="165" t="s">
        <v>750</v>
      </c>
      <c r="AU74" s="165" t="s">
        <v>320</v>
      </c>
      <c r="AV74" s="165">
        <v>51.741999999999997</v>
      </c>
      <c r="AW74" s="165" t="s">
        <v>751</v>
      </c>
      <c r="AX74" s="165">
        <v>1</v>
      </c>
      <c r="AY74" s="165">
        <v>6.6959999999999997</v>
      </c>
      <c r="AZ74" s="316">
        <f t="shared" si="166"/>
        <v>-0.40400000000000347</v>
      </c>
    </row>
    <row r="75" spans="1:52" ht="33.75" hidden="1">
      <c r="A75" s="300"/>
      <c r="B75" s="129">
        <v>6</v>
      </c>
      <c r="C75" s="192" t="s">
        <v>1019</v>
      </c>
      <c r="D75" s="129" t="s">
        <v>320</v>
      </c>
      <c r="E75" s="193">
        <v>1</v>
      </c>
      <c r="F75" s="193">
        <v>1</v>
      </c>
      <c r="G75" s="193">
        <v>1</v>
      </c>
      <c r="H75" s="193">
        <f t="shared" si="160"/>
        <v>0</v>
      </c>
      <c r="I75" s="193">
        <f t="shared" si="160"/>
        <v>0</v>
      </c>
      <c r="J75" s="193">
        <f t="shared" si="160"/>
        <v>0</v>
      </c>
      <c r="K75" s="193">
        <f t="shared" si="160"/>
        <v>0</v>
      </c>
      <c r="L75" s="193">
        <f t="shared" si="160"/>
        <v>0</v>
      </c>
      <c r="M75" s="311">
        <f t="shared" si="115"/>
        <v>216.39</v>
      </c>
      <c r="N75" s="311">
        <f>'附件4-8甲供材料清单'!K217</f>
        <v>195</v>
      </c>
      <c r="O75" s="311">
        <v>1</v>
      </c>
      <c r="P75" s="311">
        <v>19.440000000000001</v>
      </c>
      <c r="Q75" s="139">
        <f t="shared" si="113"/>
        <v>216.39</v>
      </c>
      <c r="R75" s="139">
        <f t="shared" si="109"/>
        <v>216.39</v>
      </c>
      <c r="S75" s="139">
        <f t="shared" si="110"/>
        <v>216.39</v>
      </c>
      <c r="T75" s="139">
        <f t="shared" si="111"/>
        <v>0</v>
      </c>
      <c r="U75" s="139">
        <f t="shared" si="120"/>
        <v>0</v>
      </c>
      <c r="V75" s="139">
        <f t="shared" si="121"/>
        <v>0</v>
      </c>
      <c r="W75" s="139">
        <f t="shared" si="122"/>
        <v>0</v>
      </c>
      <c r="X75" s="139">
        <f t="shared" si="123"/>
        <v>0</v>
      </c>
      <c r="Y75" s="192" t="s">
        <v>244</v>
      </c>
      <c r="Z75" s="276">
        <f t="shared" si="161"/>
        <v>216.39</v>
      </c>
      <c r="AA75" s="276">
        <f t="shared" si="162"/>
        <v>216.39</v>
      </c>
      <c r="AB75" s="276">
        <f t="shared" si="146"/>
        <v>216.39</v>
      </c>
      <c r="AC75" s="276">
        <f t="shared" si="147"/>
        <v>0</v>
      </c>
      <c r="AD75" s="276">
        <f t="shared" si="148"/>
        <v>0</v>
      </c>
      <c r="AE75" s="276">
        <f t="shared" si="149"/>
        <v>0</v>
      </c>
      <c r="AF75" s="276">
        <f t="shared" si="150"/>
        <v>0</v>
      </c>
      <c r="AG75" s="276">
        <f t="shared" si="151"/>
        <v>0</v>
      </c>
      <c r="AH75" s="276"/>
      <c r="AI75" s="276">
        <f t="shared" si="163"/>
        <v>196.95</v>
      </c>
      <c r="AJ75" s="276">
        <f t="shared" si="164"/>
        <v>196.95</v>
      </c>
      <c r="AK75" s="276">
        <f t="shared" si="154"/>
        <v>196.95</v>
      </c>
      <c r="AL75" s="276">
        <f t="shared" si="155"/>
        <v>0</v>
      </c>
      <c r="AM75" s="276">
        <f t="shared" si="156"/>
        <v>0</v>
      </c>
      <c r="AN75" s="276">
        <f t="shared" si="157"/>
        <v>0</v>
      </c>
      <c r="AO75" s="276">
        <f t="shared" si="158"/>
        <v>0</v>
      </c>
      <c r="AP75" s="276">
        <f t="shared" si="159"/>
        <v>0</v>
      </c>
      <c r="AQ75" s="290"/>
      <c r="AS75" s="165">
        <v>6</v>
      </c>
      <c r="AT75" s="165" t="s">
        <v>1019</v>
      </c>
      <c r="AU75" s="165" t="s">
        <v>320</v>
      </c>
      <c r="AV75" s="165">
        <v>120.44</v>
      </c>
      <c r="AW75" s="165">
        <v>100</v>
      </c>
      <c r="AX75" s="165">
        <v>1</v>
      </c>
      <c r="AY75" s="165">
        <v>19.440000000000001</v>
      </c>
      <c r="AZ75" s="316">
        <f t="shared" si="166"/>
        <v>-95.949999999999989</v>
      </c>
    </row>
    <row r="76" spans="1:52" ht="22.5" hidden="1">
      <c r="A76" s="300"/>
      <c r="B76" s="129">
        <v>7</v>
      </c>
      <c r="C76" s="192" t="s">
        <v>965</v>
      </c>
      <c r="D76" s="129" t="s">
        <v>320</v>
      </c>
      <c r="E76" s="202"/>
      <c r="F76" s="193"/>
      <c r="G76" s="193"/>
      <c r="H76" s="193"/>
      <c r="I76" s="193"/>
      <c r="J76" s="193"/>
      <c r="K76" s="193"/>
      <c r="L76" s="193"/>
      <c r="M76" s="311">
        <f t="shared" si="115"/>
        <v>83.070000000000007</v>
      </c>
      <c r="N76" s="311">
        <f>'附件4-8甲供材料清单'!K208</f>
        <v>63</v>
      </c>
      <c r="O76" s="311">
        <v>1</v>
      </c>
      <c r="P76" s="311">
        <v>19.440000000000001</v>
      </c>
      <c r="Q76" s="139">
        <f t="shared" si="113"/>
        <v>0</v>
      </c>
      <c r="R76" s="139">
        <f t="shared" si="109"/>
        <v>0</v>
      </c>
      <c r="S76" s="139">
        <f t="shared" si="110"/>
        <v>0</v>
      </c>
      <c r="T76" s="139">
        <f t="shared" si="111"/>
        <v>0</v>
      </c>
      <c r="U76" s="139">
        <f t="shared" si="120"/>
        <v>0</v>
      </c>
      <c r="V76" s="139">
        <f t="shared" si="121"/>
        <v>0</v>
      </c>
      <c r="W76" s="139">
        <f t="shared" si="122"/>
        <v>0</v>
      </c>
      <c r="X76" s="139">
        <f t="shared" si="123"/>
        <v>0</v>
      </c>
      <c r="Y76" s="192" t="s">
        <v>244</v>
      </c>
      <c r="Z76" s="276">
        <f t="shared" si="161"/>
        <v>0</v>
      </c>
      <c r="AA76" s="276">
        <f t="shared" si="162"/>
        <v>0</v>
      </c>
      <c r="AB76" s="276">
        <f t="shared" si="146"/>
        <v>0</v>
      </c>
      <c r="AC76" s="276">
        <f t="shared" si="147"/>
        <v>0</v>
      </c>
      <c r="AD76" s="276">
        <f t="shared" si="148"/>
        <v>0</v>
      </c>
      <c r="AE76" s="276">
        <f t="shared" si="149"/>
        <v>0</v>
      </c>
      <c r="AF76" s="276">
        <f t="shared" si="150"/>
        <v>0</v>
      </c>
      <c r="AG76" s="276">
        <f t="shared" si="151"/>
        <v>0</v>
      </c>
      <c r="AH76" s="276"/>
      <c r="AI76" s="276">
        <f t="shared" si="163"/>
        <v>0</v>
      </c>
      <c r="AJ76" s="276">
        <f t="shared" si="164"/>
        <v>0</v>
      </c>
      <c r="AK76" s="276">
        <f t="shared" si="154"/>
        <v>0</v>
      </c>
      <c r="AL76" s="276">
        <f t="shared" si="155"/>
        <v>0</v>
      </c>
      <c r="AM76" s="276">
        <f t="shared" si="156"/>
        <v>0</v>
      </c>
      <c r="AN76" s="276">
        <f t="shared" si="157"/>
        <v>0</v>
      </c>
      <c r="AO76" s="276">
        <f t="shared" si="158"/>
        <v>0</v>
      </c>
      <c r="AP76" s="276">
        <f t="shared" si="159"/>
        <v>0</v>
      </c>
      <c r="AQ76" s="290"/>
      <c r="AS76" s="165">
        <v>7</v>
      </c>
      <c r="AT76" s="165" t="s">
        <v>965</v>
      </c>
      <c r="AU76" s="165" t="s">
        <v>320</v>
      </c>
      <c r="AV76" s="165">
        <v>83.07</v>
      </c>
      <c r="AW76" s="165" t="s">
        <v>966</v>
      </c>
      <c r="AX76" s="165">
        <v>1</v>
      </c>
      <c r="AY76" s="165">
        <v>19.440000000000001</v>
      </c>
      <c r="AZ76" s="316">
        <f t="shared" si="166"/>
        <v>0</v>
      </c>
    </row>
    <row r="77" spans="1:52" hidden="1">
      <c r="A77" s="300"/>
      <c r="B77" s="129">
        <v>8</v>
      </c>
      <c r="C77" s="192" t="s">
        <v>967</v>
      </c>
      <c r="D77" s="129" t="s">
        <v>482</v>
      </c>
      <c r="E77" s="193">
        <v>1</v>
      </c>
      <c r="F77" s="193">
        <v>1</v>
      </c>
      <c r="G77" s="193">
        <v>1</v>
      </c>
      <c r="H77" s="193">
        <f t="shared" ref="H77" si="167">SUBTOTAL(9,E77:G77)</f>
        <v>0</v>
      </c>
      <c r="I77" s="193">
        <f t="shared" ref="I77" si="168">SUBTOTAL(9,F77:H77)</f>
        <v>0</v>
      </c>
      <c r="J77" s="193">
        <f t="shared" ref="J77" si="169">SUBTOTAL(9,G77:I77)</f>
        <v>0</v>
      </c>
      <c r="K77" s="193">
        <f t="shared" ref="K77" si="170">SUBTOTAL(9,H77:J77)</f>
        <v>0</v>
      </c>
      <c r="L77" s="193">
        <f t="shared" ref="L77" si="171">SUBTOTAL(9,I77:K77)</f>
        <v>0</v>
      </c>
      <c r="M77" s="311">
        <f t="shared" si="115"/>
        <v>47.300000000000004</v>
      </c>
      <c r="N77" s="311">
        <f>'附件4-8甲供材料清单'!K207</f>
        <v>34</v>
      </c>
      <c r="O77" s="311">
        <v>1</v>
      </c>
      <c r="P77" s="311">
        <v>12.96</v>
      </c>
      <c r="Q77" s="139">
        <f t="shared" si="113"/>
        <v>47.300000000000004</v>
      </c>
      <c r="R77" s="139">
        <f t="shared" si="109"/>
        <v>47.300000000000004</v>
      </c>
      <c r="S77" s="139">
        <f t="shared" si="110"/>
        <v>47.300000000000004</v>
      </c>
      <c r="T77" s="139">
        <f t="shared" si="111"/>
        <v>0</v>
      </c>
      <c r="U77" s="139">
        <f t="shared" si="120"/>
        <v>0</v>
      </c>
      <c r="V77" s="139">
        <f t="shared" si="121"/>
        <v>0</v>
      </c>
      <c r="W77" s="139">
        <f t="shared" si="122"/>
        <v>0</v>
      </c>
      <c r="X77" s="139">
        <f t="shared" si="123"/>
        <v>0</v>
      </c>
      <c r="Y77" s="192" t="s">
        <v>244</v>
      </c>
      <c r="Z77" s="276">
        <f t="shared" si="161"/>
        <v>47.300000000000004</v>
      </c>
      <c r="AA77" s="276">
        <f t="shared" si="162"/>
        <v>47.300000000000004</v>
      </c>
      <c r="AB77" s="276">
        <f t="shared" si="146"/>
        <v>47.300000000000004</v>
      </c>
      <c r="AC77" s="276">
        <f t="shared" si="147"/>
        <v>0</v>
      </c>
      <c r="AD77" s="276">
        <f t="shared" si="148"/>
        <v>0</v>
      </c>
      <c r="AE77" s="276">
        <f t="shared" si="149"/>
        <v>0</v>
      </c>
      <c r="AF77" s="276">
        <f t="shared" si="150"/>
        <v>0</v>
      </c>
      <c r="AG77" s="276">
        <f t="shared" si="151"/>
        <v>0</v>
      </c>
      <c r="AH77" s="276"/>
      <c r="AI77" s="276">
        <f t="shared" si="163"/>
        <v>34.340000000000003</v>
      </c>
      <c r="AJ77" s="276">
        <f t="shared" si="164"/>
        <v>34.340000000000003</v>
      </c>
      <c r="AK77" s="276">
        <f t="shared" si="154"/>
        <v>34.340000000000003</v>
      </c>
      <c r="AL77" s="276">
        <f t="shared" si="155"/>
        <v>0</v>
      </c>
      <c r="AM77" s="276">
        <f t="shared" si="156"/>
        <v>0</v>
      </c>
      <c r="AN77" s="276">
        <f t="shared" si="157"/>
        <v>0</v>
      </c>
      <c r="AO77" s="276">
        <f t="shared" si="158"/>
        <v>0</v>
      </c>
      <c r="AP77" s="276">
        <f t="shared" si="159"/>
        <v>0</v>
      </c>
      <c r="AQ77" s="290"/>
      <c r="AS77" s="165">
        <v>8</v>
      </c>
      <c r="AT77" s="165" t="s">
        <v>967</v>
      </c>
      <c r="AU77" s="165" t="s">
        <v>482</v>
      </c>
      <c r="AV77" s="165">
        <v>46.310200000000002</v>
      </c>
      <c r="AW77" s="165" t="s">
        <v>1020</v>
      </c>
      <c r="AX77" s="165">
        <v>1</v>
      </c>
      <c r="AY77" s="165">
        <v>12.96</v>
      </c>
      <c r="AZ77" s="316">
        <f t="shared" si="166"/>
        <v>-0.98980000000000246</v>
      </c>
    </row>
    <row r="78" spans="1:52" ht="22.5" hidden="1">
      <c r="A78" s="300"/>
      <c r="B78" s="129">
        <v>9</v>
      </c>
      <c r="C78" s="192" t="s">
        <v>1021</v>
      </c>
      <c r="D78" s="129" t="s">
        <v>482</v>
      </c>
      <c r="E78" s="193">
        <v>1</v>
      </c>
      <c r="F78" s="193">
        <v>1</v>
      </c>
      <c r="G78" s="193">
        <v>1</v>
      </c>
      <c r="H78" s="193">
        <f t="shared" ref="H78:L79" si="172">SUBTOTAL(9,E78:G78)</f>
        <v>0</v>
      </c>
      <c r="I78" s="193">
        <f t="shared" si="172"/>
        <v>0</v>
      </c>
      <c r="J78" s="193">
        <f t="shared" si="172"/>
        <v>0</v>
      </c>
      <c r="K78" s="193">
        <f t="shared" si="172"/>
        <v>0</v>
      </c>
      <c r="L78" s="193">
        <f t="shared" si="172"/>
        <v>0</v>
      </c>
      <c r="M78" s="311">
        <f t="shared" si="115"/>
        <v>29.12</v>
      </c>
      <c r="N78" s="311">
        <f>'附件4-8甲供材料清单'!K216</f>
        <v>16</v>
      </c>
      <c r="O78" s="311">
        <v>1</v>
      </c>
      <c r="P78" s="311">
        <v>12.96</v>
      </c>
      <c r="Q78" s="139">
        <f t="shared" si="113"/>
        <v>29.12</v>
      </c>
      <c r="R78" s="139">
        <f t="shared" si="109"/>
        <v>29.12</v>
      </c>
      <c r="S78" s="139">
        <f t="shared" si="110"/>
        <v>29.12</v>
      </c>
      <c r="T78" s="139">
        <f t="shared" si="111"/>
        <v>0</v>
      </c>
      <c r="U78" s="139">
        <f t="shared" si="120"/>
        <v>0</v>
      </c>
      <c r="V78" s="139">
        <f t="shared" si="121"/>
        <v>0</v>
      </c>
      <c r="W78" s="139">
        <f t="shared" si="122"/>
        <v>0</v>
      </c>
      <c r="X78" s="139">
        <f t="shared" si="123"/>
        <v>0</v>
      </c>
      <c r="Y78" s="192" t="s">
        <v>244</v>
      </c>
      <c r="Z78" s="276">
        <f t="shared" si="161"/>
        <v>29.12</v>
      </c>
      <c r="AA78" s="276">
        <f t="shared" si="162"/>
        <v>29.12</v>
      </c>
      <c r="AB78" s="276">
        <f t="shared" si="146"/>
        <v>29.12</v>
      </c>
      <c r="AC78" s="276">
        <f t="shared" si="147"/>
        <v>0</v>
      </c>
      <c r="AD78" s="276">
        <f t="shared" si="148"/>
        <v>0</v>
      </c>
      <c r="AE78" s="276">
        <f t="shared" si="149"/>
        <v>0</v>
      </c>
      <c r="AF78" s="276">
        <f t="shared" si="150"/>
        <v>0</v>
      </c>
      <c r="AG78" s="276">
        <f t="shared" si="151"/>
        <v>0</v>
      </c>
      <c r="AH78" s="276"/>
      <c r="AI78" s="276">
        <f t="shared" si="163"/>
        <v>16.16</v>
      </c>
      <c r="AJ78" s="276">
        <f t="shared" si="164"/>
        <v>16.16</v>
      </c>
      <c r="AK78" s="276">
        <f t="shared" si="154"/>
        <v>16.16</v>
      </c>
      <c r="AL78" s="276">
        <f t="shared" si="155"/>
        <v>0</v>
      </c>
      <c r="AM78" s="276">
        <f t="shared" si="156"/>
        <v>0</v>
      </c>
      <c r="AN78" s="276">
        <f t="shared" si="157"/>
        <v>0</v>
      </c>
      <c r="AO78" s="276">
        <f t="shared" si="158"/>
        <v>0</v>
      </c>
      <c r="AP78" s="276">
        <f t="shared" si="159"/>
        <v>0</v>
      </c>
      <c r="AQ78" s="290"/>
      <c r="AS78" s="165">
        <v>9</v>
      </c>
      <c r="AT78" s="165" t="s">
        <v>1021</v>
      </c>
      <c r="AU78" s="165" t="s">
        <v>482</v>
      </c>
      <c r="AV78" s="165">
        <v>29.12</v>
      </c>
      <c r="AW78" s="165">
        <v>16</v>
      </c>
      <c r="AX78" s="165">
        <v>1</v>
      </c>
      <c r="AY78" s="165">
        <v>12.96</v>
      </c>
      <c r="AZ78" s="316">
        <f t="shared" si="166"/>
        <v>0</v>
      </c>
    </row>
    <row r="79" spans="1:52" ht="22.5" hidden="1">
      <c r="A79" s="300"/>
      <c r="B79" s="129">
        <v>10</v>
      </c>
      <c r="C79" s="192" t="s">
        <v>968</v>
      </c>
      <c r="D79" s="129" t="s">
        <v>235</v>
      </c>
      <c r="E79" s="193">
        <v>1</v>
      </c>
      <c r="F79" s="193">
        <v>1</v>
      </c>
      <c r="G79" s="193">
        <v>1</v>
      </c>
      <c r="H79" s="193">
        <f t="shared" si="172"/>
        <v>0</v>
      </c>
      <c r="I79" s="193">
        <f t="shared" si="172"/>
        <v>0</v>
      </c>
      <c r="J79" s="193">
        <f t="shared" si="172"/>
        <v>0</v>
      </c>
      <c r="K79" s="193">
        <f t="shared" si="172"/>
        <v>0</v>
      </c>
      <c r="L79" s="193">
        <f t="shared" si="172"/>
        <v>0</v>
      </c>
      <c r="M79" s="311">
        <f t="shared" si="115"/>
        <v>2.5367999999999999</v>
      </c>
      <c r="N79" s="311">
        <f>'大堂(新标)'!N173</f>
        <v>1.47</v>
      </c>
      <c r="O79" s="311">
        <v>16</v>
      </c>
      <c r="P79" s="311">
        <v>0.83160000000000001</v>
      </c>
      <c r="Q79" s="139">
        <f t="shared" si="113"/>
        <v>2.5367999999999999</v>
      </c>
      <c r="R79" s="139">
        <f t="shared" si="109"/>
        <v>2.5367999999999999</v>
      </c>
      <c r="S79" s="139">
        <f t="shared" si="110"/>
        <v>2.5367999999999999</v>
      </c>
      <c r="T79" s="139">
        <f t="shared" si="111"/>
        <v>0</v>
      </c>
      <c r="U79" s="139">
        <f t="shared" si="120"/>
        <v>0</v>
      </c>
      <c r="V79" s="139">
        <f t="shared" si="121"/>
        <v>0</v>
      </c>
      <c r="W79" s="139">
        <f t="shared" si="122"/>
        <v>0</v>
      </c>
      <c r="X79" s="139">
        <f t="shared" si="123"/>
        <v>0</v>
      </c>
      <c r="Y79" s="192" t="s">
        <v>244</v>
      </c>
      <c r="Z79" s="276">
        <f t="shared" si="161"/>
        <v>2.5367999999999999</v>
      </c>
      <c r="AA79" s="276">
        <f t="shared" si="162"/>
        <v>2.5367999999999999</v>
      </c>
      <c r="AB79" s="276">
        <f t="shared" si="146"/>
        <v>2.5367999999999999</v>
      </c>
      <c r="AC79" s="276">
        <f t="shared" si="147"/>
        <v>0</v>
      </c>
      <c r="AD79" s="276">
        <f t="shared" si="148"/>
        <v>0</v>
      </c>
      <c r="AE79" s="276">
        <f t="shared" si="149"/>
        <v>0</v>
      </c>
      <c r="AF79" s="276">
        <f t="shared" si="150"/>
        <v>0</v>
      </c>
      <c r="AG79" s="276">
        <f t="shared" si="151"/>
        <v>0</v>
      </c>
      <c r="AH79" s="276"/>
      <c r="AI79" s="276">
        <f t="shared" si="163"/>
        <v>1.7051999999999998</v>
      </c>
      <c r="AJ79" s="276">
        <f t="shared" si="164"/>
        <v>1.7051999999999998</v>
      </c>
      <c r="AK79" s="276">
        <f t="shared" si="154"/>
        <v>1.7051999999999998</v>
      </c>
      <c r="AL79" s="276">
        <f t="shared" si="155"/>
        <v>0</v>
      </c>
      <c r="AM79" s="276">
        <f t="shared" si="156"/>
        <v>0</v>
      </c>
      <c r="AN79" s="276">
        <f t="shared" si="157"/>
        <v>0</v>
      </c>
      <c r="AO79" s="276">
        <f t="shared" si="158"/>
        <v>0</v>
      </c>
      <c r="AP79" s="276">
        <f t="shared" si="159"/>
        <v>0</v>
      </c>
      <c r="AQ79" s="290"/>
      <c r="AS79" s="165">
        <v>10</v>
      </c>
      <c r="AT79" s="165" t="s">
        <v>968</v>
      </c>
      <c r="AU79" s="165" t="s">
        <v>235</v>
      </c>
      <c r="AV79" s="165">
        <v>2.641896</v>
      </c>
      <c r="AW79" s="165">
        <v>1.5606</v>
      </c>
      <c r="AX79" s="165">
        <v>16</v>
      </c>
      <c r="AY79" s="165">
        <v>0.83160000000000001</v>
      </c>
      <c r="AZ79" s="316">
        <f t="shared" si="166"/>
        <v>0.10509600000000008</v>
      </c>
    </row>
    <row r="80" spans="1:52" ht="31.5" hidden="1" customHeight="1">
      <c r="A80" s="300"/>
      <c r="B80" s="129">
        <v>11</v>
      </c>
      <c r="C80" s="192" t="s">
        <v>769</v>
      </c>
      <c r="D80" s="129" t="s">
        <v>235</v>
      </c>
      <c r="E80" s="202"/>
      <c r="F80" s="193"/>
      <c r="G80" s="193"/>
      <c r="H80" s="193"/>
      <c r="I80" s="193"/>
      <c r="J80" s="193"/>
      <c r="K80" s="193"/>
      <c r="L80" s="193"/>
      <c r="M80" s="311">
        <f t="shared" si="115"/>
        <v>7.5</v>
      </c>
      <c r="N80" s="311">
        <v>2</v>
      </c>
      <c r="O80" s="311">
        <v>5</v>
      </c>
      <c r="P80" s="311">
        <v>5.4</v>
      </c>
      <c r="Q80" s="139">
        <f t="shared" si="113"/>
        <v>0</v>
      </c>
      <c r="R80" s="139">
        <f t="shared" si="109"/>
        <v>0</v>
      </c>
      <c r="S80" s="139">
        <f t="shared" si="110"/>
        <v>0</v>
      </c>
      <c r="T80" s="139">
        <f t="shared" si="111"/>
        <v>0</v>
      </c>
      <c r="U80" s="139">
        <f t="shared" si="120"/>
        <v>0</v>
      </c>
      <c r="V80" s="139">
        <f t="shared" si="121"/>
        <v>0</v>
      </c>
      <c r="W80" s="139">
        <f t="shared" si="122"/>
        <v>0</v>
      </c>
      <c r="X80" s="139">
        <f t="shared" si="123"/>
        <v>0</v>
      </c>
      <c r="Y80" s="192"/>
      <c r="Z80" s="276"/>
      <c r="AA80" s="276"/>
      <c r="AB80" s="276"/>
      <c r="AC80" s="276"/>
      <c r="AD80" s="276"/>
      <c r="AE80" s="276"/>
      <c r="AF80" s="276"/>
      <c r="AG80" s="276"/>
      <c r="AH80" s="276"/>
      <c r="AI80" s="276"/>
      <c r="AJ80" s="276"/>
      <c r="AK80" s="276"/>
      <c r="AL80" s="276"/>
      <c r="AM80" s="276"/>
      <c r="AN80" s="276"/>
      <c r="AO80" s="276"/>
      <c r="AP80" s="276"/>
      <c r="AQ80" s="290"/>
      <c r="AS80" s="165">
        <v>11</v>
      </c>
      <c r="AT80" s="165" t="s">
        <v>769</v>
      </c>
      <c r="AU80" s="165" t="s">
        <v>235</v>
      </c>
      <c r="AV80" s="165">
        <v>7.5</v>
      </c>
      <c r="AW80" s="165">
        <v>2</v>
      </c>
      <c r="AX80" s="165">
        <v>5</v>
      </c>
      <c r="AY80" s="165">
        <v>5.4</v>
      </c>
      <c r="AZ80" s="316">
        <f t="shared" si="166"/>
        <v>0</v>
      </c>
    </row>
    <row r="81" spans="1:52" ht="42.75" hidden="1" customHeight="1">
      <c r="A81" s="300"/>
      <c r="B81" s="129">
        <v>12</v>
      </c>
      <c r="C81" s="192" t="s">
        <v>771</v>
      </c>
      <c r="D81" s="129" t="s">
        <v>235</v>
      </c>
      <c r="E81" s="193">
        <v>1</v>
      </c>
      <c r="F81" s="193">
        <v>1</v>
      </c>
      <c r="G81" s="193">
        <v>1</v>
      </c>
      <c r="H81" s="193">
        <f t="shared" ref="H81" si="173">SUBTOTAL(9,E81:G81)</f>
        <v>0</v>
      </c>
      <c r="I81" s="193">
        <f t="shared" ref="I81" si="174">SUBTOTAL(9,F81:H81)</f>
        <v>0</v>
      </c>
      <c r="J81" s="193">
        <f t="shared" ref="J81" si="175">SUBTOTAL(9,G81:I81)</f>
        <v>0</v>
      </c>
      <c r="K81" s="193">
        <f t="shared" ref="K81" si="176">SUBTOTAL(9,H81:J81)</f>
        <v>0</v>
      </c>
      <c r="L81" s="193">
        <f t="shared" ref="L81" si="177">SUBTOTAL(9,I81:K81)</f>
        <v>0</v>
      </c>
      <c r="M81" s="311">
        <f t="shared" si="115"/>
        <v>7.0274999999999999</v>
      </c>
      <c r="N81" s="311">
        <f>'大堂(新标)'!N177</f>
        <v>1.19</v>
      </c>
      <c r="O81" s="311">
        <v>5</v>
      </c>
      <c r="P81" s="311">
        <v>5.7779999999999996</v>
      </c>
      <c r="Q81" s="139">
        <f t="shared" si="113"/>
        <v>7.0274999999999999</v>
      </c>
      <c r="R81" s="139">
        <f t="shared" si="109"/>
        <v>7.0274999999999999</v>
      </c>
      <c r="S81" s="139">
        <f t="shared" si="110"/>
        <v>7.0274999999999999</v>
      </c>
      <c r="T81" s="139">
        <f t="shared" si="111"/>
        <v>0</v>
      </c>
      <c r="U81" s="139">
        <f t="shared" si="120"/>
        <v>0</v>
      </c>
      <c r="V81" s="139">
        <f t="shared" si="121"/>
        <v>0</v>
      </c>
      <c r="W81" s="139">
        <f t="shared" si="122"/>
        <v>0</v>
      </c>
      <c r="X81" s="139">
        <f t="shared" si="123"/>
        <v>0</v>
      </c>
      <c r="Y81" s="315" t="s">
        <v>499</v>
      </c>
      <c r="Z81" s="276">
        <f t="shared" ref="Z81" si="178">Q81</f>
        <v>7.0274999999999999</v>
      </c>
      <c r="AA81" s="276">
        <f t="shared" ref="AA81" si="179">R81</f>
        <v>7.0274999999999999</v>
      </c>
      <c r="AB81" s="276">
        <f t="shared" ref="AB81:AG86" si="180">S81</f>
        <v>7.0274999999999999</v>
      </c>
      <c r="AC81" s="276">
        <f t="shared" si="180"/>
        <v>0</v>
      </c>
      <c r="AD81" s="276">
        <f t="shared" si="180"/>
        <v>0</v>
      </c>
      <c r="AE81" s="276">
        <f t="shared" si="180"/>
        <v>0</v>
      </c>
      <c r="AF81" s="276">
        <f t="shared" si="180"/>
        <v>0</v>
      </c>
      <c r="AG81" s="276">
        <f t="shared" si="180"/>
        <v>0</v>
      </c>
      <c r="AH81" s="276"/>
      <c r="AI81" s="276">
        <f t="shared" ref="AI81" si="181">E81*$N81*(1+$O81%)</f>
        <v>1.2495000000000001</v>
      </c>
      <c r="AJ81" s="276">
        <f t="shared" ref="AJ81" si="182">F81*$N81*(1+$O81%)</f>
        <v>1.2495000000000001</v>
      </c>
      <c r="AK81" s="276">
        <f t="shared" ref="AK81:AP86" si="183">G81*$N81*(1+$O81%)</f>
        <v>1.2495000000000001</v>
      </c>
      <c r="AL81" s="276">
        <f t="shared" si="183"/>
        <v>0</v>
      </c>
      <c r="AM81" s="276">
        <f t="shared" si="183"/>
        <v>0</v>
      </c>
      <c r="AN81" s="276">
        <f t="shared" si="183"/>
        <v>0</v>
      </c>
      <c r="AO81" s="276">
        <f t="shared" si="183"/>
        <v>0</v>
      </c>
      <c r="AP81" s="276">
        <f t="shared" si="183"/>
        <v>0</v>
      </c>
      <c r="AQ81" s="290"/>
      <c r="AS81" s="165">
        <v>12</v>
      </c>
      <c r="AT81" s="165" t="s">
        <v>771</v>
      </c>
      <c r="AU81" s="165" t="s">
        <v>235</v>
      </c>
      <c r="AV81" s="165">
        <v>6.9855</v>
      </c>
      <c r="AW81" s="165">
        <v>1.1499999999999999</v>
      </c>
      <c r="AX81" s="165">
        <v>5</v>
      </c>
      <c r="AY81" s="165">
        <v>5.7779999999999996</v>
      </c>
      <c r="AZ81" s="316">
        <f t="shared" si="166"/>
        <v>-4.1999999999999815E-2</v>
      </c>
    </row>
    <row r="82" spans="1:52" ht="42.75" hidden="1" customHeight="1">
      <c r="A82" s="300"/>
      <c r="B82" s="129">
        <v>13</v>
      </c>
      <c r="C82" s="192" t="s">
        <v>969</v>
      </c>
      <c r="D82" s="129" t="s">
        <v>482</v>
      </c>
      <c r="E82" s="193">
        <v>1</v>
      </c>
      <c r="F82" s="193">
        <v>1</v>
      </c>
      <c r="G82" s="193">
        <v>1</v>
      </c>
      <c r="H82" s="193">
        <f t="shared" ref="H82:L86" si="184">SUBTOTAL(9,E82:G82)</f>
        <v>0</v>
      </c>
      <c r="I82" s="193">
        <f t="shared" si="184"/>
        <v>0</v>
      </c>
      <c r="J82" s="193">
        <f t="shared" si="184"/>
        <v>0</v>
      </c>
      <c r="K82" s="193">
        <f t="shared" si="184"/>
        <v>0</v>
      </c>
      <c r="L82" s="193">
        <f t="shared" si="184"/>
        <v>0</v>
      </c>
      <c r="M82" s="311">
        <f t="shared" si="115"/>
        <v>856.93999999999994</v>
      </c>
      <c r="N82" s="311">
        <f>'附件4-8甲供材料清单'!K204</f>
        <v>718</v>
      </c>
      <c r="O82" s="311">
        <v>1</v>
      </c>
      <c r="P82" s="311">
        <v>131.76</v>
      </c>
      <c r="Q82" s="139">
        <f t="shared" si="113"/>
        <v>856.93999999999994</v>
      </c>
      <c r="R82" s="139">
        <f t="shared" si="109"/>
        <v>856.93999999999994</v>
      </c>
      <c r="S82" s="139">
        <f t="shared" si="110"/>
        <v>856.93999999999994</v>
      </c>
      <c r="T82" s="139">
        <f t="shared" si="111"/>
        <v>0</v>
      </c>
      <c r="U82" s="139">
        <f t="shared" si="120"/>
        <v>0</v>
      </c>
      <c r="V82" s="139">
        <f t="shared" si="121"/>
        <v>0</v>
      </c>
      <c r="W82" s="139">
        <f t="shared" si="122"/>
        <v>0</v>
      </c>
      <c r="X82" s="139">
        <f t="shared" si="123"/>
        <v>0</v>
      </c>
      <c r="Y82" s="192" t="s">
        <v>244</v>
      </c>
      <c r="Z82" s="276">
        <f t="shared" ref="Z82:AA86" si="185">Q82</f>
        <v>856.93999999999994</v>
      </c>
      <c r="AA82" s="276">
        <f t="shared" si="185"/>
        <v>856.93999999999994</v>
      </c>
      <c r="AB82" s="276">
        <f t="shared" si="180"/>
        <v>856.93999999999994</v>
      </c>
      <c r="AC82" s="276">
        <f t="shared" si="180"/>
        <v>0</v>
      </c>
      <c r="AD82" s="276">
        <f t="shared" si="180"/>
        <v>0</v>
      </c>
      <c r="AE82" s="276">
        <f t="shared" si="180"/>
        <v>0</v>
      </c>
      <c r="AF82" s="276">
        <f t="shared" si="180"/>
        <v>0</v>
      </c>
      <c r="AG82" s="276">
        <f t="shared" si="180"/>
        <v>0</v>
      </c>
      <c r="AH82" s="276"/>
      <c r="AI82" s="276">
        <f t="shared" ref="AI82:AJ86" si="186">E82*$N82*(1+$O82%)</f>
        <v>725.18</v>
      </c>
      <c r="AJ82" s="276">
        <f t="shared" si="186"/>
        <v>725.18</v>
      </c>
      <c r="AK82" s="276">
        <f t="shared" si="183"/>
        <v>725.18</v>
      </c>
      <c r="AL82" s="276">
        <f t="shared" si="183"/>
        <v>0</v>
      </c>
      <c r="AM82" s="276">
        <f t="shared" si="183"/>
        <v>0</v>
      </c>
      <c r="AN82" s="276">
        <f t="shared" si="183"/>
        <v>0</v>
      </c>
      <c r="AO82" s="276">
        <f t="shared" si="183"/>
        <v>0</v>
      </c>
      <c r="AP82" s="276">
        <f t="shared" si="183"/>
        <v>0</v>
      </c>
      <c r="AQ82" s="290"/>
      <c r="AS82" s="165">
        <v>13</v>
      </c>
      <c r="AT82" s="165" t="s">
        <v>969</v>
      </c>
      <c r="AU82" s="165" t="s">
        <v>482</v>
      </c>
      <c r="AV82" s="165">
        <v>821.78189999999995</v>
      </c>
      <c r="AW82" s="165" t="s">
        <v>762</v>
      </c>
      <c r="AX82" s="165">
        <v>1</v>
      </c>
      <c r="AY82" s="165">
        <v>131.76</v>
      </c>
      <c r="AZ82" s="316">
        <f t="shared" si="166"/>
        <v>-35.15809999999999</v>
      </c>
    </row>
    <row r="83" spans="1:52" ht="42.75" hidden="1" customHeight="1">
      <c r="A83" s="300"/>
      <c r="B83" s="129">
        <v>14</v>
      </c>
      <c r="C83" s="192" t="s">
        <v>970</v>
      </c>
      <c r="D83" s="129" t="s">
        <v>482</v>
      </c>
      <c r="E83" s="193">
        <v>1</v>
      </c>
      <c r="F83" s="193">
        <v>1</v>
      </c>
      <c r="G83" s="193">
        <v>1</v>
      </c>
      <c r="H83" s="193">
        <f t="shared" si="184"/>
        <v>0</v>
      </c>
      <c r="I83" s="193">
        <f t="shared" si="184"/>
        <v>0</v>
      </c>
      <c r="J83" s="193">
        <f t="shared" si="184"/>
        <v>0</v>
      </c>
      <c r="K83" s="193">
        <f t="shared" si="184"/>
        <v>0</v>
      </c>
      <c r="L83" s="193">
        <f t="shared" si="184"/>
        <v>0</v>
      </c>
      <c r="M83" s="311">
        <f t="shared" si="115"/>
        <v>13.083200000000001</v>
      </c>
      <c r="N83" s="311">
        <f>'附件4-8甲供材料清单'!K99</f>
        <v>6.32</v>
      </c>
      <c r="O83" s="311">
        <v>1</v>
      </c>
      <c r="P83" s="311">
        <v>6.7</v>
      </c>
      <c r="Q83" s="139">
        <f t="shared" si="113"/>
        <v>13.083200000000001</v>
      </c>
      <c r="R83" s="139">
        <f t="shared" si="109"/>
        <v>13.083200000000001</v>
      </c>
      <c r="S83" s="139">
        <f t="shared" si="110"/>
        <v>13.083200000000001</v>
      </c>
      <c r="T83" s="139">
        <f t="shared" si="111"/>
        <v>0</v>
      </c>
      <c r="U83" s="139">
        <f t="shared" si="120"/>
        <v>0</v>
      </c>
      <c r="V83" s="139">
        <f t="shared" si="121"/>
        <v>0</v>
      </c>
      <c r="W83" s="139">
        <f t="shared" si="122"/>
        <v>0</v>
      </c>
      <c r="X83" s="139">
        <f t="shared" si="123"/>
        <v>0</v>
      </c>
      <c r="Y83" s="192" t="s">
        <v>244</v>
      </c>
      <c r="Z83" s="276">
        <f t="shared" si="185"/>
        <v>13.083200000000001</v>
      </c>
      <c r="AA83" s="276">
        <f t="shared" si="185"/>
        <v>13.083200000000001</v>
      </c>
      <c r="AB83" s="276">
        <f t="shared" si="180"/>
        <v>13.083200000000001</v>
      </c>
      <c r="AC83" s="276">
        <f t="shared" si="180"/>
        <v>0</v>
      </c>
      <c r="AD83" s="276">
        <f t="shared" si="180"/>
        <v>0</v>
      </c>
      <c r="AE83" s="276">
        <f t="shared" si="180"/>
        <v>0</v>
      </c>
      <c r="AF83" s="276">
        <f t="shared" si="180"/>
        <v>0</v>
      </c>
      <c r="AG83" s="276">
        <f t="shared" si="180"/>
        <v>0</v>
      </c>
      <c r="AH83" s="276"/>
      <c r="AI83" s="276">
        <f t="shared" si="186"/>
        <v>6.3832000000000004</v>
      </c>
      <c r="AJ83" s="276">
        <f t="shared" si="186"/>
        <v>6.3832000000000004</v>
      </c>
      <c r="AK83" s="276">
        <f t="shared" si="183"/>
        <v>6.3832000000000004</v>
      </c>
      <c r="AL83" s="276">
        <f t="shared" si="183"/>
        <v>0</v>
      </c>
      <c r="AM83" s="276">
        <f t="shared" si="183"/>
        <v>0</v>
      </c>
      <c r="AN83" s="276">
        <f t="shared" si="183"/>
        <v>0</v>
      </c>
      <c r="AO83" s="276">
        <f t="shared" si="183"/>
        <v>0</v>
      </c>
      <c r="AP83" s="276">
        <f t="shared" si="183"/>
        <v>0</v>
      </c>
      <c r="AQ83" s="290"/>
      <c r="AS83" s="165">
        <v>14</v>
      </c>
      <c r="AT83" s="165" t="s">
        <v>970</v>
      </c>
      <c r="AU83" s="165" t="s">
        <v>482</v>
      </c>
      <c r="AV83" s="165">
        <v>11.952</v>
      </c>
      <c r="AW83" s="165" t="s">
        <v>469</v>
      </c>
      <c r="AX83" s="165">
        <v>1</v>
      </c>
      <c r="AY83" s="165">
        <v>6.7</v>
      </c>
      <c r="AZ83" s="316">
        <f t="shared" si="166"/>
        <v>-1.1312000000000015</v>
      </c>
    </row>
    <row r="84" spans="1:52" ht="42.75" hidden="1" customHeight="1">
      <c r="A84" s="300"/>
      <c r="B84" s="129">
        <v>15</v>
      </c>
      <c r="C84" s="192" t="s">
        <v>971</v>
      </c>
      <c r="D84" s="129" t="s">
        <v>482</v>
      </c>
      <c r="E84" s="193">
        <v>1</v>
      </c>
      <c r="F84" s="193">
        <v>1</v>
      </c>
      <c r="G84" s="193">
        <v>1</v>
      </c>
      <c r="H84" s="193">
        <f t="shared" si="184"/>
        <v>0</v>
      </c>
      <c r="I84" s="193">
        <f t="shared" si="184"/>
        <v>0</v>
      </c>
      <c r="J84" s="193">
        <f t="shared" si="184"/>
        <v>0</v>
      </c>
      <c r="K84" s="193">
        <f t="shared" si="184"/>
        <v>0</v>
      </c>
      <c r="L84" s="193">
        <f t="shared" si="184"/>
        <v>0</v>
      </c>
      <c r="M84" s="311">
        <f t="shared" si="115"/>
        <v>58.410000000000004</v>
      </c>
      <c r="N84" s="311">
        <f>'附件4-8甲供材料清单'!K210</f>
        <v>45</v>
      </c>
      <c r="O84" s="311">
        <v>1</v>
      </c>
      <c r="P84" s="311">
        <v>12.96</v>
      </c>
      <c r="Q84" s="139">
        <f t="shared" si="113"/>
        <v>58.410000000000004</v>
      </c>
      <c r="R84" s="139">
        <f t="shared" si="109"/>
        <v>58.410000000000004</v>
      </c>
      <c r="S84" s="139">
        <f t="shared" si="110"/>
        <v>58.410000000000004</v>
      </c>
      <c r="T84" s="139">
        <f t="shared" si="111"/>
        <v>0</v>
      </c>
      <c r="U84" s="139">
        <f t="shared" si="120"/>
        <v>0</v>
      </c>
      <c r="V84" s="139">
        <f t="shared" si="121"/>
        <v>0</v>
      </c>
      <c r="W84" s="139">
        <f t="shared" si="122"/>
        <v>0</v>
      </c>
      <c r="X84" s="139">
        <f t="shared" si="123"/>
        <v>0</v>
      </c>
      <c r="Y84" s="192" t="s">
        <v>244</v>
      </c>
      <c r="Z84" s="276">
        <f t="shared" si="185"/>
        <v>58.410000000000004</v>
      </c>
      <c r="AA84" s="276">
        <f t="shared" si="185"/>
        <v>58.410000000000004</v>
      </c>
      <c r="AB84" s="276">
        <f t="shared" si="180"/>
        <v>58.410000000000004</v>
      </c>
      <c r="AC84" s="276">
        <f t="shared" si="180"/>
        <v>0</v>
      </c>
      <c r="AD84" s="276">
        <f t="shared" si="180"/>
        <v>0</v>
      </c>
      <c r="AE84" s="276">
        <f t="shared" si="180"/>
        <v>0</v>
      </c>
      <c r="AF84" s="276">
        <f t="shared" si="180"/>
        <v>0</v>
      </c>
      <c r="AG84" s="276">
        <f t="shared" si="180"/>
        <v>0</v>
      </c>
      <c r="AH84" s="276"/>
      <c r="AI84" s="276">
        <f t="shared" si="186"/>
        <v>45.45</v>
      </c>
      <c r="AJ84" s="276">
        <f t="shared" si="186"/>
        <v>45.45</v>
      </c>
      <c r="AK84" s="276">
        <f t="shared" si="183"/>
        <v>45.45</v>
      </c>
      <c r="AL84" s="276">
        <f t="shared" si="183"/>
        <v>0</v>
      </c>
      <c r="AM84" s="276">
        <f t="shared" si="183"/>
        <v>0</v>
      </c>
      <c r="AN84" s="276">
        <f t="shared" si="183"/>
        <v>0</v>
      </c>
      <c r="AO84" s="276">
        <f t="shared" si="183"/>
        <v>0</v>
      </c>
      <c r="AP84" s="276">
        <f t="shared" si="183"/>
        <v>0</v>
      </c>
      <c r="AQ84" s="290"/>
      <c r="AS84" s="165">
        <v>15</v>
      </c>
      <c r="AT84" s="165" t="s">
        <v>971</v>
      </c>
      <c r="AU84" s="165" t="s">
        <v>482</v>
      </c>
      <c r="AV84" s="165">
        <v>58.41</v>
      </c>
      <c r="AW84" s="165">
        <v>45</v>
      </c>
      <c r="AX84" s="165">
        <v>1</v>
      </c>
      <c r="AY84" s="165">
        <v>12.96</v>
      </c>
      <c r="AZ84" s="316">
        <f t="shared" si="166"/>
        <v>0</v>
      </c>
    </row>
    <row r="85" spans="1:52" ht="42.75" hidden="1" customHeight="1">
      <c r="A85" s="300"/>
      <c r="B85" s="129">
        <v>16</v>
      </c>
      <c r="C85" s="192" t="s">
        <v>972</v>
      </c>
      <c r="D85" s="129" t="s">
        <v>482</v>
      </c>
      <c r="E85" s="193">
        <v>1</v>
      </c>
      <c r="F85" s="193">
        <v>1</v>
      </c>
      <c r="G85" s="193">
        <v>1</v>
      </c>
      <c r="H85" s="193">
        <f t="shared" si="184"/>
        <v>0</v>
      </c>
      <c r="I85" s="193">
        <f t="shared" si="184"/>
        <v>0</v>
      </c>
      <c r="J85" s="193">
        <f t="shared" si="184"/>
        <v>0</v>
      </c>
      <c r="K85" s="193">
        <f t="shared" si="184"/>
        <v>0</v>
      </c>
      <c r="L85" s="193">
        <f t="shared" si="184"/>
        <v>0</v>
      </c>
      <c r="M85" s="311">
        <f t="shared" si="115"/>
        <v>48.31</v>
      </c>
      <c r="N85" s="311">
        <f>'附件4-8甲供材料清单'!K211</f>
        <v>35</v>
      </c>
      <c r="O85" s="311">
        <v>1</v>
      </c>
      <c r="P85" s="311">
        <v>12.96</v>
      </c>
      <c r="Q85" s="139">
        <f t="shared" si="113"/>
        <v>48.31</v>
      </c>
      <c r="R85" s="139">
        <f t="shared" si="109"/>
        <v>48.31</v>
      </c>
      <c r="S85" s="139">
        <f t="shared" si="110"/>
        <v>48.31</v>
      </c>
      <c r="T85" s="139">
        <f t="shared" si="111"/>
        <v>0</v>
      </c>
      <c r="U85" s="139">
        <f t="shared" si="120"/>
        <v>0</v>
      </c>
      <c r="V85" s="139">
        <f t="shared" si="121"/>
        <v>0</v>
      </c>
      <c r="W85" s="139">
        <f t="shared" si="122"/>
        <v>0</v>
      </c>
      <c r="X85" s="139">
        <f t="shared" si="123"/>
        <v>0</v>
      </c>
      <c r="Y85" s="192" t="s">
        <v>244</v>
      </c>
      <c r="Z85" s="276">
        <f t="shared" si="185"/>
        <v>48.31</v>
      </c>
      <c r="AA85" s="276">
        <f t="shared" si="185"/>
        <v>48.31</v>
      </c>
      <c r="AB85" s="276">
        <f t="shared" si="180"/>
        <v>48.31</v>
      </c>
      <c r="AC85" s="276">
        <f t="shared" si="180"/>
        <v>0</v>
      </c>
      <c r="AD85" s="276">
        <f t="shared" si="180"/>
        <v>0</v>
      </c>
      <c r="AE85" s="276">
        <f t="shared" si="180"/>
        <v>0</v>
      </c>
      <c r="AF85" s="276">
        <f t="shared" si="180"/>
        <v>0</v>
      </c>
      <c r="AG85" s="276">
        <f t="shared" si="180"/>
        <v>0</v>
      </c>
      <c r="AH85" s="276"/>
      <c r="AI85" s="276">
        <f t="shared" si="186"/>
        <v>35.35</v>
      </c>
      <c r="AJ85" s="276">
        <f t="shared" si="186"/>
        <v>35.35</v>
      </c>
      <c r="AK85" s="276">
        <f t="shared" si="183"/>
        <v>35.35</v>
      </c>
      <c r="AL85" s="276">
        <f t="shared" si="183"/>
        <v>0</v>
      </c>
      <c r="AM85" s="276">
        <f t="shared" si="183"/>
        <v>0</v>
      </c>
      <c r="AN85" s="276">
        <f t="shared" si="183"/>
        <v>0</v>
      </c>
      <c r="AO85" s="276">
        <f t="shared" si="183"/>
        <v>0</v>
      </c>
      <c r="AP85" s="276">
        <f t="shared" si="183"/>
        <v>0</v>
      </c>
      <c r="AQ85" s="290"/>
      <c r="AS85" s="165">
        <v>16</v>
      </c>
      <c r="AT85" s="165" t="s">
        <v>972</v>
      </c>
      <c r="AU85" s="165" t="s">
        <v>482</v>
      </c>
      <c r="AV85" s="165">
        <v>48.31</v>
      </c>
      <c r="AW85" s="165">
        <v>35</v>
      </c>
      <c r="AX85" s="165">
        <v>1</v>
      </c>
      <c r="AY85" s="165">
        <v>12.96</v>
      </c>
      <c r="AZ85" s="316">
        <f t="shared" si="166"/>
        <v>0</v>
      </c>
    </row>
    <row r="86" spans="1:52" ht="42.75" hidden="1" customHeight="1">
      <c r="A86" s="300"/>
      <c r="B86" s="129">
        <v>17</v>
      </c>
      <c r="C86" s="192" t="s">
        <v>973</v>
      </c>
      <c r="D86" s="129" t="s">
        <v>482</v>
      </c>
      <c r="E86" s="193">
        <v>1</v>
      </c>
      <c r="F86" s="193">
        <v>1</v>
      </c>
      <c r="G86" s="193">
        <v>1</v>
      </c>
      <c r="H86" s="193">
        <f t="shared" si="184"/>
        <v>0</v>
      </c>
      <c r="I86" s="193">
        <f t="shared" si="184"/>
        <v>0</v>
      </c>
      <c r="J86" s="193">
        <f t="shared" si="184"/>
        <v>0</v>
      </c>
      <c r="K86" s="193">
        <f t="shared" si="184"/>
        <v>0</v>
      </c>
      <c r="L86" s="193">
        <f t="shared" si="184"/>
        <v>0</v>
      </c>
      <c r="M86" s="311">
        <f t="shared" si="115"/>
        <v>48.31</v>
      </c>
      <c r="N86" s="311">
        <f>'附件4-8甲供材料清单'!K212</f>
        <v>35</v>
      </c>
      <c r="O86" s="311">
        <v>1</v>
      </c>
      <c r="P86" s="311">
        <v>12.96</v>
      </c>
      <c r="Q86" s="139">
        <f t="shared" si="113"/>
        <v>48.31</v>
      </c>
      <c r="R86" s="139">
        <f t="shared" si="109"/>
        <v>48.31</v>
      </c>
      <c r="S86" s="139">
        <f t="shared" si="110"/>
        <v>48.31</v>
      </c>
      <c r="T86" s="139">
        <f t="shared" si="111"/>
        <v>0</v>
      </c>
      <c r="U86" s="139">
        <f t="shared" si="120"/>
        <v>0</v>
      </c>
      <c r="V86" s="139">
        <f t="shared" si="121"/>
        <v>0</v>
      </c>
      <c r="W86" s="139">
        <f t="shared" si="122"/>
        <v>0</v>
      </c>
      <c r="X86" s="139">
        <f t="shared" si="123"/>
        <v>0</v>
      </c>
      <c r="Y86" s="192" t="s">
        <v>244</v>
      </c>
      <c r="Z86" s="276">
        <f t="shared" si="185"/>
        <v>48.31</v>
      </c>
      <c r="AA86" s="276">
        <f t="shared" si="185"/>
        <v>48.31</v>
      </c>
      <c r="AB86" s="276">
        <f t="shared" si="180"/>
        <v>48.31</v>
      </c>
      <c r="AC86" s="276">
        <f t="shared" si="180"/>
        <v>0</v>
      </c>
      <c r="AD86" s="276">
        <f t="shared" si="180"/>
        <v>0</v>
      </c>
      <c r="AE86" s="276">
        <f t="shared" si="180"/>
        <v>0</v>
      </c>
      <c r="AF86" s="276">
        <f t="shared" si="180"/>
        <v>0</v>
      </c>
      <c r="AG86" s="276">
        <f t="shared" si="180"/>
        <v>0</v>
      </c>
      <c r="AH86" s="276"/>
      <c r="AI86" s="276">
        <f t="shared" si="186"/>
        <v>35.35</v>
      </c>
      <c r="AJ86" s="276">
        <f t="shared" si="186"/>
        <v>35.35</v>
      </c>
      <c r="AK86" s="276">
        <f t="shared" si="183"/>
        <v>35.35</v>
      </c>
      <c r="AL86" s="276">
        <f t="shared" si="183"/>
        <v>0</v>
      </c>
      <c r="AM86" s="276">
        <f t="shared" si="183"/>
        <v>0</v>
      </c>
      <c r="AN86" s="276">
        <f t="shared" si="183"/>
        <v>0</v>
      </c>
      <c r="AO86" s="276">
        <f t="shared" si="183"/>
        <v>0</v>
      </c>
      <c r="AP86" s="276">
        <f t="shared" si="183"/>
        <v>0</v>
      </c>
      <c r="AQ86" s="290"/>
      <c r="AS86" s="165">
        <v>17</v>
      </c>
      <c r="AT86" s="165" t="s">
        <v>973</v>
      </c>
      <c r="AU86" s="165" t="s">
        <v>482</v>
      </c>
      <c r="AV86" s="165">
        <v>48.31</v>
      </c>
      <c r="AW86" s="165">
        <v>35</v>
      </c>
      <c r="AX86" s="165">
        <v>1</v>
      </c>
      <c r="AY86" s="165">
        <v>12.96</v>
      </c>
      <c r="AZ86" s="316">
        <f t="shared" si="166"/>
        <v>0</v>
      </c>
    </row>
    <row r="87" spans="1:52" ht="42.75" hidden="1" customHeight="1">
      <c r="A87" s="300"/>
      <c r="B87" s="129">
        <v>18</v>
      </c>
      <c r="C87" s="192" t="s">
        <v>775</v>
      </c>
      <c r="D87" s="129" t="s">
        <v>235</v>
      </c>
      <c r="E87" s="202"/>
      <c r="F87" s="193"/>
      <c r="G87" s="193"/>
      <c r="H87" s="193"/>
      <c r="I87" s="193"/>
      <c r="J87" s="193"/>
      <c r="K87" s="193"/>
      <c r="L87" s="193"/>
      <c r="M87" s="311">
        <f t="shared" si="115"/>
        <v>12.515000000000001</v>
      </c>
      <c r="N87" s="311">
        <v>4.3</v>
      </c>
      <c r="O87" s="311">
        <v>5</v>
      </c>
      <c r="P87" s="311">
        <v>8</v>
      </c>
      <c r="Q87" s="139">
        <f t="shared" si="113"/>
        <v>0</v>
      </c>
      <c r="R87" s="139">
        <f t="shared" si="109"/>
        <v>0</v>
      </c>
      <c r="S87" s="139">
        <f t="shared" si="110"/>
        <v>0</v>
      </c>
      <c r="T87" s="139">
        <f t="shared" si="111"/>
        <v>0</v>
      </c>
      <c r="U87" s="139">
        <f t="shared" si="120"/>
        <v>0</v>
      </c>
      <c r="V87" s="139">
        <f t="shared" si="121"/>
        <v>0</v>
      </c>
      <c r="W87" s="139">
        <f t="shared" si="122"/>
        <v>0</v>
      </c>
      <c r="X87" s="139">
        <f t="shared" si="123"/>
        <v>0</v>
      </c>
      <c r="Y87" s="315" t="s">
        <v>776</v>
      </c>
      <c r="Z87" s="276"/>
      <c r="AA87" s="276"/>
      <c r="AB87" s="276"/>
      <c r="AC87" s="276"/>
      <c r="AD87" s="276"/>
      <c r="AE87" s="276"/>
      <c r="AF87" s="276"/>
      <c r="AG87" s="276"/>
      <c r="AH87" s="276"/>
      <c r="AI87" s="276"/>
      <c r="AJ87" s="276"/>
      <c r="AK87" s="276"/>
      <c r="AL87" s="276"/>
      <c r="AM87" s="276"/>
      <c r="AN87" s="276"/>
      <c r="AO87" s="276"/>
      <c r="AP87" s="276"/>
      <c r="AQ87" s="290"/>
      <c r="AS87" s="165">
        <v>18</v>
      </c>
      <c r="AT87" s="165" t="s">
        <v>775</v>
      </c>
      <c r="AU87" s="165" t="s">
        <v>235</v>
      </c>
      <c r="AV87" s="165">
        <v>12.515000000000001</v>
      </c>
      <c r="AW87" s="165">
        <v>4.3</v>
      </c>
      <c r="AX87" s="165">
        <v>5</v>
      </c>
      <c r="AY87" s="165">
        <v>8</v>
      </c>
      <c r="AZ87" s="316">
        <f t="shared" si="166"/>
        <v>0</v>
      </c>
    </row>
    <row r="88" spans="1:52" hidden="1">
      <c r="A88" s="300"/>
      <c r="B88" s="129"/>
      <c r="C88" s="196" t="s">
        <v>523</v>
      </c>
      <c r="D88" s="129"/>
      <c r="E88" s="202"/>
      <c r="F88" s="202"/>
      <c r="G88" s="202"/>
      <c r="H88" s="202"/>
      <c r="I88" s="202"/>
      <c r="J88" s="202"/>
      <c r="K88" s="202"/>
      <c r="L88" s="202"/>
      <c r="M88" s="311"/>
      <c r="N88" s="311"/>
      <c r="O88" s="311"/>
      <c r="P88" s="311"/>
      <c r="Q88" s="139">
        <f t="shared" ref="Q88" si="187">E88*$M88</f>
        <v>0</v>
      </c>
      <c r="R88" s="139">
        <f t="shared" ref="R88" si="188">F88*$M88</f>
        <v>0</v>
      </c>
      <c r="S88" s="139">
        <f t="shared" ref="S88" si="189">G88*$M88</f>
        <v>0</v>
      </c>
      <c r="T88" s="139">
        <f t="shared" ref="T88" si="190">H88*$M88</f>
        <v>0</v>
      </c>
      <c r="U88" s="139">
        <f t="shared" si="120"/>
        <v>0</v>
      </c>
      <c r="V88" s="139">
        <f t="shared" si="121"/>
        <v>0</v>
      </c>
      <c r="W88" s="139">
        <f t="shared" si="122"/>
        <v>0</v>
      </c>
      <c r="X88" s="139">
        <f t="shared" si="123"/>
        <v>0</v>
      </c>
      <c r="Y88" s="315"/>
      <c r="Z88" s="276"/>
      <c r="AA88" s="276"/>
      <c r="AB88" s="276"/>
      <c r="AC88" s="276"/>
      <c r="AD88" s="276"/>
      <c r="AE88" s="276"/>
      <c r="AF88" s="276"/>
      <c r="AG88" s="276"/>
      <c r="AH88" s="276"/>
      <c r="AI88" s="276"/>
      <c r="AJ88" s="276"/>
      <c r="AK88" s="276"/>
      <c r="AL88" s="276"/>
      <c r="AM88" s="276"/>
      <c r="AN88" s="276"/>
      <c r="AO88" s="276"/>
      <c r="AP88" s="276"/>
      <c r="AQ88" s="290"/>
    </row>
    <row r="89" spans="1:52">
      <c r="B89" s="165"/>
      <c r="C89" s="199"/>
      <c r="D89" s="165"/>
      <c r="E89" s="202"/>
      <c r="F89" s="202"/>
      <c r="G89" s="202"/>
      <c r="H89" s="202"/>
      <c r="I89" s="202"/>
      <c r="J89" s="202"/>
      <c r="K89" s="202"/>
      <c r="L89" s="202"/>
      <c r="M89" s="203"/>
      <c r="N89" s="203"/>
      <c r="O89" s="203"/>
      <c r="P89" s="203"/>
      <c r="Q89" s="151"/>
      <c r="R89" s="151"/>
      <c r="S89" s="151"/>
      <c r="T89" s="151"/>
      <c r="U89" s="151"/>
      <c r="V89" s="151"/>
      <c r="W89" s="151"/>
      <c r="X89" s="151"/>
      <c r="Y89" s="325"/>
      <c r="Z89" s="290"/>
      <c r="AA89" s="290"/>
      <c r="AB89" s="290"/>
      <c r="AC89" s="290"/>
      <c r="AD89" s="290"/>
      <c r="AE89" s="290"/>
      <c r="AF89" s="290"/>
      <c r="AG89" s="290"/>
      <c r="AH89" s="290"/>
      <c r="AI89" s="290"/>
      <c r="AJ89" s="290"/>
      <c r="AK89" s="290"/>
      <c r="AL89" s="290"/>
      <c r="AM89" s="290"/>
      <c r="AN89" s="290"/>
      <c r="AO89" s="290"/>
      <c r="AP89" s="290"/>
      <c r="AQ89" s="290"/>
    </row>
    <row r="90" spans="1:52">
      <c r="B90" s="165"/>
      <c r="C90" s="199"/>
      <c r="D90" s="165"/>
      <c r="E90" s="202"/>
      <c r="F90" s="202"/>
      <c r="G90" s="202"/>
      <c r="H90" s="202"/>
      <c r="I90" s="202"/>
      <c r="J90" s="202"/>
      <c r="K90" s="202"/>
      <c r="L90" s="202"/>
      <c r="M90" s="203"/>
      <c r="N90" s="203"/>
      <c r="O90" s="203"/>
      <c r="P90" s="203"/>
      <c r="Q90" s="151"/>
      <c r="R90" s="151"/>
      <c r="S90" s="151"/>
      <c r="T90" s="151"/>
      <c r="U90" s="151"/>
      <c r="V90" s="151"/>
      <c r="W90" s="151"/>
      <c r="X90" s="151"/>
      <c r="Y90" s="325"/>
      <c r="Z90" s="290"/>
      <c r="AA90" s="290"/>
      <c r="AB90" s="290"/>
      <c r="AC90" s="290"/>
      <c r="AD90" s="290"/>
      <c r="AE90" s="290"/>
      <c r="AF90" s="290"/>
      <c r="AG90" s="290"/>
      <c r="AH90" s="290"/>
      <c r="AI90" s="290"/>
      <c r="AJ90" s="290"/>
      <c r="AK90" s="290"/>
      <c r="AL90" s="290"/>
      <c r="AM90" s="290"/>
      <c r="AN90" s="290"/>
      <c r="AO90" s="290"/>
      <c r="AP90" s="290"/>
      <c r="AQ90" s="290"/>
    </row>
    <row r="91" spans="1:52">
      <c r="B91" s="165"/>
      <c r="C91" s="317"/>
      <c r="D91" s="165"/>
      <c r="E91" s="202"/>
      <c r="F91" s="202"/>
      <c r="G91" s="202"/>
      <c r="H91" s="202"/>
      <c r="I91" s="202"/>
      <c r="J91" s="202"/>
      <c r="K91" s="202"/>
      <c r="L91" s="202"/>
      <c r="M91" s="203"/>
      <c r="N91" s="203"/>
      <c r="O91" s="203"/>
      <c r="P91" s="203"/>
      <c r="Q91" s="151"/>
      <c r="R91" s="151"/>
      <c r="S91" s="151"/>
      <c r="T91" s="151"/>
      <c r="U91" s="151"/>
      <c r="V91" s="151"/>
      <c r="W91" s="151"/>
      <c r="X91" s="151"/>
      <c r="Y91" s="325"/>
      <c r="Z91" s="290"/>
      <c r="AA91" s="290"/>
      <c r="AB91" s="290"/>
      <c r="AC91" s="290"/>
      <c r="AD91" s="290"/>
      <c r="AE91" s="290"/>
      <c r="AF91" s="290"/>
      <c r="AG91" s="290"/>
      <c r="AH91" s="290"/>
      <c r="AI91" s="290"/>
      <c r="AJ91" s="290"/>
      <c r="AK91" s="290"/>
      <c r="AL91" s="290"/>
      <c r="AM91" s="290"/>
      <c r="AN91" s="290"/>
      <c r="AO91" s="290"/>
      <c r="AP91" s="290"/>
      <c r="AQ91" s="290"/>
    </row>
    <row r="92" spans="1:52">
      <c r="B92" s="165"/>
      <c r="C92" s="199"/>
      <c r="D92" s="165"/>
      <c r="E92" s="202"/>
      <c r="F92" s="202"/>
      <c r="G92" s="202"/>
      <c r="H92" s="202"/>
      <c r="I92" s="202"/>
      <c r="J92" s="202"/>
      <c r="K92" s="202"/>
      <c r="L92" s="202"/>
      <c r="M92" s="203"/>
      <c r="N92" s="203"/>
      <c r="O92" s="203"/>
      <c r="P92" s="203"/>
      <c r="Q92" s="151"/>
      <c r="R92" s="151"/>
      <c r="S92" s="151"/>
      <c r="T92" s="151"/>
      <c r="U92" s="151"/>
      <c r="V92" s="151"/>
      <c r="W92" s="151"/>
      <c r="X92" s="151"/>
      <c r="Y92" s="325"/>
      <c r="Z92" s="290"/>
      <c r="AA92" s="290"/>
      <c r="AB92" s="290"/>
      <c r="AC92" s="290"/>
      <c r="AD92" s="290"/>
      <c r="AE92" s="290"/>
      <c r="AF92" s="290"/>
      <c r="AG92" s="290"/>
      <c r="AH92" s="290"/>
      <c r="AI92" s="290"/>
      <c r="AJ92" s="290"/>
      <c r="AK92" s="290"/>
      <c r="AL92" s="290"/>
      <c r="AM92" s="290"/>
      <c r="AN92" s="290"/>
      <c r="AO92" s="290"/>
      <c r="AP92" s="290"/>
      <c r="AQ92" s="290"/>
    </row>
    <row r="93" spans="1:52">
      <c r="A93" s="300"/>
      <c r="B93" s="129"/>
      <c r="C93" s="192"/>
      <c r="D93" s="129"/>
      <c r="E93" s="255"/>
      <c r="F93" s="255"/>
      <c r="G93" s="255"/>
      <c r="H93" s="255"/>
      <c r="I93" s="255"/>
      <c r="J93" s="255"/>
      <c r="K93" s="255"/>
      <c r="L93" s="255"/>
      <c r="M93" s="311"/>
      <c r="N93" s="311"/>
      <c r="O93" s="311"/>
      <c r="P93" s="311"/>
      <c r="Q93" s="139"/>
      <c r="R93" s="139"/>
      <c r="S93" s="139"/>
      <c r="T93" s="139"/>
      <c r="U93" s="139"/>
      <c r="V93" s="139"/>
      <c r="W93" s="139"/>
      <c r="X93" s="139"/>
      <c r="Y93" s="315"/>
      <c r="Z93" s="276"/>
      <c r="AA93" s="276"/>
      <c r="AB93" s="276"/>
      <c r="AC93" s="276"/>
      <c r="AD93" s="276"/>
      <c r="AE93" s="276"/>
      <c r="AF93" s="276"/>
      <c r="AG93" s="276"/>
      <c r="AH93" s="276"/>
      <c r="AI93" s="276"/>
      <c r="AJ93" s="276"/>
      <c r="AK93" s="276"/>
      <c r="AL93" s="276"/>
      <c r="AM93" s="276"/>
      <c r="AN93" s="276"/>
      <c r="AO93" s="276"/>
      <c r="AP93" s="276"/>
      <c r="AQ93" s="290"/>
    </row>
    <row r="94" spans="1:52">
      <c r="A94" s="300"/>
      <c r="B94" s="129"/>
      <c r="C94" s="192" t="s">
        <v>547</v>
      </c>
      <c r="D94" s="129"/>
      <c r="E94" s="255"/>
      <c r="F94" s="255"/>
      <c r="G94" s="255"/>
      <c r="H94" s="255"/>
      <c r="I94" s="255"/>
      <c r="J94" s="255"/>
      <c r="K94" s="255"/>
      <c r="L94" s="255"/>
      <c r="M94" s="311">
        <f>SUM(M8:M87)</f>
        <v>16649.565724111118</v>
      </c>
      <c r="N94" s="311"/>
      <c r="O94" s="311"/>
      <c r="P94" s="311"/>
      <c r="Q94" s="139">
        <f t="shared" ref="Q94" si="191">SUM(Q8:Q93)</f>
        <v>3059.9346183333328</v>
      </c>
      <c r="R94" s="139">
        <f>SUM(R8:R93)</f>
        <v>3059.9346183333328</v>
      </c>
      <c r="S94" s="139">
        <f>SUM(S8:S93)</f>
        <v>3059.9346183333328</v>
      </c>
      <c r="T94" s="139">
        <f>SUM(T8:T93)</f>
        <v>171.21126000000001</v>
      </c>
      <c r="U94" s="139">
        <f t="shared" ref="U94" si="192">SUM(U8:U93)</f>
        <v>114.14084</v>
      </c>
      <c r="V94" s="139">
        <f>SUM(V8:V93)</f>
        <v>57.070419999999999</v>
      </c>
      <c r="W94" s="139">
        <f>SUM(W8:W93)</f>
        <v>0</v>
      </c>
      <c r="X94" s="139">
        <f>SUM(X8:X93)</f>
        <v>0</v>
      </c>
      <c r="Y94" s="192"/>
      <c r="Z94" s="255">
        <f t="shared" ref="Z94" si="193">SUM(Z8:Z93)</f>
        <v>2127.4450283333335</v>
      </c>
      <c r="AA94" s="255">
        <f t="shared" ref="AA94" si="194">SUM(AA8:AA93)</f>
        <v>2127.4450283333335</v>
      </c>
      <c r="AB94" s="255">
        <f t="shared" ref="AB94:AG94" si="195">SUM(AB8:AB93)</f>
        <v>2127.4450283333335</v>
      </c>
      <c r="AC94" s="255">
        <f t="shared" si="195"/>
        <v>128.59626</v>
      </c>
      <c r="AD94" s="255">
        <f t="shared" si="195"/>
        <v>85.730840000000001</v>
      </c>
      <c r="AE94" s="255">
        <f t="shared" si="195"/>
        <v>42.86542</v>
      </c>
      <c r="AF94" s="255">
        <f t="shared" si="195"/>
        <v>0</v>
      </c>
      <c r="AG94" s="255">
        <f t="shared" si="195"/>
        <v>0</v>
      </c>
      <c r="AH94" s="255"/>
      <c r="AI94" s="255">
        <f>SUM(AI8:AI93)</f>
        <v>1724.867428333333</v>
      </c>
      <c r="AJ94" s="255">
        <f t="shared" ref="AJ94" si="196">SUM(AJ8:AJ93)</f>
        <v>1724.867428333333</v>
      </c>
      <c r="AK94" s="255">
        <f t="shared" ref="AK94:AP94" si="197">SUM(AK8:AK93)</f>
        <v>1724.867428333333</v>
      </c>
      <c r="AL94" s="255">
        <f t="shared" si="197"/>
        <v>13.252260000000003</v>
      </c>
      <c r="AM94" s="255">
        <f t="shared" si="197"/>
        <v>8.8348400000000016</v>
      </c>
      <c r="AN94" s="255">
        <f t="shared" si="197"/>
        <v>4.4174200000000008</v>
      </c>
      <c r="AO94" s="255">
        <f t="shared" si="197"/>
        <v>0</v>
      </c>
      <c r="AP94" s="255">
        <f t="shared" si="197"/>
        <v>0</v>
      </c>
      <c r="AQ94" s="290"/>
    </row>
    <row r="95" spans="1:52" ht="30" customHeight="1">
      <c r="A95" s="300"/>
      <c r="B95" s="129"/>
      <c r="C95" s="192" t="s">
        <v>548</v>
      </c>
      <c r="D95" s="129"/>
      <c r="E95" s="255"/>
      <c r="F95" s="255"/>
      <c r="G95" s="255"/>
      <c r="H95" s="255"/>
      <c r="I95" s="255"/>
      <c r="J95" s="255"/>
      <c r="K95" s="255"/>
      <c r="L95" s="255"/>
      <c r="M95" s="318"/>
      <c r="N95" s="311"/>
      <c r="O95" s="311"/>
      <c r="P95" s="311"/>
      <c r="Q95" s="323"/>
      <c r="R95" s="323"/>
      <c r="S95" s="323"/>
      <c r="T95" s="323"/>
      <c r="U95" s="323"/>
      <c r="V95" s="323"/>
      <c r="W95" s="323"/>
      <c r="X95" s="323"/>
      <c r="Y95" s="192"/>
      <c r="Z95" s="290"/>
      <c r="AA95" s="290"/>
      <c r="AB95" s="290"/>
      <c r="AC95" s="290"/>
      <c r="AD95" s="290"/>
      <c r="AE95" s="290"/>
      <c r="AF95" s="290"/>
      <c r="AG95" s="290"/>
      <c r="AH95" s="290"/>
      <c r="AI95" s="290"/>
      <c r="AJ95" s="290"/>
      <c r="AK95" s="290"/>
      <c r="AL95" s="290"/>
      <c r="AM95" s="290"/>
      <c r="AN95" s="290"/>
      <c r="AO95" s="290"/>
      <c r="AP95" s="290"/>
      <c r="AQ95" s="290"/>
    </row>
    <row r="96" spans="1:52" ht="30" customHeight="1">
      <c r="A96" s="300"/>
      <c r="B96" s="129" t="s">
        <v>133</v>
      </c>
      <c r="C96" s="192" t="s">
        <v>549</v>
      </c>
      <c r="D96" s="129"/>
      <c r="E96" s="255"/>
      <c r="F96" s="255"/>
      <c r="G96" s="255"/>
      <c r="H96" s="255"/>
      <c r="I96" s="255"/>
      <c r="J96" s="255"/>
      <c r="K96" s="255"/>
      <c r="L96" s="255"/>
      <c r="M96" s="318"/>
      <c r="N96" s="311"/>
      <c r="O96" s="311"/>
      <c r="P96" s="311"/>
      <c r="Q96" s="139"/>
      <c r="R96" s="139"/>
      <c r="S96" s="139"/>
      <c r="T96" s="139"/>
      <c r="U96" s="139"/>
      <c r="V96" s="139"/>
      <c r="W96" s="139"/>
      <c r="X96" s="139"/>
      <c r="Y96" s="192"/>
      <c r="Z96" s="290"/>
      <c r="AA96" s="290"/>
      <c r="AB96" s="290"/>
      <c r="AC96" s="290"/>
      <c r="AD96" s="290"/>
      <c r="AE96" s="290"/>
      <c r="AF96" s="290"/>
      <c r="AG96" s="290"/>
      <c r="AH96" s="290"/>
      <c r="AI96" s="290"/>
      <c r="AJ96" s="290"/>
      <c r="AK96" s="290"/>
      <c r="AL96" s="290"/>
      <c r="AM96" s="290"/>
      <c r="AN96" s="290"/>
      <c r="AO96" s="290"/>
      <c r="AP96" s="290"/>
      <c r="AQ96" s="290"/>
    </row>
    <row r="97" spans="1:44" ht="30" customHeight="1">
      <c r="A97" s="300"/>
      <c r="B97" s="129" t="s">
        <v>140</v>
      </c>
      <c r="C97" s="192" t="s">
        <v>551</v>
      </c>
      <c r="D97" s="129"/>
      <c r="E97" s="255"/>
      <c r="F97" s="255"/>
      <c r="G97" s="255"/>
      <c r="H97" s="255"/>
      <c r="I97" s="255"/>
      <c r="J97" s="255"/>
      <c r="K97" s="255"/>
      <c r="L97" s="255"/>
      <c r="M97" s="318"/>
      <c r="N97" s="311"/>
      <c r="O97" s="311"/>
      <c r="P97" s="311"/>
      <c r="Q97" s="139">
        <f>Q94-Q104</f>
        <v>932.48958999999923</v>
      </c>
      <c r="R97" s="139">
        <f t="shared" ref="R97" si="198">R94-R104</f>
        <v>932.48958999999923</v>
      </c>
      <c r="S97" s="139">
        <f t="shared" ref="S97:X97" si="199">S94-S104</f>
        <v>932.48958999999923</v>
      </c>
      <c r="T97" s="139">
        <f t="shared" si="199"/>
        <v>42.615000000000009</v>
      </c>
      <c r="U97" s="139">
        <f t="shared" si="199"/>
        <v>28.409999999999997</v>
      </c>
      <c r="V97" s="139">
        <f t="shared" si="199"/>
        <v>14.204999999999998</v>
      </c>
      <c r="W97" s="139">
        <f t="shared" si="199"/>
        <v>0</v>
      </c>
      <c r="X97" s="139">
        <f t="shared" si="199"/>
        <v>0</v>
      </c>
      <c r="Y97" s="326"/>
      <c r="Z97" s="290"/>
      <c r="AA97" s="290"/>
      <c r="AB97" s="290"/>
      <c r="AC97" s="290"/>
      <c r="AD97" s="290"/>
      <c r="AE97" s="290"/>
      <c r="AF97" s="290"/>
      <c r="AG97" s="290"/>
      <c r="AH97" s="290"/>
      <c r="AI97" s="290"/>
      <c r="AJ97" s="290"/>
      <c r="AK97" s="290"/>
      <c r="AL97" s="290"/>
      <c r="AM97" s="290"/>
      <c r="AN97" s="290"/>
      <c r="AO97" s="290"/>
      <c r="AP97" s="290"/>
      <c r="AQ97" s="290"/>
      <c r="AR97" s="264">
        <f t="shared" ref="AR97" si="200">SUBTOTAL(9,Q97:S97)-T97</f>
        <v>2754.8537699999979</v>
      </c>
    </row>
    <row r="98" spans="1:44" ht="30" customHeight="1">
      <c r="A98" s="300"/>
      <c r="B98" s="129" t="s">
        <v>552</v>
      </c>
      <c r="C98" s="192" t="s">
        <v>553</v>
      </c>
      <c r="D98" s="129"/>
      <c r="E98" s="255"/>
      <c r="F98" s="255"/>
      <c r="G98" s="255"/>
      <c r="H98" s="255"/>
      <c r="I98" s="255"/>
      <c r="J98" s="255"/>
      <c r="K98" s="255"/>
      <c r="L98" s="255"/>
      <c r="M98" s="319">
        <v>6.5000000000000002E-2</v>
      </c>
      <c r="N98" s="311"/>
      <c r="O98" s="311"/>
      <c r="P98" s="311"/>
      <c r="Q98" s="139">
        <f>Q97*$M98</f>
        <v>60.611823349999952</v>
      </c>
      <c r="R98" s="139">
        <f t="shared" ref="R98" si="201">R97*$M98</f>
        <v>60.611823349999952</v>
      </c>
      <c r="S98" s="139">
        <f t="shared" ref="S98:X98" si="202">S97*$M98</f>
        <v>60.611823349999952</v>
      </c>
      <c r="T98" s="139">
        <f t="shared" si="202"/>
        <v>2.7699750000000005</v>
      </c>
      <c r="U98" s="139">
        <f t="shared" si="202"/>
        <v>1.8466499999999999</v>
      </c>
      <c r="V98" s="139">
        <f t="shared" si="202"/>
        <v>0.92332499999999995</v>
      </c>
      <c r="W98" s="139">
        <f t="shared" si="202"/>
        <v>0</v>
      </c>
      <c r="X98" s="139">
        <f t="shared" si="202"/>
        <v>0</v>
      </c>
      <c r="Y98" s="192"/>
      <c r="Z98" s="290"/>
      <c r="AA98" s="290"/>
      <c r="AB98" s="290"/>
      <c r="AC98" s="290"/>
      <c r="AD98" s="290"/>
      <c r="AE98" s="290"/>
      <c r="AF98" s="290"/>
      <c r="AG98" s="290"/>
      <c r="AH98" s="290"/>
      <c r="AI98" s="290"/>
      <c r="AJ98" s="290"/>
      <c r="AK98" s="290"/>
      <c r="AL98" s="290"/>
      <c r="AM98" s="290"/>
      <c r="AN98" s="290"/>
      <c r="AO98" s="290"/>
      <c r="AP98" s="290"/>
      <c r="AQ98" s="290"/>
      <c r="AR98" s="264">
        <f t="shared" ref="AR98:AR112" si="203">SUBTOTAL(9,Q98:S98)-T98</f>
        <v>179.06549504999987</v>
      </c>
    </row>
    <row r="99" spans="1:44" ht="30" customHeight="1">
      <c r="A99" s="300"/>
      <c r="B99" s="129" t="s">
        <v>554</v>
      </c>
      <c r="C99" s="192" t="s">
        <v>555</v>
      </c>
      <c r="D99" s="129"/>
      <c r="E99" s="255"/>
      <c r="F99" s="255"/>
      <c r="G99" s="255"/>
      <c r="H99" s="255"/>
      <c r="I99" s="255"/>
      <c r="J99" s="255"/>
      <c r="K99" s="255"/>
      <c r="L99" s="255"/>
      <c r="M99" s="319">
        <v>0.1</v>
      </c>
      <c r="N99" s="311"/>
      <c r="O99" s="311"/>
      <c r="P99" s="311"/>
      <c r="Q99" s="139">
        <f>Q97*$M99</f>
        <v>93.248958999999928</v>
      </c>
      <c r="R99" s="139">
        <f t="shared" ref="R99" si="204">R97*$M99</f>
        <v>93.248958999999928</v>
      </c>
      <c r="S99" s="139">
        <f t="shared" ref="S99:X99" si="205">S97*$M99</f>
        <v>93.248958999999928</v>
      </c>
      <c r="T99" s="139">
        <f t="shared" si="205"/>
        <v>4.2615000000000007</v>
      </c>
      <c r="U99" s="139">
        <f t="shared" si="205"/>
        <v>2.8409999999999997</v>
      </c>
      <c r="V99" s="139">
        <f t="shared" si="205"/>
        <v>1.4204999999999999</v>
      </c>
      <c r="W99" s="139">
        <f t="shared" si="205"/>
        <v>0</v>
      </c>
      <c r="X99" s="139">
        <f t="shared" si="205"/>
        <v>0</v>
      </c>
      <c r="Y99" s="192"/>
      <c r="Z99" s="290"/>
      <c r="AA99" s="290"/>
      <c r="AB99" s="290"/>
      <c r="AC99" s="290"/>
      <c r="AD99" s="290"/>
      <c r="AE99" s="290"/>
      <c r="AF99" s="290"/>
      <c r="AG99" s="290"/>
      <c r="AH99" s="290"/>
      <c r="AI99" s="290"/>
      <c r="AJ99" s="290"/>
      <c r="AK99" s="290"/>
      <c r="AL99" s="290"/>
      <c r="AM99" s="290"/>
      <c r="AN99" s="290"/>
      <c r="AO99" s="290"/>
      <c r="AP99" s="290"/>
      <c r="AQ99" s="290"/>
      <c r="AR99" s="264">
        <f t="shared" si="203"/>
        <v>275.4853769999998</v>
      </c>
    </row>
    <row r="100" spans="1:44" ht="30" customHeight="1">
      <c r="A100" s="300"/>
      <c r="B100" s="129" t="s">
        <v>556</v>
      </c>
      <c r="C100" s="192" t="s">
        <v>557</v>
      </c>
      <c r="D100" s="129"/>
      <c r="E100" s="255"/>
      <c r="F100" s="255"/>
      <c r="G100" s="255"/>
      <c r="H100" s="255"/>
      <c r="I100" s="255"/>
      <c r="J100" s="255"/>
      <c r="K100" s="255"/>
      <c r="L100" s="255"/>
      <c r="M100" s="319">
        <f>'附件4-1套内1'!M319</f>
        <v>0</v>
      </c>
      <c r="N100" s="311"/>
      <c r="O100" s="311"/>
      <c r="P100" s="311"/>
      <c r="Q100" s="139">
        <f>Q97*$M100</f>
        <v>0</v>
      </c>
      <c r="R100" s="139">
        <f t="shared" ref="R100" si="206">R97*$M100</f>
        <v>0</v>
      </c>
      <c r="S100" s="139">
        <f t="shared" ref="S100:X100" si="207">S97*$M100</f>
        <v>0</v>
      </c>
      <c r="T100" s="139">
        <f t="shared" si="207"/>
        <v>0</v>
      </c>
      <c r="U100" s="139">
        <f t="shared" si="207"/>
        <v>0</v>
      </c>
      <c r="V100" s="139">
        <f t="shared" si="207"/>
        <v>0</v>
      </c>
      <c r="W100" s="139">
        <f t="shared" si="207"/>
        <v>0</v>
      </c>
      <c r="X100" s="139">
        <f t="shared" si="207"/>
        <v>0</v>
      </c>
      <c r="Y100" s="192"/>
      <c r="Z100" s="290"/>
      <c r="AA100" s="290"/>
      <c r="AB100" s="290"/>
      <c r="AC100" s="290"/>
      <c r="AD100" s="290"/>
      <c r="AE100" s="290"/>
      <c r="AF100" s="290"/>
      <c r="AG100" s="290"/>
      <c r="AH100" s="290"/>
      <c r="AI100" s="290"/>
      <c r="AJ100" s="290"/>
      <c r="AK100" s="290"/>
      <c r="AL100" s="290"/>
      <c r="AM100" s="290"/>
      <c r="AN100" s="290"/>
      <c r="AO100" s="290"/>
      <c r="AP100" s="290"/>
      <c r="AQ100" s="290"/>
      <c r="AR100" s="264">
        <f t="shared" si="203"/>
        <v>0</v>
      </c>
    </row>
    <row r="101" spans="1:44" ht="30" customHeight="1">
      <c r="A101" s="300"/>
      <c r="B101" s="129" t="s">
        <v>558</v>
      </c>
      <c r="C101" s="192" t="s">
        <v>559</v>
      </c>
      <c r="D101" s="129"/>
      <c r="E101" s="255"/>
      <c r="F101" s="255"/>
      <c r="G101" s="255"/>
      <c r="H101" s="255"/>
      <c r="I101" s="255"/>
      <c r="J101" s="255"/>
      <c r="K101" s="255"/>
      <c r="L101" s="255"/>
      <c r="M101" s="320">
        <f>'附件4-1套内1'!M320</f>
        <v>3.4770000000000002E-2</v>
      </c>
      <c r="N101" s="311"/>
      <c r="O101" s="311"/>
      <c r="P101" s="311"/>
      <c r="Q101" s="139">
        <f>SUM(Q97:Q100)*$M101</f>
        <v>37.772402446609469</v>
      </c>
      <c r="R101" s="139">
        <f t="shared" ref="R101" si="208">SUM(R97:R100)*$M101</f>
        <v>37.772402446609469</v>
      </c>
      <c r="S101" s="139">
        <f t="shared" ref="S101:X101" si="209">SUM(S97:S100)*$M101</f>
        <v>37.772402446609469</v>
      </c>
      <c r="T101" s="139">
        <f t="shared" si="209"/>
        <v>1.7262079357500004</v>
      </c>
      <c r="U101" s="139">
        <f t="shared" si="209"/>
        <v>1.1508052904999999</v>
      </c>
      <c r="V101" s="139">
        <f t="shared" si="209"/>
        <v>0.57540264524999996</v>
      </c>
      <c r="W101" s="139">
        <f t="shared" si="209"/>
        <v>0</v>
      </c>
      <c r="X101" s="139">
        <f t="shared" si="209"/>
        <v>0</v>
      </c>
      <c r="Y101" s="192"/>
      <c r="Z101" s="290"/>
      <c r="AA101" s="290"/>
      <c r="AB101" s="290"/>
      <c r="AC101" s="290"/>
      <c r="AD101" s="290"/>
      <c r="AE101" s="290"/>
      <c r="AF101" s="290"/>
      <c r="AG101" s="290"/>
      <c r="AH101" s="290"/>
      <c r="AI101" s="290"/>
      <c r="AJ101" s="290"/>
      <c r="AK101" s="290"/>
      <c r="AL101" s="290"/>
      <c r="AM101" s="290"/>
      <c r="AN101" s="290"/>
      <c r="AO101" s="290"/>
      <c r="AP101" s="290"/>
      <c r="AQ101" s="290"/>
      <c r="AR101" s="264">
        <f t="shared" si="203"/>
        <v>111.5909994040784</v>
      </c>
    </row>
    <row r="102" spans="1:44" ht="30" customHeight="1">
      <c r="A102" s="300"/>
      <c r="B102" s="129" t="s">
        <v>560</v>
      </c>
      <c r="C102" s="192" t="s">
        <v>561</v>
      </c>
      <c r="D102" s="129"/>
      <c r="E102" s="255"/>
      <c r="F102" s="255"/>
      <c r="G102" s="255"/>
      <c r="H102" s="255"/>
      <c r="I102" s="255"/>
      <c r="J102" s="255"/>
      <c r="K102" s="255"/>
      <c r="L102" s="255"/>
      <c r="M102" s="319"/>
      <c r="N102" s="311"/>
      <c r="O102" s="311"/>
      <c r="P102" s="311"/>
      <c r="Q102" s="139">
        <f>SUM(Q97:Q101)</f>
        <v>1124.1227747966086</v>
      </c>
      <c r="R102" s="139">
        <f t="shared" ref="R102" si="210">SUM(R97:R101)</f>
        <v>1124.1227747966086</v>
      </c>
      <c r="S102" s="139">
        <f t="shared" ref="S102:X102" si="211">SUM(S97:S101)</f>
        <v>1124.1227747966086</v>
      </c>
      <c r="T102" s="139">
        <f t="shared" si="211"/>
        <v>51.372682935750007</v>
      </c>
      <c r="U102" s="139">
        <f t="shared" si="211"/>
        <v>34.248455290499997</v>
      </c>
      <c r="V102" s="139">
        <f t="shared" si="211"/>
        <v>17.124227645249999</v>
      </c>
      <c r="W102" s="139">
        <f t="shared" si="211"/>
        <v>0</v>
      </c>
      <c r="X102" s="139">
        <f t="shared" si="211"/>
        <v>0</v>
      </c>
      <c r="Y102" s="192"/>
      <c r="Z102" s="290"/>
      <c r="AA102" s="290"/>
      <c r="AB102" s="290"/>
      <c r="AC102" s="290"/>
      <c r="AD102" s="290"/>
      <c r="AE102" s="290"/>
      <c r="AF102" s="290"/>
      <c r="AG102" s="290"/>
      <c r="AH102" s="290"/>
      <c r="AI102" s="290"/>
      <c r="AJ102" s="290"/>
      <c r="AK102" s="290"/>
      <c r="AL102" s="290"/>
      <c r="AM102" s="290"/>
      <c r="AN102" s="290"/>
      <c r="AO102" s="290"/>
      <c r="AP102" s="290"/>
      <c r="AQ102" s="290"/>
      <c r="AR102" s="264">
        <f t="shared" si="203"/>
        <v>3320.9956414540757</v>
      </c>
    </row>
    <row r="103" spans="1:44" ht="30" customHeight="1">
      <c r="A103" s="300"/>
      <c r="B103" s="129" t="s">
        <v>246</v>
      </c>
      <c r="C103" s="192" t="s">
        <v>562</v>
      </c>
      <c r="D103" s="129"/>
      <c r="E103" s="255"/>
      <c r="F103" s="255"/>
      <c r="G103" s="255"/>
      <c r="H103" s="255"/>
      <c r="I103" s="255"/>
      <c r="J103" s="255"/>
      <c r="K103" s="255"/>
      <c r="L103" s="255"/>
      <c r="M103" s="319"/>
      <c r="N103" s="311"/>
      <c r="O103" s="311"/>
      <c r="P103" s="311"/>
      <c r="Q103" s="139"/>
      <c r="R103" s="139"/>
      <c r="S103" s="139"/>
      <c r="T103" s="139"/>
      <c r="U103" s="139"/>
      <c r="V103" s="139"/>
      <c r="W103" s="139"/>
      <c r="X103" s="139"/>
      <c r="Y103" s="192"/>
      <c r="Z103" s="290"/>
      <c r="AA103" s="290"/>
      <c r="AB103" s="290"/>
      <c r="AC103" s="290"/>
      <c r="AD103" s="290"/>
      <c r="AE103" s="290"/>
      <c r="AF103" s="290"/>
      <c r="AG103" s="290"/>
      <c r="AH103" s="290"/>
      <c r="AI103" s="290"/>
      <c r="AJ103" s="290"/>
      <c r="AK103" s="290"/>
      <c r="AL103" s="290"/>
      <c r="AM103" s="290"/>
      <c r="AN103" s="290"/>
      <c r="AO103" s="290"/>
      <c r="AP103" s="290"/>
      <c r="AQ103" s="290"/>
      <c r="AR103" s="264">
        <f t="shared" si="203"/>
        <v>0</v>
      </c>
    </row>
    <row r="104" spans="1:44" ht="30" customHeight="1">
      <c r="A104" s="300"/>
      <c r="B104" s="129" t="s">
        <v>563</v>
      </c>
      <c r="C104" s="192" t="s">
        <v>551</v>
      </c>
      <c r="D104" s="129"/>
      <c r="E104" s="255"/>
      <c r="F104" s="255"/>
      <c r="G104" s="255"/>
      <c r="H104" s="255"/>
      <c r="I104" s="255"/>
      <c r="J104" s="255"/>
      <c r="K104" s="255"/>
      <c r="L104" s="255"/>
      <c r="M104" s="319"/>
      <c r="N104" s="311"/>
      <c r="O104" s="311"/>
      <c r="P104" s="311"/>
      <c r="Q104" s="139">
        <f>Z94</f>
        <v>2127.4450283333335</v>
      </c>
      <c r="R104" s="139">
        <f t="shared" ref="R104" si="212">AA94</f>
        <v>2127.4450283333335</v>
      </c>
      <c r="S104" s="139">
        <f t="shared" ref="S104:X104" si="213">AB94</f>
        <v>2127.4450283333335</v>
      </c>
      <c r="T104" s="139">
        <f t="shared" si="213"/>
        <v>128.59626</v>
      </c>
      <c r="U104" s="139">
        <f t="shared" si="213"/>
        <v>85.730840000000001</v>
      </c>
      <c r="V104" s="139">
        <f t="shared" si="213"/>
        <v>42.86542</v>
      </c>
      <c r="W104" s="139">
        <f t="shared" si="213"/>
        <v>0</v>
      </c>
      <c r="X104" s="139">
        <f t="shared" si="213"/>
        <v>0</v>
      </c>
      <c r="Y104" s="192"/>
      <c r="Z104" s="290"/>
      <c r="AA104" s="290"/>
      <c r="AB104" s="290"/>
      <c r="AC104" s="290"/>
      <c r="AD104" s="290"/>
      <c r="AE104" s="290"/>
      <c r="AF104" s="290"/>
      <c r="AG104" s="290"/>
      <c r="AH104" s="290"/>
      <c r="AI104" s="290"/>
      <c r="AJ104" s="290"/>
      <c r="AK104" s="290"/>
      <c r="AL104" s="290"/>
      <c r="AM104" s="290"/>
      <c r="AN104" s="290"/>
      <c r="AO104" s="290"/>
      <c r="AP104" s="290"/>
      <c r="AQ104" s="290"/>
      <c r="AR104" s="264">
        <f t="shared" si="203"/>
        <v>6253.7388250000004</v>
      </c>
    </row>
    <row r="105" spans="1:44" ht="30" customHeight="1">
      <c r="A105" s="300"/>
      <c r="B105" s="129" t="s">
        <v>210</v>
      </c>
      <c r="C105" s="192" t="s">
        <v>565</v>
      </c>
      <c r="D105" s="129"/>
      <c r="E105" s="255"/>
      <c r="F105" s="255"/>
      <c r="G105" s="255"/>
      <c r="H105" s="255"/>
      <c r="I105" s="255"/>
      <c r="J105" s="255"/>
      <c r="K105" s="255"/>
      <c r="L105" s="255"/>
      <c r="M105" s="319"/>
      <c r="N105" s="311"/>
      <c r="O105" s="311"/>
      <c r="P105" s="311"/>
      <c r="Q105" s="139">
        <f>AI94</f>
        <v>1724.867428333333</v>
      </c>
      <c r="R105" s="139">
        <f t="shared" ref="R105" si="214">AJ94</f>
        <v>1724.867428333333</v>
      </c>
      <c r="S105" s="139">
        <f t="shared" ref="S105:X105" si="215">AK94</f>
        <v>1724.867428333333</v>
      </c>
      <c r="T105" s="139">
        <f t="shared" si="215"/>
        <v>13.252260000000003</v>
      </c>
      <c r="U105" s="139">
        <f t="shared" si="215"/>
        <v>8.8348400000000016</v>
      </c>
      <c r="V105" s="139">
        <f t="shared" si="215"/>
        <v>4.4174200000000008</v>
      </c>
      <c r="W105" s="139">
        <f t="shared" si="215"/>
        <v>0</v>
      </c>
      <c r="X105" s="139">
        <f t="shared" si="215"/>
        <v>0</v>
      </c>
      <c r="Y105" s="192"/>
      <c r="Z105" s="290"/>
      <c r="AA105" s="290"/>
      <c r="AB105" s="290"/>
      <c r="AC105" s="290"/>
      <c r="AD105" s="290"/>
      <c r="AE105" s="290"/>
      <c r="AF105" s="290"/>
      <c r="AG105" s="290"/>
      <c r="AH105" s="290"/>
      <c r="AI105" s="290"/>
      <c r="AJ105" s="290"/>
      <c r="AK105" s="290"/>
      <c r="AL105" s="290"/>
      <c r="AM105" s="290"/>
      <c r="AN105" s="290"/>
      <c r="AO105" s="290"/>
      <c r="AP105" s="290"/>
      <c r="AQ105" s="290"/>
      <c r="AR105" s="264">
        <f t="shared" si="203"/>
        <v>5161.3500249999988</v>
      </c>
    </row>
    <row r="106" spans="1:44" ht="30" customHeight="1">
      <c r="A106" s="300"/>
      <c r="B106" s="129" t="s">
        <v>566</v>
      </c>
      <c r="C106" s="192" t="s">
        <v>567</v>
      </c>
      <c r="D106" s="129"/>
      <c r="E106" s="255"/>
      <c r="F106" s="255"/>
      <c r="G106" s="255"/>
      <c r="H106" s="255"/>
      <c r="I106" s="255"/>
      <c r="J106" s="255"/>
      <c r="K106" s="255"/>
      <c r="L106" s="255"/>
      <c r="M106" s="319">
        <v>0.1</v>
      </c>
      <c r="N106" s="311"/>
      <c r="O106" s="311"/>
      <c r="P106" s="311"/>
      <c r="Q106" s="139">
        <f>(Q104-Q105)*$M106</f>
        <v>40.257760000000054</v>
      </c>
      <c r="R106" s="139">
        <f t="shared" ref="R106" si="216">(R104-R105)*$M106</f>
        <v>40.257760000000054</v>
      </c>
      <c r="S106" s="139">
        <f t="shared" ref="S106:X106" si="217">(S104-S105)*$M106</f>
        <v>40.257760000000054</v>
      </c>
      <c r="T106" s="139">
        <f t="shared" si="217"/>
        <v>11.5344</v>
      </c>
      <c r="U106" s="139">
        <f t="shared" si="217"/>
        <v>7.6896000000000004</v>
      </c>
      <c r="V106" s="139">
        <f t="shared" si="217"/>
        <v>3.8448000000000002</v>
      </c>
      <c r="W106" s="139">
        <f t="shared" si="217"/>
        <v>0</v>
      </c>
      <c r="X106" s="139">
        <f t="shared" si="217"/>
        <v>0</v>
      </c>
      <c r="Y106" s="192"/>
      <c r="Z106" s="290"/>
      <c r="AA106" s="290"/>
      <c r="AB106" s="290"/>
      <c r="AC106" s="290"/>
      <c r="AD106" s="290"/>
      <c r="AE106" s="290"/>
      <c r="AF106" s="290"/>
      <c r="AG106" s="290"/>
      <c r="AH106" s="290"/>
      <c r="AI106" s="290"/>
      <c r="AJ106" s="290"/>
      <c r="AK106" s="290"/>
      <c r="AL106" s="290"/>
      <c r="AM106" s="290"/>
      <c r="AN106" s="290"/>
      <c r="AO106" s="290"/>
      <c r="AP106" s="290"/>
      <c r="AQ106" s="290"/>
      <c r="AR106" s="264">
        <f t="shared" si="203"/>
        <v>109.23888000000017</v>
      </c>
    </row>
    <row r="107" spans="1:44" ht="30" customHeight="1">
      <c r="A107" s="300"/>
      <c r="B107" s="129" t="s">
        <v>568</v>
      </c>
      <c r="C107" s="192" t="s">
        <v>569</v>
      </c>
      <c r="D107" s="129"/>
      <c r="E107" s="255"/>
      <c r="F107" s="255"/>
      <c r="G107" s="255"/>
      <c r="H107" s="255"/>
      <c r="I107" s="255"/>
      <c r="J107" s="255"/>
      <c r="K107" s="255"/>
      <c r="L107" s="255"/>
      <c r="M107" s="319">
        <v>0.1</v>
      </c>
      <c r="N107" s="311"/>
      <c r="O107" s="311"/>
      <c r="P107" s="311"/>
      <c r="Q107" s="139">
        <f>Q105*$M107</f>
        <v>172.48674283333332</v>
      </c>
      <c r="R107" s="139">
        <f t="shared" ref="R107" si="218">R105*$M107</f>
        <v>172.48674283333332</v>
      </c>
      <c r="S107" s="139">
        <f t="shared" ref="S107:X107" si="219">S105*$M107</f>
        <v>172.48674283333332</v>
      </c>
      <c r="T107" s="139">
        <f t="shared" si="219"/>
        <v>1.3252260000000005</v>
      </c>
      <c r="U107" s="139">
        <f t="shared" si="219"/>
        <v>0.88348400000000016</v>
      </c>
      <c r="V107" s="139">
        <f t="shared" si="219"/>
        <v>0.44174200000000008</v>
      </c>
      <c r="W107" s="139">
        <f t="shared" si="219"/>
        <v>0</v>
      </c>
      <c r="X107" s="139">
        <f t="shared" si="219"/>
        <v>0</v>
      </c>
      <c r="Y107" s="192"/>
      <c r="Z107" s="290"/>
      <c r="AA107" s="290"/>
      <c r="AB107" s="290"/>
      <c r="AC107" s="290"/>
      <c r="AD107" s="290"/>
      <c r="AE107" s="290"/>
      <c r="AF107" s="290"/>
      <c r="AG107" s="290"/>
      <c r="AH107" s="290"/>
      <c r="AI107" s="290"/>
      <c r="AJ107" s="290"/>
      <c r="AK107" s="290"/>
      <c r="AL107" s="290"/>
      <c r="AM107" s="290"/>
      <c r="AN107" s="290"/>
      <c r="AO107" s="290"/>
      <c r="AP107" s="290"/>
      <c r="AQ107" s="290"/>
      <c r="AR107" s="264">
        <f t="shared" si="203"/>
        <v>516.13500249999993</v>
      </c>
    </row>
    <row r="108" spans="1:44" ht="30" customHeight="1">
      <c r="A108" s="300"/>
      <c r="B108" s="129" t="s">
        <v>570</v>
      </c>
      <c r="C108" s="192" t="s">
        <v>571</v>
      </c>
      <c r="D108" s="129"/>
      <c r="E108" s="255"/>
      <c r="F108" s="255"/>
      <c r="G108" s="255"/>
      <c r="H108" s="255"/>
      <c r="I108" s="255"/>
      <c r="J108" s="255"/>
      <c r="K108" s="255"/>
      <c r="L108" s="255"/>
      <c r="M108" s="319">
        <v>0.1</v>
      </c>
      <c r="N108" s="311"/>
      <c r="O108" s="311"/>
      <c r="P108" s="311"/>
      <c r="Q108" s="139">
        <f>(Q104-Q105)*$M108</f>
        <v>40.257760000000054</v>
      </c>
      <c r="R108" s="139">
        <f t="shared" ref="R108" si="220">(R104-R105)*$M108</f>
        <v>40.257760000000054</v>
      </c>
      <c r="S108" s="139">
        <f t="shared" ref="S108:X108" si="221">(S104-S105)*$M108</f>
        <v>40.257760000000054</v>
      </c>
      <c r="T108" s="139">
        <f t="shared" si="221"/>
        <v>11.5344</v>
      </c>
      <c r="U108" s="139">
        <f t="shared" si="221"/>
        <v>7.6896000000000004</v>
      </c>
      <c r="V108" s="139">
        <f t="shared" si="221"/>
        <v>3.8448000000000002</v>
      </c>
      <c r="W108" s="139">
        <f t="shared" si="221"/>
        <v>0</v>
      </c>
      <c r="X108" s="139">
        <f t="shared" si="221"/>
        <v>0</v>
      </c>
      <c r="Y108" s="192"/>
      <c r="Z108" s="290"/>
      <c r="AA108" s="290"/>
      <c r="AB108" s="290"/>
      <c r="AC108" s="290"/>
      <c r="AD108" s="290"/>
      <c r="AE108" s="290"/>
      <c r="AF108" s="290"/>
      <c r="AG108" s="290"/>
      <c r="AH108" s="290"/>
      <c r="AI108" s="290"/>
      <c r="AJ108" s="290"/>
      <c r="AK108" s="290"/>
      <c r="AL108" s="290"/>
      <c r="AM108" s="290"/>
      <c r="AN108" s="290"/>
      <c r="AO108" s="290"/>
      <c r="AP108" s="290"/>
      <c r="AQ108" s="290"/>
      <c r="AR108" s="264">
        <f t="shared" si="203"/>
        <v>109.23888000000017</v>
      </c>
    </row>
    <row r="109" spans="1:44" ht="30" customHeight="1">
      <c r="A109" s="300"/>
      <c r="B109" s="129" t="s">
        <v>573</v>
      </c>
      <c r="C109" s="192" t="s">
        <v>574</v>
      </c>
      <c r="D109" s="129"/>
      <c r="E109" s="255"/>
      <c r="F109" s="255"/>
      <c r="G109" s="255"/>
      <c r="H109" s="255"/>
      <c r="I109" s="255"/>
      <c r="J109" s="255"/>
      <c r="K109" s="255"/>
      <c r="L109" s="255"/>
      <c r="M109" s="319">
        <f>M100</f>
        <v>0</v>
      </c>
      <c r="N109" s="311"/>
      <c r="O109" s="311"/>
      <c r="P109" s="311"/>
      <c r="Q109" s="139">
        <f>Q104*$M109</f>
        <v>0</v>
      </c>
      <c r="R109" s="139">
        <f t="shared" ref="R109" si="222">R104*$M109</f>
        <v>0</v>
      </c>
      <c r="S109" s="139">
        <f t="shared" ref="S109:X109" si="223">S104*$M109</f>
        <v>0</v>
      </c>
      <c r="T109" s="139">
        <f t="shared" si="223"/>
        <v>0</v>
      </c>
      <c r="U109" s="139">
        <f t="shared" si="223"/>
        <v>0</v>
      </c>
      <c r="V109" s="139">
        <f t="shared" si="223"/>
        <v>0</v>
      </c>
      <c r="W109" s="139">
        <f t="shared" si="223"/>
        <v>0</v>
      </c>
      <c r="X109" s="139">
        <f t="shared" si="223"/>
        <v>0</v>
      </c>
      <c r="Y109" s="192"/>
      <c r="Z109" s="290"/>
      <c r="AA109" s="290"/>
      <c r="AB109" s="290"/>
      <c r="AC109" s="290"/>
      <c r="AD109" s="290"/>
      <c r="AE109" s="290"/>
      <c r="AF109" s="290"/>
      <c r="AG109" s="290"/>
      <c r="AH109" s="290"/>
      <c r="AI109" s="290"/>
      <c r="AJ109" s="290"/>
      <c r="AK109" s="290"/>
      <c r="AL109" s="290"/>
      <c r="AM109" s="290"/>
      <c r="AN109" s="290"/>
      <c r="AO109" s="290"/>
      <c r="AP109" s="290"/>
      <c r="AQ109" s="290"/>
      <c r="AR109" s="264">
        <f t="shared" si="203"/>
        <v>0</v>
      </c>
    </row>
    <row r="110" spans="1:44" ht="30" customHeight="1">
      <c r="A110" s="300"/>
      <c r="B110" s="129" t="s">
        <v>575</v>
      </c>
      <c r="C110" s="192" t="s">
        <v>576</v>
      </c>
      <c r="D110" s="129"/>
      <c r="E110" s="255"/>
      <c r="F110" s="255"/>
      <c r="G110" s="255"/>
      <c r="H110" s="255"/>
      <c r="I110" s="255"/>
      <c r="J110" s="255"/>
      <c r="K110" s="255"/>
      <c r="L110" s="255"/>
      <c r="M110" s="320">
        <f>M101</f>
        <v>3.4770000000000002E-2</v>
      </c>
      <c r="N110" s="311"/>
      <c r="O110" s="311"/>
      <c r="P110" s="311"/>
      <c r="Q110" s="139">
        <f>(SUM(Q104:Q109)-Q105)*$M110</f>
        <v>82.768152313865016</v>
      </c>
      <c r="R110" s="139">
        <f t="shared" ref="R110" si="224">(SUM(R104:R109)-R105)*$M110</f>
        <v>82.768152313865016</v>
      </c>
      <c r="S110" s="139">
        <f t="shared" ref="S110:X110" si="225">(SUM(S104:S109)-S105)*$M110</f>
        <v>82.768152313865016</v>
      </c>
      <c r="T110" s="139">
        <f t="shared" si="225"/>
        <v>5.31947224422</v>
      </c>
      <c r="U110" s="139">
        <f t="shared" si="225"/>
        <v>3.54631482948</v>
      </c>
      <c r="V110" s="139">
        <f t="shared" si="225"/>
        <v>1.77315741474</v>
      </c>
      <c r="W110" s="139">
        <f t="shared" si="225"/>
        <v>0</v>
      </c>
      <c r="X110" s="139">
        <f t="shared" si="225"/>
        <v>0</v>
      </c>
      <c r="Y110" s="192"/>
      <c r="Z110" s="290"/>
      <c r="AA110" s="290"/>
      <c r="AB110" s="290"/>
      <c r="AC110" s="290"/>
      <c r="AD110" s="290"/>
      <c r="AE110" s="290"/>
      <c r="AF110" s="290"/>
      <c r="AG110" s="290"/>
      <c r="AH110" s="290"/>
      <c r="AI110" s="290"/>
      <c r="AJ110" s="290"/>
      <c r="AK110" s="290"/>
      <c r="AL110" s="290"/>
      <c r="AM110" s="290"/>
      <c r="AN110" s="290"/>
      <c r="AO110" s="290"/>
      <c r="AP110" s="290"/>
      <c r="AQ110" s="290"/>
      <c r="AR110" s="264">
        <f t="shared" si="203"/>
        <v>242.98498469737504</v>
      </c>
    </row>
    <row r="111" spans="1:44" ht="30" customHeight="1">
      <c r="A111" s="300"/>
      <c r="B111" s="129" t="s">
        <v>577</v>
      </c>
      <c r="C111" s="192" t="s">
        <v>578</v>
      </c>
      <c r="D111" s="129"/>
      <c r="E111" s="255"/>
      <c r="F111" s="255"/>
      <c r="G111" s="255"/>
      <c r="H111" s="255"/>
      <c r="I111" s="255"/>
      <c r="J111" s="255"/>
      <c r="K111" s="255"/>
      <c r="L111" s="255"/>
      <c r="M111" s="318"/>
      <c r="N111" s="311"/>
      <c r="O111" s="311"/>
      <c r="P111" s="311"/>
      <c r="Q111" s="139">
        <f>SUM(Q104:Q110)-Q105</f>
        <v>2463.2154434805325</v>
      </c>
      <c r="R111" s="139">
        <f t="shared" ref="R111" si="226">SUM(R104:R110)-R105</f>
        <v>2463.2154434805325</v>
      </c>
      <c r="S111" s="139">
        <f t="shared" ref="S111:X111" si="227">SUM(S104:S110)-S105</f>
        <v>2463.2154434805325</v>
      </c>
      <c r="T111" s="139">
        <f t="shared" si="227"/>
        <v>158.30975824422001</v>
      </c>
      <c r="U111" s="139">
        <f t="shared" si="227"/>
        <v>105.53983882947999</v>
      </c>
      <c r="V111" s="139">
        <f t="shared" si="227"/>
        <v>52.769919414739995</v>
      </c>
      <c r="W111" s="139">
        <f t="shared" si="227"/>
        <v>0</v>
      </c>
      <c r="X111" s="139">
        <f t="shared" si="227"/>
        <v>0</v>
      </c>
      <c r="Y111" s="192"/>
      <c r="Z111" s="290"/>
      <c r="AA111" s="290"/>
      <c r="AB111" s="290"/>
      <c r="AC111" s="290"/>
      <c r="AD111" s="290"/>
      <c r="AE111" s="290"/>
      <c r="AF111" s="290"/>
      <c r="AG111" s="290"/>
      <c r="AH111" s="290"/>
      <c r="AI111" s="290"/>
      <c r="AJ111" s="290"/>
      <c r="AK111" s="290"/>
      <c r="AL111" s="290"/>
      <c r="AM111" s="290"/>
      <c r="AN111" s="290"/>
      <c r="AO111" s="290"/>
      <c r="AP111" s="290"/>
      <c r="AQ111" s="290"/>
      <c r="AR111" s="264">
        <f t="shared" si="203"/>
        <v>7231.3365721973778</v>
      </c>
    </row>
    <row r="112" spans="1:44" ht="30" customHeight="1">
      <c r="A112" s="300"/>
      <c r="B112" s="129" t="s">
        <v>136</v>
      </c>
      <c r="C112" s="192" t="s">
        <v>807</v>
      </c>
      <c r="D112" s="129"/>
      <c r="E112" s="255"/>
      <c r="F112" s="255"/>
      <c r="G112" s="255"/>
      <c r="H112" s="255"/>
      <c r="I112" s="255"/>
      <c r="J112" s="255"/>
      <c r="K112" s="255"/>
      <c r="L112" s="255"/>
      <c r="M112" s="318"/>
      <c r="N112" s="311"/>
      <c r="O112" s="311"/>
      <c r="P112" s="311"/>
      <c r="Q112" s="139">
        <f>Q102+Q111</f>
        <v>3587.3382182771411</v>
      </c>
      <c r="R112" s="139">
        <f t="shared" ref="R112" si="228">R102+R111</f>
        <v>3587.3382182771411</v>
      </c>
      <c r="S112" s="139">
        <f t="shared" ref="S112:X112" si="229">S102+S111</f>
        <v>3587.3382182771411</v>
      </c>
      <c r="T112" s="139">
        <f t="shared" si="229"/>
        <v>209.68244117997</v>
      </c>
      <c r="U112" s="139">
        <f t="shared" si="229"/>
        <v>139.78829411997998</v>
      </c>
      <c r="V112" s="139">
        <f t="shared" si="229"/>
        <v>69.89414705998999</v>
      </c>
      <c r="W112" s="139">
        <f t="shared" si="229"/>
        <v>0</v>
      </c>
      <c r="X112" s="139">
        <f t="shared" si="229"/>
        <v>0</v>
      </c>
      <c r="Y112" s="192"/>
      <c r="Z112" s="290"/>
      <c r="AA112" s="290"/>
      <c r="AB112" s="290"/>
      <c r="AC112" s="290"/>
      <c r="AD112" s="290"/>
      <c r="AE112" s="290"/>
      <c r="AF112" s="290"/>
      <c r="AG112" s="290"/>
      <c r="AH112" s="290"/>
      <c r="AI112" s="290"/>
      <c r="AJ112" s="290"/>
      <c r="AK112" s="290"/>
      <c r="AL112" s="290"/>
      <c r="AM112" s="290"/>
      <c r="AN112" s="290"/>
      <c r="AO112" s="290"/>
      <c r="AP112" s="290"/>
      <c r="AQ112" s="290"/>
      <c r="AR112" s="264">
        <f t="shared" si="203"/>
        <v>10552.332213651453</v>
      </c>
    </row>
    <row r="113" spans="3:43">
      <c r="C113" s="262"/>
      <c r="E113" s="264"/>
      <c r="F113" s="264"/>
      <c r="G113" s="264"/>
      <c r="H113" s="264"/>
      <c r="I113" s="264"/>
      <c r="J113" s="264"/>
      <c r="K113" s="264"/>
      <c r="L113" s="264"/>
      <c r="M113" s="321"/>
      <c r="N113" s="322"/>
      <c r="O113" s="322"/>
      <c r="P113" s="322"/>
      <c r="Q113" s="324"/>
      <c r="R113" s="324"/>
      <c r="S113" s="324"/>
      <c r="T113" s="324"/>
      <c r="U113" s="324"/>
      <c r="V113" s="324"/>
      <c r="W113" s="324"/>
      <c r="X113" s="324"/>
      <c r="Y113" s="262"/>
      <c r="Z113" s="290"/>
      <c r="AA113" s="290"/>
      <c r="AB113" s="290"/>
      <c r="AC113" s="290"/>
      <c r="AD113" s="290"/>
      <c r="AE113" s="290"/>
      <c r="AF113" s="290"/>
      <c r="AG113" s="290"/>
      <c r="AH113" s="290"/>
      <c r="AI113" s="290"/>
      <c r="AJ113" s="290"/>
      <c r="AK113" s="290"/>
      <c r="AL113" s="290"/>
      <c r="AM113" s="290"/>
      <c r="AN113" s="290"/>
      <c r="AO113" s="290"/>
      <c r="AP113" s="290"/>
      <c r="AQ113" s="290"/>
    </row>
  </sheetData>
  <sheetProtection formatCells="0" formatColumns="0" formatRows="0" insertRows="0" autoFilter="0"/>
  <protectedRanges>
    <protectedRange sqref="A88:XFD94" name="区域4" securityDescriptor=""/>
    <protectedRange sqref="E7:L94" name="区域3" securityDescriptor=""/>
    <protectedRange sqref="B2" name="区域2" securityDescriptor=""/>
    <protectedRange sqref="B1:C1" name="区域1" securityDescriptor=""/>
    <protectedRange sqref="E3:L3" name="区域3_1" securityDescriptor=""/>
    <protectedRange sqref="F4:L5 Q4:X5" name="区域1_1" securityDescriptor=""/>
    <protectedRange sqref="E4:E5" name="区域3_2" securityDescriptor=""/>
    <protectedRange sqref="E6:L6" name="区域1_1_1" securityDescriptor=""/>
    <protectedRange sqref="Z5:AP6" name="区域1_1_2" securityDescriptor=""/>
  </protectedRanges>
  <autoFilter ref="A6:IL88">
    <filterColumn colId="2">
      <filters>
        <filter val="100mm宽天花石膏饰线"/>
        <filter val="130mm高天花石膏饰线"/>
        <filter val="30mm宽石膏饰线"/>
        <filter val="过厅9MM厚耐水石膏板跌级天花（含灯位开孔，按投影面积计）"/>
        <filter val="墙身扇灰油白色乳胶漆（按展开面积，一底二面,包含石膏角线）"/>
        <filter val="入户前室、楼梯间9MM厚耐水纸面石膏板平级天花（含灯位开孔，按投影面积计）"/>
        <filter val="天花扇灰油白色乳胶漆（按展开面积，一底二面,包含石膏角线）"/>
      </filters>
    </filterColumn>
  </autoFilter>
  <mergeCells count="17">
    <mergeCell ref="Z3:AI3"/>
    <mergeCell ref="Z4:AG4"/>
    <mergeCell ref="AI4:AP4"/>
    <mergeCell ref="B3:B6"/>
    <mergeCell ref="C3:C6"/>
    <mergeCell ref="D3:D6"/>
    <mergeCell ref="M3:M4"/>
    <mergeCell ref="M5:M6"/>
    <mergeCell ref="N4:N5"/>
    <mergeCell ref="O4:O5"/>
    <mergeCell ref="P4:P5"/>
    <mergeCell ref="Y3:Y5"/>
    <mergeCell ref="T1:Y1"/>
    <mergeCell ref="B2:Y2"/>
    <mergeCell ref="E3:L3"/>
    <mergeCell ref="N3:P3"/>
    <mergeCell ref="Q3:X3"/>
  </mergeCells>
  <phoneticPr fontId="7" type="noConversion"/>
  <conditionalFormatting sqref="N82:P93 E48">
    <cfRule type="cellIs" dxfId="25" priority="1" stopIfTrue="1" operator="equal">
      <formula>0</formula>
    </cfRule>
  </conditionalFormatting>
  <conditionalFormatting sqref="N49:P51">
    <cfRule type="cellIs" dxfId="24" priority="2" stopIfTrue="1" operator="equal">
      <formula>0</formula>
    </cfRule>
  </conditionalFormatting>
  <printOptions horizontalCentered="1"/>
  <pageMargins left="0.39305555555555599" right="0.39305555555555599" top="0.55069444444444404" bottom="0.55069444444444404" header="0.31458333333333299" footer="0.31458333333333299"/>
  <pageSetup paperSize="9" scale="51" orientation="landscape" blackAndWhite="1" horizontalDpi="300" verticalDpi="300" r:id="rId1"/>
  <headerFooter alignWithMargins="0">
    <oddFooter>&amp;C第 &amp;P 页，共 &amp;N 页</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13"/>
    <pageSetUpPr fitToPage="1"/>
  </sheetPr>
  <dimension ref="A1:O93"/>
  <sheetViews>
    <sheetView view="pageBreakPreview" zoomScaleSheetLayoutView="100" workbookViewId="0">
      <pane xSplit="4" ySplit="6" topLeftCell="E7" activePane="bottomRight" state="frozen"/>
      <selection activeCell="J6" sqref="J6"/>
      <selection pane="topRight" activeCell="J6" sqref="J6"/>
      <selection pane="bottomLeft" activeCell="J6" sqref="J6"/>
      <selection pane="bottomRight" activeCell="H11" sqref="H11"/>
    </sheetView>
  </sheetViews>
  <sheetFormatPr defaultColWidth="9.125" defaultRowHeight="11.25"/>
  <cols>
    <col min="1" max="1" width="11" style="449" hidden="1" customWidth="1"/>
    <col min="2" max="2" width="4.125" style="473" bestFit="1" customWidth="1"/>
    <col min="3" max="3" width="21.625" style="449" customWidth="1"/>
    <col min="4" max="4" width="4.125" style="449" bestFit="1" customWidth="1"/>
    <col min="5" max="5" width="9" style="565" customWidth="1"/>
    <col min="6" max="6" width="40.375" style="565" customWidth="1"/>
    <col min="7" max="7" width="10.125" style="565" customWidth="1"/>
    <col min="8" max="8" width="8.125" style="565" bestFit="1" customWidth="1"/>
    <col min="9" max="9" width="7.125" style="565" customWidth="1"/>
    <col min="10" max="10" width="7.5" style="565" bestFit="1" customWidth="1"/>
    <col min="11" max="11" width="11.875" style="449" hidden="1" customWidth="1"/>
    <col min="12" max="13" width="8.875" style="449" customWidth="1"/>
    <col min="14" max="14" width="6.875" style="449" customWidth="1"/>
    <col min="15" max="15" width="7.5" style="449" bestFit="1" customWidth="1"/>
    <col min="16" max="16384" width="9.125" style="449"/>
  </cols>
  <sheetData>
    <row r="1" spans="1:15">
      <c r="B1" s="921" t="s">
        <v>1022</v>
      </c>
      <c r="C1" s="921"/>
      <c r="K1" s="850" t="s">
        <v>196</v>
      </c>
      <c r="L1" s="851"/>
    </row>
    <row r="2" spans="1:15" ht="40.5" customHeight="1">
      <c r="A2" s="185"/>
      <c r="B2" s="922" t="s">
        <v>1871</v>
      </c>
      <c r="C2" s="922"/>
      <c r="D2" s="922"/>
      <c r="E2" s="922"/>
      <c r="F2" s="922"/>
      <c r="G2" s="922"/>
      <c r="H2" s="922"/>
      <c r="I2" s="922"/>
      <c r="J2" s="922"/>
      <c r="K2" s="922"/>
      <c r="L2" s="922"/>
      <c r="M2" s="207"/>
      <c r="N2" s="207"/>
      <c r="O2" s="207"/>
    </row>
    <row r="3" spans="1:15" s="452" customFormat="1" ht="21.4" customHeight="1">
      <c r="A3" s="500"/>
      <c r="B3" s="926" t="s">
        <v>54</v>
      </c>
      <c r="C3" s="926" t="s">
        <v>933</v>
      </c>
      <c r="D3" s="926" t="s">
        <v>198</v>
      </c>
      <c r="E3" s="690" t="s">
        <v>199</v>
      </c>
      <c r="F3" s="928" t="s">
        <v>1911</v>
      </c>
      <c r="G3" s="927" t="s">
        <v>200</v>
      </c>
      <c r="H3" s="857" t="s">
        <v>934</v>
      </c>
      <c r="I3" s="857"/>
      <c r="J3" s="857"/>
      <c r="K3" s="684" t="s">
        <v>202</v>
      </c>
      <c r="L3" s="926" t="s">
        <v>57</v>
      </c>
      <c r="M3" s="923"/>
      <c r="N3" s="924"/>
      <c r="O3" s="925"/>
    </row>
    <row r="4" spans="1:15" s="452" customFormat="1" ht="19.149999999999999" customHeight="1">
      <c r="A4" s="500"/>
      <c r="B4" s="926"/>
      <c r="C4" s="926"/>
      <c r="D4" s="926"/>
      <c r="E4" s="475" t="s">
        <v>1023</v>
      </c>
      <c r="F4" s="929"/>
      <c r="G4" s="927"/>
      <c r="H4" s="856" t="s">
        <v>203</v>
      </c>
      <c r="I4" s="856" t="s">
        <v>204</v>
      </c>
      <c r="J4" s="856" t="s">
        <v>205</v>
      </c>
      <c r="K4" s="684" t="str">
        <f>+E4</f>
        <v>中档公寓</v>
      </c>
      <c r="L4" s="926"/>
      <c r="M4" s="501"/>
      <c r="N4" s="461"/>
      <c r="O4" s="461"/>
    </row>
    <row r="5" spans="1:15" s="452" customFormat="1">
      <c r="A5" s="500"/>
      <c r="B5" s="926"/>
      <c r="C5" s="926"/>
      <c r="D5" s="926"/>
      <c r="E5" s="475" t="s">
        <v>131</v>
      </c>
      <c r="F5" s="929"/>
      <c r="G5" s="927"/>
      <c r="H5" s="856"/>
      <c r="I5" s="856"/>
      <c r="J5" s="856"/>
      <c r="K5" s="684" t="str">
        <f>+E5</f>
        <v>1#</v>
      </c>
      <c r="L5" s="926"/>
      <c r="M5" s="467" t="s">
        <v>593</v>
      </c>
      <c r="N5" s="463"/>
      <c r="O5" s="467" t="s">
        <v>208</v>
      </c>
    </row>
    <row r="6" spans="1:15" s="452" customFormat="1" ht="22.5">
      <c r="A6" s="188"/>
      <c r="B6" s="926"/>
      <c r="C6" s="926"/>
      <c r="D6" s="926"/>
      <c r="E6" s="476" t="s">
        <v>209</v>
      </c>
      <c r="F6" s="930"/>
      <c r="G6" s="685" t="s">
        <v>1024</v>
      </c>
      <c r="H6" s="684" t="s">
        <v>217</v>
      </c>
      <c r="I6" s="684" t="s">
        <v>218</v>
      </c>
      <c r="J6" s="684" t="s">
        <v>219</v>
      </c>
      <c r="K6" s="687" t="s">
        <v>220</v>
      </c>
      <c r="L6" s="685"/>
      <c r="M6" s="440" t="s">
        <v>209</v>
      </c>
      <c r="N6" s="463"/>
      <c r="O6" s="440" t="s">
        <v>209</v>
      </c>
    </row>
    <row r="7" spans="1:15" ht="16.5" customHeight="1">
      <c r="A7" s="190"/>
      <c r="B7" s="652" t="s">
        <v>58</v>
      </c>
      <c r="C7" s="653" t="s">
        <v>229</v>
      </c>
      <c r="D7" s="652"/>
      <c r="E7" s="658" t="s">
        <v>1859</v>
      </c>
      <c r="F7" s="658"/>
      <c r="G7" s="658"/>
      <c r="H7" s="658"/>
      <c r="I7" s="658"/>
      <c r="J7" s="658"/>
      <c r="K7" s="657"/>
      <c r="L7" s="658" t="s">
        <v>1874</v>
      </c>
      <c r="M7" s="493"/>
      <c r="N7" s="209"/>
      <c r="O7" s="493"/>
    </row>
    <row r="8" spans="1:15" ht="100.15" customHeight="1">
      <c r="A8" s="191"/>
      <c r="B8" s="478">
        <v>1</v>
      </c>
      <c r="C8" s="407" t="s">
        <v>1025</v>
      </c>
      <c r="D8" s="412" t="s">
        <v>231</v>
      </c>
      <c r="E8" s="756">
        <f>57.66+0.6*2.8*8</f>
        <v>71.099999999999994</v>
      </c>
      <c r="F8" s="756"/>
      <c r="G8" s="411">
        <f t="shared" ref="G8" si="0">H8+H8*I8/100+J8</f>
        <v>21.43271</v>
      </c>
      <c r="H8" s="411">
        <f>'附件4-8甲供材料清单'!N220</f>
        <v>2.2087100000000004</v>
      </c>
      <c r="I8" s="411"/>
      <c r="J8" s="411">
        <v>19.224</v>
      </c>
      <c r="K8" s="403">
        <f t="shared" ref="K8:K30" si="1">E8*$G8</f>
        <v>1523.865681</v>
      </c>
      <c r="L8" s="601" t="s">
        <v>244</v>
      </c>
      <c r="M8" s="469">
        <f>K8</f>
        <v>1523.865681</v>
      </c>
      <c r="N8" s="390"/>
      <c r="O8" s="469">
        <f>E8*$H8*(1+$I8/100)</f>
        <v>157.03928100000002</v>
      </c>
    </row>
    <row r="9" spans="1:15" ht="20.25" customHeight="1">
      <c r="A9" s="194"/>
      <c r="B9" s="652" t="s">
        <v>60</v>
      </c>
      <c r="C9" s="636" t="s">
        <v>247</v>
      </c>
      <c r="D9" s="659"/>
      <c r="E9" s="658" t="s">
        <v>1859</v>
      </c>
      <c r="F9" s="658"/>
      <c r="G9" s="658"/>
      <c r="H9" s="658"/>
      <c r="I9" s="658"/>
      <c r="J9" s="658"/>
      <c r="K9" s="643" t="e">
        <f t="shared" si="1"/>
        <v>#VALUE!</v>
      </c>
      <c r="L9" s="658" t="s">
        <v>1874</v>
      </c>
      <c r="M9" s="470"/>
      <c r="N9" s="211"/>
      <c r="O9" s="470"/>
    </row>
    <row r="10" spans="1:15" ht="26.25" customHeight="1">
      <c r="A10" s="191"/>
      <c r="B10" s="478">
        <v>1</v>
      </c>
      <c r="C10" s="407" t="s">
        <v>1026</v>
      </c>
      <c r="D10" s="412" t="s">
        <v>231</v>
      </c>
      <c r="E10" s="718"/>
      <c r="F10" s="718"/>
      <c r="G10" s="411">
        <f>H10+H10*I10/100+J10</f>
        <v>120.86666666666667</v>
      </c>
      <c r="H10" s="411">
        <f>'附件4-8甲供材料清单'!M186</f>
        <v>66.666666666666671</v>
      </c>
      <c r="I10" s="411">
        <v>9</v>
      </c>
      <c r="J10" s="411">
        <f>43.2+5</f>
        <v>48.2</v>
      </c>
      <c r="K10" s="403">
        <f t="shared" si="1"/>
        <v>0</v>
      </c>
      <c r="L10" s="601" t="s">
        <v>244</v>
      </c>
      <c r="M10" s="469">
        <f>K10</f>
        <v>0</v>
      </c>
      <c r="N10" s="390"/>
      <c r="O10" s="469">
        <f>E10*$H10*(1+$I10/100)</f>
        <v>0</v>
      </c>
    </row>
    <row r="11" spans="1:15" ht="26.25" customHeight="1">
      <c r="A11" s="191"/>
      <c r="B11" s="478">
        <v>2</v>
      </c>
      <c r="C11" s="407" t="s">
        <v>1027</v>
      </c>
      <c r="D11" s="412" t="s">
        <v>231</v>
      </c>
      <c r="E11" s="718"/>
      <c r="F11" s="718"/>
      <c r="G11" s="411">
        <f>H11+H11*I11/100+J11</f>
        <v>686.3</v>
      </c>
      <c r="H11" s="411">
        <v>530</v>
      </c>
      <c r="I11" s="411">
        <v>3</v>
      </c>
      <c r="J11" s="411">
        <v>140.4</v>
      </c>
      <c r="K11" s="403">
        <f t="shared" si="1"/>
        <v>0</v>
      </c>
      <c r="L11" s="601"/>
      <c r="M11" s="469"/>
      <c r="N11" s="390"/>
      <c r="O11" s="469"/>
    </row>
    <row r="12" spans="1:15" ht="26.25" customHeight="1">
      <c r="A12" s="191" t="s">
        <v>278</v>
      </c>
      <c r="B12" s="478" t="s">
        <v>233</v>
      </c>
      <c r="C12" s="407" t="s">
        <v>1028</v>
      </c>
      <c r="D12" s="412" t="s">
        <v>231</v>
      </c>
      <c r="E12" s="718"/>
      <c r="F12" s="718"/>
      <c r="G12" s="411">
        <f>H12+H12*I12/100+J12</f>
        <v>449.4</v>
      </c>
      <c r="H12" s="411">
        <v>300</v>
      </c>
      <c r="I12" s="411">
        <v>3</v>
      </c>
      <c r="J12" s="411">
        <v>140.4</v>
      </c>
      <c r="K12" s="403">
        <f t="shared" si="1"/>
        <v>0</v>
      </c>
      <c r="L12" s="601"/>
      <c r="M12" s="469"/>
      <c r="N12" s="390"/>
      <c r="O12" s="469"/>
    </row>
    <row r="13" spans="1:15" ht="26.25" customHeight="1">
      <c r="A13" s="191"/>
      <c r="B13" s="478">
        <v>3</v>
      </c>
      <c r="C13" s="407" t="s">
        <v>943</v>
      </c>
      <c r="D13" s="412" t="s">
        <v>235</v>
      </c>
      <c r="E13" s="718"/>
      <c r="F13" s="718"/>
      <c r="G13" s="411">
        <f>H13+H13*I13/100+J13</f>
        <v>75.695999999999998</v>
      </c>
      <c r="H13" s="411">
        <v>58.2</v>
      </c>
      <c r="I13" s="411">
        <v>3</v>
      </c>
      <c r="J13" s="411">
        <v>15.75</v>
      </c>
      <c r="K13" s="403">
        <f t="shared" si="1"/>
        <v>0</v>
      </c>
      <c r="L13" s="601"/>
      <c r="M13" s="469"/>
      <c r="N13" s="390"/>
      <c r="O13" s="469"/>
    </row>
    <row r="14" spans="1:15" ht="39" customHeight="1">
      <c r="A14" s="191"/>
      <c r="B14" s="478">
        <v>4</v>
      </c>
      <c r="C14" s="431" t="s">
        <v>1029</v>
      </c>
      <c r="D14" s="689" t="s">
        <v>231</v>
      </c>
      <c r="E14" s="718"/>
      <c r="F14" s="718"/>
      <c r="G14" s="411">
        <f>H14+H14*I14%+J14</f>
        <v>24.44</v>
      </c>
      <c r="H14" s="411"/>
      <c r="I14" s="411"/>
      <c r="J14" s="411">
        <v>24.44</v>
      </c>
      <c r="K14" s="403">
        <f t="shared" si="1"/>
        <v>0</v>
      </c>
      <c r="L14" s="601"/>
      <c r="M14" s="469"/>
      <c r="N14" s="390"/>
      <c r="O14" s="469"/>
    </row>
    <row r="15" spans="1:15" ht="24.75" customHeight="1">
      <c r="A15" s="191"/>
      <c r="B15" s="652" t="s">
        <v>62</v>
      </c>
      <c r="C15" s="636" t="s">
        <v>261</v>
      </c>
      <c r="D15" s="660"/>
      <c r="E15" s="658" t="s">
        <v>1859</v>
      </c>
      <c r="F15" s="658"/>
      <c r="G15" s="658"/>
      <c r="H15" s="658"/>
      <c r="I15" s="658"/>
      <c r="J15" s="658"/>
      <c r="K15" s="638" t="e">
        <f t="shared" si="1"/>
        <v>#VALUE!</v>
      </c>
      <c r="L15" s="658" t="s">
        <v>1874</v>
      </c>
      <c r="M15" s="469"/>
      <c r="N15" s="390"/>
      <c r="O15" s="469"/>
    </row>
    <row r="16" spans="1:15" ht="100.15" customHeight="1">
      <c r="A16" s="191"/>
      <c r="B16" s="478">
        <v>1</v>
      </c>
      <c r="C16" s="407" t="s">
        <v>1030</v>
      </c>
      <c r="D16" s="412" t="s">
        <v>231</v>
      </c>
      <c r="E16" s="756">
        <f>24.9+7.56+7.49+32.93+6.4+3.99+11.98+11.24</f>
        <v>106.49</v>
      </c>
      <c r="F16" s="756"/>
      <c r="G16" s="411">
        <f t="shared" ref="G16" si="2">H16+H16*I16/100+J16</f>
        <v>21.43271</v>
      </c>
      <c r="H16" s="411">
        <f>'附件4-8甲供材料清单'!N220</f>
        <v>2.2087100000000004</v>
      </c>
      <c r="I16" s="411"/>
      <c r="J16" s="411">
        <v>19.224</v>
      </c>
      <c r="K16" s="403">
        <f t="shared" si="1"/>
        <v>2282.3692879</v>
      </c>
      <c r="L16" s="601" t="s">
        <v>244</v>
      </c>
      <c r="M16" s="469">
        <f>K16</f>
        <v>2282.3692879</v>
      </c>
      <c r="N16" s="390"/>
      <c r="O16" s="469">
        <f>E16*$H16*(1+$I16/100)</f>
        <v>235.20552790000002</v>
      </c>
    </row>
    <row r="17" spans="1:15" ht="26.25" customHeight="1">
      <c r="A17" s="191"/>
      <c r="B17" s="478">
        <v>2</v>
      </c>
      <c r="C17" s="407" t="s">
        <v>949</v>
      </c>
      <c r="D17" s="412" t="s">
        <v>231</v>
      </c>
      <c r="E17" s="718"/>
      <c r="F17" s="718"/>
      <c r="G17" s="411">
        <f>H17+H17*I17/100+J17</f>
        <v>542.52240000000006</v>
      </c>
      <c r="H17" s="411">
        <v>260</v>
      </c>
      <c r="I17" s="411">
        <v>2</v>
      </c>
      <c r="J17" s="411">
        <v>277.32240000000002</v>
      </c>
      <c r="K17" s="403">
        <f t="shared" si="1"/>
        <v>0</v>
      </c>
      <c r="L17" s="601"/>
      <c r="M17" s="469"/>
      <c r="N17" s="390"/>
      <c r="O17" s="469"/>
    </row>
    <row r="18" spans="1:15" ht="26.25" customHeight="1">
      <c r="A18" s="191"/>
      <c r="B18" s="478">
        <v>3</v>
      </c>
      <c r="C18" s="407" t="s">
        <v>1031</v>
      </c>
      <c r="D18" s="412" t="s">
        <v>235</v>
      </c>
      <c r="E18" s="718"/>
      <c r="F18" s="718"/>
      <c r="G18" s="411">
        <f>H18+H18*I18/100+J18</f>
        <v>171.45000000000002</v>
      </c>
      <c r="H18" s="411">
        <v>135</v>
      </c>
      <c r="I18" s="411">
        <v>3</v>
      </c>
      <c r="J18" s="411">
        <v>32.4</v>
      </c>
      <c r="K18" s="403">
        <f t="shared" si="1"/>
        <v>0</v>
      </c>
      <c r="L18" s="601"/>
      <c r="M18" s="469"/>
      <c r="N18" s="390"/>
      <c r="O18" s="469"/>
    </row>
    <row r="19" spans="1:15" ht="37.5" customHeight="1">
      <c r="A19" s="191"/>
      <c r="B19" s="478">
        <v>4</v>
      </c>
      <c r="C19" s="407" t="s">
        <v>1032</v>
      </c>
      <c r="D19" s="412" t="s">
        <v>270</v>
      </c>
      <c r="E19" s="718"/>
      <c r="F19" s="718"/>
      <c r="G19" s="411">
        <f>H19+H19*I19/100+J19</f>
        <v>40.849299999999999</v>
      </c>
      <c r="H19" s="411">
        <v>26.33</v>
      </c>
      <c r="I19" s="411">
        <v>1</v>
      </c>
      <c r="J19" s="411">
        <v>14.256</v>
      </c>
      <c r="K19" s="403">
        <f t="shared" si="1"/>
        <v>0</v>
      </c>
      <c r="L19" s="601"/>
      <c r="M19" s="469"/>
      <c r="N19" s="390"/>
      <c r="O19" s="469"/>
    </row>
    <row r="20" spans="1:15" ht="22.5">
      <c r="A20" s="191" t="s">
        <v>894</v>
      </c>
      <c r="B20" s="478" t="s">
        <v>278</v>
      </c>
      <c r="C20" s="407" t="s">
        <v>1033</v>
      </c>
      <c r="D20" s="412" t="s">
        <v>231</v>
      </c>
      <c r="E20" s="718"/>
      <c r="F20" s="718"/>
      <c r="G20" s="411">
        <f t="shared" ref="G20" si="3">H20+H20*I20/100+J20</f>
        <v>130.33611111111111</v>
      </c>
      <c r="H20" s="411">
        <f>+'附件4-8甲供材料清单'!M188</f>
        <v>69.444444444444443</v>
      </c>
      <c r="I20" s="411">
        <v>10.5</v>
      </c>
      <c r="J20" s="411">
        <v>53.6</v>
      </c>
      <c r="K20" s="403">
        <f t="shared" si="1"/>
        <v>0</v>
      </c>
      <c r="L20" s="601" t="s">
        <v>244</v>
      </c>
      <c r="M20" s="469">
        <f>K20</f>
        <v>0</v>
      </c>
      <c r="N20" s="390"/>
      <c r="O20" s="469">
        <f>E20*$H20*(1+$I20/100)</f>
        <v>0</v>
      </c>
    </row>
    <row r="21" spans="1:15" ht="30" customHeight="1">
      <c r="A21" s="191"/>
      <c r="B21" s="652" t="s">
        <v>64</v>
      </c>
      <c r="C21" s="636" t="s">
        <v>743</v>
      </c>
      <c r="D21" s="660"/>
      <c r="E21" s="658" t="s">
        <v>1859</v>
      </c>
      <c r="F21" s="658"/>
      <c r="G21" s="658"/>
      <c r="H21" s="658"/>
      <c r="I21" s="658"/>
      <c r="J21" s="658"/>
      <c r="K21" s="638" t="e">
        <f t="shared" si="1"/>
        <v>#VALUE!</v>
      </c>
      <c r="L21" s="658" t="s">
        <v>1874</v>
      </c>
      <c r="M21" s="469"/>
      <c r="N21" s="390"/>
      <c r="O21" s="469"/>
    </row>
    <row r="22" spans="1:15" ht="31.5" customHeight="1">
      <c r="A22" s="191"/>
      <c r="B22" s="478">
        <v>1</v>
      </c>
      <c r="C22" s="590" t="s">
        <v>1034</v>
      </c>
      <c r="D22" s="478" t="s">
        <v>320</v>
      </c>
      <c r="E22" s="718"/>
      <c r="F22" s="718"/>
      <c r="G22" s="411">
        <f t="shared" ref="G22:G30" si="4">H22+H22*I22/100+J22</f>
        <v>12.473199999999999</v>
      </c>
      <c r="H22" s="567">
        <f>'附件4-8甲供材料清单'!K93</f>
        <v>5.72</v>
      </c>
      <c r="I22" s="411">
        <v>1</v>
      </c>
      <c r="J22" s="411">
        <v>6.6959999999999997</v>
      </c>
      <c r="K22" s="403">
        <f t="shared" si="1"/>
        <v>0</v>
      </c>
      <c r="L22" s="479" t="s">
        <v>244</v>
      </c>
      <c r="M22" s="469">
        <f t="shared" ref="M22:M30" si="5">K22</f>
        <v>0</v>
      </c>
      <c r="N22" s="390"/>
      <c r="O22" s="469">
        <f t="shared" ref="O22:O30" si="6">E22*$H22*(1+$I22/100)</f>
        <v>0</v>
      </c>
    </row>
    <row r="23" spans="1:15" ht="31.5" customHeight="1">
      <c r="A23" s="191"/>
      <c r="B23" s="478">
        <v>2</v>
      </c>
      <c r="C23" s="407" t="s">
        <v>1035</v>
      </c>
      <c r="D23" s="478" t="s">
        <v>320</v>
      </c>
      <c r="E23" s="718"/>
      <c r="F23" s="718"/>
      <c r="G23" s="411">
        <f t="shared" si="4"/>
        <v>13.0792</v>
      </c>
      <c r="H23" s="567">
        <f>'附件4-8甲供材料清单'!K99</f>
        <v>6.32</v>
      </c>
      <c r="I23" s="411">
        <v>1</v>
      </c>
      <c r="J23" s="411">
        <v>6.6959999999999997</v>
      </c>
      <c r="K23" s="403">
        <f t="shared" si="1"/>
        <v>0</v>
      </c>
      <c r="L23" s="479" t="s">
        <v>244</v>
      </c>
      <c r="M23" s="469">
        <f t="shared" si="5"/>
        <v>0</v>
      </c>
      <c r="N23" s="390"/>
      <c r="O23" s="469">
        <f t="shared" si="6"/>
        <v>0</v>
      </c>
    </row>
    <row r="24" spans="1:15" ht="28.5" customHeight="1">
      <c r="A24" s="191"/>
      <c r="B24" s="478">
        <v>3</v>
      </c>
      <c r="C24" s="590" t="s">
        <v>1036</v>
      </c>
      <c r="D24" s="478" t="s">
        <v>320</v>
      </c>
      <c r="E24" s="718"/>
      <c r="F24" s="718"/>
      <c r="G24" s="411">
        <f t="shared" si="4"/>
        <v>97.596000000000004</v>
      </c>
      <c r="H24" s="567">
        <f>'附件4-8甲供材料清单'!K92</f>
        <v>90</v>
      </c>
      <c r="I24" s="411">
        <v>1</v>
      </c>
      <c r="J24" s="411">
        <v>6.6959999999999997</v>
      </c>
      <c r="K24" s="403">
        <f t="shared" si="1"/>
        <v>0</v>
      </c>
      <c r="L24" s="479" t="s">
        <v>244</v>
      </c>
      <c r="M24" s="469">
        <f t="shared" si="5"/>
        <v>0</v>
      </c>
      <c r="N24" s="390"/>
      <c r="O24" s="469">
        <f t="shared" si="6"/>
        <v>0</v>
      </c>
    </row>
    <row r="25" spans="1:15" ht="26.25" customHeight="1">
      <c r="A25" s="191"/>
      <c r="B25" s="478">
        <v>4</v>
      </c>
      <c r="C25" s="590" t="s">
        <v>971</v>
      </c>
      <c r="D25" s="478" t="s">
        <v>482</v>
      </c>
      <c r="E25" s="718"/>
      <c r="F25" s="718"/>
      <c r="G25" s="411">
        <f t="shared" si="4"/>
        <v>58.410000000000004</v>
      </c>
      <c r="H25" s="567">
        <f>'附件4-8甲供材料清单'!K210</f>
        <v>45</v>
      </c>
      <c r="I25" s="411">
        <v>1</v>
      </c>
      <c r="J25" s="411">
        <v>12.96</v>
      </c>
      <c r="K25" s="403">
        <f t="shared" si="1"/>
        <v>0</v>
      </c>
      <c r="L25" s="479" t="s">
        <v>244</v>
      </c>
      <c r="M25" s="469">
        <f t="shared" si="5"/>
        <v>0</v>
      </c>
      <c r="N25" s="390"/>
      <c r="O25" s="469">
        <f t="shared" si="6"/>
        <v>0</v>
      </c>
    </row>
    <row r="26" spans="1:15" ht="26.25" customHeight="1">
      <c r="A26" s="191"/>
      <c r="B26" s="478">
        <v>5</v>
      </c>
      <c r="C26" s="590" t="s">
        <v>972</v>
      </c>
      <c r="D26" s="478" t="s">
        <v>482</v>
      </c>
      <c r="E26" s="718"/>
      <c r="F26" s="718"/>
      <c r="G26" s="411">
        <f t="shared" si="4"/>
        <v>48.31</v>
      </c>
      <c r="H26" s="567">
        <f>'附件4-8甲供材料清单'!K211</f>
        <v>35</v>
      </c>
      <c r="I26" s="411">
        <v>1</v>
      </c>
      <c r="J26" s="411">
        <v>12.96</v>
      </c>
      <c r="K26" s="403">
        <f t="shared" si="1"/>
        <v>0</v>
      </c>
      <c r="L26" s="479" t="s">
        <v>244</v>
      </c>
      <c r="M26" s="469">
        <f t="shared" si="5"/>
        <v>0</v>
      </c>
      <c r="N26" s="390"/>
      <c r="O26" s="469">
        <f t="shared" si="6"/>
        <v>0</v>
      </c>
    </row>
    <row r="27" spans="1:15" ht="50.1" customHeight="1">
      <c r="A27" s="191"/>
      <c r="B27" s="478">
        <v>6</v>
      </c>
      <c r="C27" s="407" t="s">
        <v>1037</v>
      </c>
      <c r="D27" s="478" t="s">
        <v>320</v>
      </c>
      <c r="E27" s="756">
        <v>2</v>
      </c>
      <c r="F27" s="756"/>
      <c r="G27" s="411">
        <f t="shared" si="4"/>
        <v>83.070000000000007</v>
      </c>
      <c r="H27" s="567">
        <f>'附件4-8甲供材料清单'!K208</f>
        <v>63</v>
      </c>
      <c r="I27" s="411">
        <v>1</v>
      </c>
      <c r="J27" s="411">
        <v>19.440000000000001</v>
      </c>
      <c r="K27" s="403">
        <f t="shared" si="1"/>
        <v>166.14000000000001</v>
      </c>
      <c r="L27" s="479" t="s">
        <v>244</v>
      </c>
      <c r="M27" s="469">
        <f t="shared" si="5"/>
        <v>166.14000000000001</v>
      </c>
      <c r="N27" s="390"/>
      <c r="O27" s="469">
        <f t="shared" si="6"/>
        <v>127.26</v>
      </c>
    </row>
    <row r="28" spans="1:15" ht="26.25" customHeight="1">
      <c r="A28" s="191"/>
      <c r="B28" s="478">
        <v>7</v>
      </c>
      <c r="C28" s="590" t="s">
        <v>1869</v>
      </c>
      <c r="D28" s="478" t="s">
        <v>235</v>
      </c>
      <c r="E28" s="718"/>
      <c r="F28" s="718"/>
      <c r="G28" s="411">
        <f t="shared" si="4"/>
        <v>2.5367999999999999</v>
      </c>
      <c r="H28" s="567">
        <f>+'附件4-8甲供材料清单'!K110</f>
        <v>1.47</v>
      </c>
      <c r="I28" s="411">
        <v>16</v>
      </c>
      <c r="J28" s="411">
        <v>0.83160000000000001</v>
      </c>
      <c r="K28" s="403">
        <f t="shared" si="1"/>
        <v>0</v>
      </c>
      <c r="L28" s="479" t="s">
        <v>244</v>
      </c>
      <c r="M28" s="469">
        <f t="shared" si="5"/>
        <v>0</v>
      </c>
      <c r="N28" s="390"/>
      <c r="O28" s="469">
        <f t="shared" si="6"/>
        <v>0</v>
      </c>
    </row>
    <row r="29" spans="1:15" ht="26.25" customHeight="1">
      <c r="A29" s="191"/>
      <c r="B29" s="478">
        <v>8</v>
      </c>
      <c r="C29" s="590" t="s">
        <v>1870</v>
      </c>
      <c r="D29" s="478" t="s">
        <v>235</v>
      </c>
      <c r="E29" s="718"/>
      <c r="F29" s="718"/>
      <c r="G29" s="411">
        <f t="shared" si="4"/>
        <v>3.1631999999999998</v>
      </c>
      <c r="H29" s="567">
        <f>'附件4-8甲供材料清单'!K113</f>
        <v>2.0099999999999998</v>
      </c>
      <c r="I29" s="411">
        <v>16</v>
      </c>
      <c r="J29" s="411">
        <v>0.83160000000000001</v>
      </c>
      <c r="K29" s="403">
        <f t="shared" si="1"/>
        <v>0</v>
      </c>
      <c r="L29" s="479" t="s">
        <v>244</v>
      </c>
      <c r="M29" s="469">
        <f t="shared" si="5"/>
        <v>0</v>
      </c>
      <c r="N29" s="390"/>
      <c r="O29" s="469">
        <f t="shared" si="6"/>
        <v>0</v>
      </c>
    </row>
    <row r="30" spans="1:15" ht="56.25">
      <c r="A30" s="191"/>
      <c r="B30" s="478">
        <v>9</v>
      </c>
      <c r="C30" s="407" t="s">
        <v>1038</v>
      </c>
      <c r="D30" s="478" t="s">
        <v>235</v>
      </c>
      <c r="E30" s="718"/>
      <c r="F30" s="718"/>
      <c r="G30" s="411">
        <f t="shared" si="4"/>
        <v>7.0295000000000005</v>
      </c>
      <c r="H30" s="567">
        <f>'附件4-8甲供材料清单'!K116</f>
        <v>1.19</v>
      </c>
      <c r="I30" s="411">
        <v>5</v>
      </c>
      <c r="J30" s="411">
        <v>5.78</v>
      </c>
      <c r="K30" s="403">
        <f t="shared" si="1"/>
        <v>0</v>
      </c>
      <c r="L30" s="479" t="s">
        <v>499</v>
      </c>
      <c r="M30" s="469">
        <f t="shared" si="5"/>
        <v>0</v>
      </c>
      <c r="N30" s="390"/>
      <c r="O30" s="469">
        <f t="shared" si="6"/>
        <v>0</v>
      </c>
    </row>
    <row r="31" spans="1:15" ht="17.649999999999999" customHeight="1">
      <c r="A31" s="191"/>
      <c r="B31" s="637"/>
      <c r="C31" s="636" t="s">
        <v>1039</v>
      </c>
      <c r="D31" s="661"/>
      <c r="E31" s="658" t="s">
        <v>1859</v>
      </c>
      <c r="F31" s="658"/>
      <c r="G31" s="658"/>
      <c r="H31" s="658"/>
      <c r="I31" s="658"/>
      <c r="J31" s="658"/>
      <c r="K31" s="638"/>
      <c r="L31" s="658" t="s">
        <v>1874</v>
      </c>
      <c r="M31" s="469"/>
      <c r="N31" s="390"/>
      <c r="O31" s="469"/>
    </row>
    <row r="32" spans="1:15" ht="100.15" customHeight="1">
      <c r="A32" s="198"/>
      <c r="B32" s="457">
        <v>1</v>
      </c>
      <c r="C32" s="472" t="s">
        <v>1040</v>
      </c>
      <c r="D32" s="602" t="s">
        <v>231</v>
      </c>
      <c r="E32" s="756">
        <v>57.66</v>
      </c>
      <c r="F32" s="756"/>
      <c r="G32" s="734">
        <f>H32+H32*I32/100+J32</f>
        <v>137.26249999999999</v>
      </c>
      <c r="H32" s="722">
        <f>'附件4-8甲供材料清单'!M235</f>
        <v>78.124999999999986</v>
      </c>
      <c r="I32" s="723">
        <v>14</v>
      </c>
      <c r="J32" s="723">
        <v>48.2</v>
      </c>
      <c r="K32" s="485">
        <f>E32*$G32</f>
        <v>7914.5557499999986</v>
      </c>
      <c r="L32" s="603" t="s">
        <v>244</v>
      </c>
      <c r="M32" s="410">
        <f>K32</f>
        <v>7914.5557499999986</v>
      </c>
      <c r="N32" s="212"/>
      <c r="O32" s="410">
        <f>E32*$H32*(1+$I32/100)</f>
        <v>5135.3437499999991</v>
      </c>
    </row>
    <row r="33" spans="1:15" ht="100.15" customHeight="1">
      <c r="A33" s="198"/>
      <c r="B33" s="457">
        <v>2</v>
      </c>
      <c r="C33" s="472" t="s">
        <v>1041</v>
      </c>
      <c r="D33" s="597" t="s">
        <v>231</v>
      </c>
      <c r="E33" s="756">
        <f>(53.46-1.54-1.28*2-1.06*2-0.98*2-1.06)*2.4-1.39+0.2*2.1*2*2+0.19*2</f>
        <v>106.798</v>
      </c>
      <c r="F33" s="756"/>
      <c r="G33" s="734">
        <f>H33+H33*I33/100+J33</f>
        <v>148.13612499999999</v>
      </c>
      <c r="H33" s="722">
        <f>'附件4-8甲供材料清单'!M237</f>
        <v>78.124999999999986</v>
      </c>
      <c r="I33" s="723">
        <v>10.5</v>
      </c>
      <c r="J33" s="723">
        <v>61.808</v>
      </c>
      <c r="K33" s="485">
        <f>E33*$G33</f>
        <v>15820.64187775</v>
      </c>
      <c r="L33" s="603" t="s">
        <v>244</v>
      </c>
      <c r="M33" s="410">
        <f>K33</f>
        <v>15820.64187775</v>
      </c>
      <c r="N33" s="212"/>
      <c r="O33" s="410">
        <f>E33*$H33*(1+$I33/100)</f>
        <v>9219.6710937499975</v>
      </c>
    </row>
    <row r="34" spans="1:15" ht="50.1" customHeight="1">
      <c r="A34" s="198"/>
      <c r="B34" s="457">
        <v>3</v>
      </c>
      <c r="C34" s="472" t="s">
        <v>1042</v>
      </c>
      <c r="D34" s="597" t="s">
        <v>482</v>
      </c>
      <c r="E34" s="756">
        <v>5</v>
      </c>
      <c r="F34" s="756"/>
      <c r="G34" s="734">
        <f>H34+H34*I34/100+J34</f>
        <v>47.300000000000004</v>
      </c>
      <c r="H34" s="722">
        <f>'附件4-8甲供材料清单'!K207</f>
        <v>34</v>
      </c>
      <c r="I34" s="723">
        <v>1</v>
      </c>
      <c r="J34" s="723">
        <v>12.96</v>
      </c>
      <c r="K34" s="485">
        <f>E34*$G34</f>
        <v>236.50000000000003</v>
      </c>
      <c r="L34" s="603" t="s">
        <v>244</v>
      </c>
      <c r="M34" s="410">
        <f>K34</f>
        <v>236.50000000000003</v>
      </c>
      <c r="N34" s="212"/>
      <c r="O34" s="410">
        <f>E34*$H34*(1+$I34/100)</f>
        <v>171.7</v>
      </c>
    </row>
    <row r="35" spans="1:15" s="451" customFormat="1" ht="20.100000000000001" customHeight="1">
      <c r="A35" s="194"/>
      <c r="B35" s="692"/>
      <c r="C35" s="606" t="s">
        <v>547</v>
      </c>
      <c r="D35" s="757"/>
      <c r="E35" s="701"/>
      <c r="F35" s="701"/>
      <c r="G35" s="758"/>
      <c r="H35" s="743"/>
      <c r="I35" s="743"/>
      <c r="J35" s="743"/>
      <c r="K35" s="684" t="e">
        <f>SUM(K8:K34)</f>
        <v>#VALUE!</v>
      </c>
      <c r="L35" s="759"/>
      <c r="M35" s="470">
        <f>SUM(M8:M34)</f>
        <v>27944.072596649999</v>
      </c>
      <c r="N35" s="691"/>
      <c r="O35" s="470">
        <f>SUM(O8:O34)</f>
        <v>15046.219652649997</v>
      </c>
    </row>
    <row r="36" spans="1:15" ht="20.100000000000001" customHeight="1">
      <c r="A36" s="191"/>
      <c r="B36" s="760"/>
      <c r="C36" s="761" t="s">
        <v>548</v>
      </c>
      <c r="D36" s="660"/>
      <c r="E36" s="702"/>
      <c r="F36" s="702"/>
      <c r="G36" s="762"/>
      <c r="H36" s="746"/>
      <c r="I36" s="746"/>
      <c r="J36" s="746"/>
      <c r="K36" s="639"/>
      <c r="L36" s="763"/>
      <c r="M36" s="212"/>
      <c r="N36" s="212"/>
      <c r="O36" s="212"/>
    </row>
    <row r="37" spans="1:15" s="451" customFormat="1" ht="26.25" customHeight="1">
      <c r="A37" s="194"/>
      <c r="B37" s="642" t="s">
        <v>133</v>
      </c>
      <c r="C37" s="636" t="s">
        <v>549</v>
      </c>
      <c r="D37" s="659"/>
      <c r="E37" s="716"/>
      <c r="F37" s="716"/>
      <c r="G37" s="764"/>
      <c r="H37" s="649"/>
      <c r="I37" s="649"/>
      <c r="J37" s="649"/>
      <c r="K37" s="645"/>
      <c r="L37" s="765"/>
      <c r="M37" s="494"/>
      <c r="N37" s="494"/>
      <c r="O37" s="494"/>
    </row>
    <row r="38" spans="1:15" ht="26.25" customHeight="1">
      <c r="A38" s="200"/>
      <c r="B38" s="408" t="s">
        <v>140</v>
      </c>
      <c r="C38" s="407" t="s">
        <v>551</v>
      </c>
      <c r="D38" s="412"/>
      <c r="E38" s="766"/>
      <c r="F38" s="766"/>
      <c r="G38" s="767"/>
      <c r="H38" s="411"/>
      <c r="I38" s="411"/>
      <c r="J38" s="411"/>
      <c r="K38" s="403" t="e">
        <f>K35-K45</f>
        <v>#VALUE!</v>
      </c>
      <c r="L38" s="601"/>
      <c r="M38" s="213"/>
      <c r="N38" s="213"/>
      <c r="O38" s="213"/>
    </row>
    <row r="39" spans="1:15" ht="26.25" customHeight="1">
      <c r="A39" s="200"/>
      <c r="B39" s="408" t="s">
        <v>552</v>
      </c>
      <c r="C39" s="407" t="s">
        <v>553</v>
      </c>
      <c r="D39" s="412"/>
      <c r="E39" s="766"/>
      <c r="F39" s="766"/>
      <c r="G39" s="767">
        <f>'附件4-1套内1'!M317</f>
        <v>6.5000000000000002E-2</v>
      </c>
      <c r="H39" s="411"/>
      <c r="I39" s="411"/>
      <c r="J39" s="411"/>
      <c r="K39" s="403" t="e">
        <f>K38*$G39</f>
        <v>#VALUE!</v>
      </c>
      <c r="L39" s="601"/>
      <c r="M39" s="213"/>
      <c r="N39" s="213"/>
      <c r="O39" s="213"/>
    </row>
    <row r="40" spans="1:15" ht="26.25" customHeight="1">
      <c r="A40" s="200"/>
      <c r="B40" s="408" t="s">
        <v>554</v>
      </c>
      <c r="C40" s="407" t="s">
        <v>555</v>
      </c>
      <c r="D40" s="412"/>
      <c r="E40" s="766"/>
      <c r="F40" s="766"/>
      <c r="G40" s="767">
        <f>'附件4-1套内1'!M318</f>
        <v>0.1</v>
      </c>
      <c r="H40" s="411"/>
      <c r="I40" s="411"/>
      <c r="J40" s="411"/>
      <c r="K40" s="403" t="e">
        <f>K38*$G40</f>
        <v>#VALUE!</v>
      </c>
      <c r="L40" s="601"/>
      <c r="M40" s="213"/>
      <c r="N40" s="213"/>
      <c r="O40" s="213"/>
    </row>
    <row r="41" spans="1:15" ht="26.25" customHeight="1">
      <c r="A41" s="200"/>
      <c r="B41" s="408" t="s">
        <v>556</v>
      </c>
      <c r="C41" s="407" t="s">
        <v>1854</v>
      </c>
      <c r="D41" s="412"/>
      <c r="E41" s="766"/>
      <c r="F41" s="766"/>
      <c r="G41" s="767">
        <f>'附件4-1套内1'!M319</f>
        <v>0</v>
      </c>
      <c r="H41" s="411"/>
      <c r="I41" s="411"/>
      <c r="J41" s="411"/>
      <c r="K41" s="403" t="e">
        <f>K38*$G41</f>
        <v>#VALUE!</v>
      </c>
      <c r="L41" s="601"/>
      <c r="M41" s="213"/>
      <c r="N41" s="213"/>
      <c r="O41" s="213"/>
    </row>
    <row r="42" spans="1:15" ht="26.25" customHeight="1">
      <c r="A42" s="200"/>
      <c r="B42" s="408" t="s">
        <v>558</v>
      </c>
      <c r="C42" s="407" t="s">
        <v>1043</v>
      </c>
      <c r="D42" s="412"/>
      <c r="E42" s="766"/>
      <c r="F42" s="766"/>
      <c r="G42" s="768">
        <f>'附件4-1套内1'!M320</f>
        <v>3.4770000000000002E-2</v>
      </c>
      <c r="H42" s="411"/>
      <c r="I42" s="411"/>
      <c r="J42" s="411"/>
      <c r="K42" s="403" t="e">
        <f>SUM(K38:K41)*$G42</f>
        <v>#VALUE!</v>
      </c>
      <c r="L42" s="601"/>
      <c r="M42" s="213"/>
      <c r="N42" s="213"/>
      <c r="O42" s="213"/>
    </row>
    <row r="43" spans="1:15" ht="26.25" customHeight="1">
      <c r="A43" s="200"/>
      <c r="B43" s="408" t="s">
        <v>560</v>
      </c>
      <c r="C43" s="407" t="s">
        <v>1044</v>
      </c>
      <c r="D43" s="412"/>
      <c r="E43" s="766"/>
      <c r="F43" s="766"/>
      <c r="G43" s="767"/>
      <c r="H43" s="411"/>
      <c r="I43" s="411"/>
      <c r="J43" s="411"/>
      <c r="K43" s="403" t="e">
        <f>SUM(K38:K42)</f>
        <v>#VALUE!</v>
      </c>
      <c r="L43" s="601"/>
      <c r="M43" s="213"/>
      <c r="N43" s="213"/>
      <c r="O43" s="213"/>
    </row>
    <row r="44" spans="1:15" s="451" customFormat="1" ht="26.25" customHeight="1">
      <c r="A44" s="495"/>
      <c r="B44" s="642" t="s">
        <v>246</v>
      </c>
      <c r="C44" s="636" t="s">
        <v>562</v>
      </c>
      <c r="D44" s="659"/>
      <c r="E44" s="769"/>
      <c r="F44" s="769"/>
      <c r="G44" s="764"/>
      <c r="H44" s="649"/>
      <c r="I44" s="649"/>
      <c r="J44" s="649"/>
      <c r="K44" s="645"/>
      <c r="L44" s="765"/>
      <c r="M44" s="496"/>
      <c r="N44" s="496"/>
      <c r="O44" s="496"/>
    </row>
    <row r="45" spans="1:15" ht="26.25" customHeight="1">
      <c r="A45" s="200"/>
      <c r="B45" s="408" t="s">
        <v>563</v>
      </c>
      <c r="C45" s="407" t="s">
        <v>551</v>
      </c>
      <c r="D45" s="412"/>
      <c r="E45" s="766"/>
      <c r="F45" s="766"/>
      <c r="G45" s="767"/>
      <c r="H45" s="411"/>
      <c r="I45" s="411"/>
      <c r="J45" s="411"/>
      <c r="K45" s="403">
        <f>M35</f>
        <v>27944.072596649999</v>
      </c>
      <c r="L45" s="601"/>
      <c r="M45" s="213"/>
      <c r="N45" s="213"/>
      <c r="O45" s="213"/>
    </row>
    <row r="46" spans="1:15" ht="26.25" customHeight="1">
      <c r="A46" s="200"/>
      <c r="B46" s="408" t="s">
        <v>210</v>
      </c>
      <c r="C46" s="407" t="s">
        <v>1045</v>
      </c>
      <c r="D46" s="412"/>
      <c r="E46" s="766"/>
      <c r="F46" s="766"/>
      <c r="G46" s="767"/>
      <c r="H46" s="411"/>
      <c r="I46" s="411"/>
      <c r="J46" s="411"/>
      <c r="K46" s="403">
        <f>O35</f>
        <v>15046.219652649997</v>
      </c>
      <c r="L46" s="601"/>
      <c r="M46" s="213"/>
      <c r="N46" s="213"/>
      <c r="O46" s="213"/>
    </row>
    <row r="47" spans="1:15" ht="26.25" customHeight="1">
      <c r="A47" s="200"/>
      <c r="B47" s="408" t="s">
        <v>566</v>
      </c>
      <c r="C47" s="407" t="s">
        <v>567</v>
      </c>
      <c r="D47" s="412"/>
      <c r="E47" s="766"/>
      <c r="F47" s="766"/>
      <c r="G47" s="767">
        <f>'附件4-1套内1'!M325</f>
        <v>0.1</v>
      </c>
      <c r="H47" s="411"/>
      <c r="I47" s="411"/>
      <c r="J47" s="411"/>
      <c r="K47" s="403">
        <f>(K45-K46)*$G47</f>
        <v>1289.7852944000003</v>
      </c>
      <c r="L47" s="601"/>
      <c r="M47" s="213"/>
      <c r="N47" s="213"/>
      <c r="O47" s="213"/>
    </row>
    <row r="48" spans="1:15" ht="26.25" customHeight="1">
      <c r="A48" s="200"/>
      <c r="B48" s="607" t="s">
        <v>568</v>
      </c>
      <c r="C48" s="608" t="s">
        <v>1046</v>
      </c>
      <c r="D48" s="412"/>
      <c r="E48" s="766"/>
      <c r="F48" s="766"/>
      <c r="G48" s="767">
        <f>'附件4-1套内1'!M326</f>
        <v>0.1</v>
      </c>
      <c r="H48" s="411"/>
      <c r="I48" s="411"/>
      <c r="J48" s="411"/>
      <c r="K48" s="403">
        <f>K46*$G48</f>
        <v>1504.6219652649997</v>
      </c>
      <c r="L48" s="601"/>
      <c r="M48" s="213"/>
      <c r="N48" s="213"/>
      <c r="O48" s="213"/>
    </row>
    <row r="49" spans="1:15" ht="26.25" customHeight="1">
      <c r="A49" s="200"/>
      <c r="B49" s="408" t="s">
        <v>570</v>
      </c>
      <c r="C49" s="407" t="s">
        <v>571</v>
      </c>
      <c r="D49" s="412"/>
      <c r="E49" s="766"/>
      <c r="F49" s="766"/>
      <c r="G49" s="767">
        <f>'附件4-1套内1'!M327</f>
        <v>0.1</v>
      </c>
      <c r="H49" s="411"/>
      <c r="I49" s="411"/>
      <c r="J49" s="411"/>
      <c r="K49" s="403">
        <f>(K45-K46)*$G49</f>
        <v>1289.7852944000003</v>
      </c>
      <c r="L49" s="601"/>
      <c r="M49" s="213"/>
      <c r="N49" s="213"/>
      <c r="O49" s="213"/>
    </row>
    <row r="50" spans="1:15" ht="26.25" customHeight="1">
      <c r="A50" s="200"/>
      <c r="B50" s="408" t="s">
        <v>573</v>
      </c>
      <c r="C50" s="407" t="s">
        <v>1855</v>
      </c>
      <c r="D50" s="412"/>
      <c r="E50" s="766"/>
      <c r="F50" s="766"/>
      <c r="G50" s="767">
        <f>G41</f>
        <v>0</v>
      </c>
      <c r="H50" s="411"/>
      <c r="I50" s="411"/>
      <c r="J50" s="411"/>
      <c r="K50" s="403">
        <f>K45*$G50</f>
        <v>0</v>
      </c>
      <c r="L50" s="601"/>
      <c r="M50" s="213"/>
      <c r="N50" s="213"/>
      <c r="O50" s="213"/>
    </row>
    <row r="51" spans="1:15" ht="26.25" customHeight="1">
      <c r="A51" s="200"/>
      <c r="B51" s="408" t="s">
        <v>575</v>
      </c>
      <c r="C51" s="407" t="s">
        <v>576</v>
      </c>
      <c r="D51" s="412"/>
      <c r="E51" s="766"/>
      <c r="F51" s="766"/>
      <c r="G51" s="768">
        <f>G42</f>
        <v>3.4770000000000002E-2</v>
      </c>
      <c r="H51" s="411"/>
      <c r="I51" s="411"/>
      <c r="J51" s="411"/>
      <c r="K51" s="403">
        <f>(SUM(K45:K50)-K46)*$G51</f>
        <v>1113.6227792903601</v>
      </c>
      <c r="L51" s="601"/>
      <c r="M51" s="213"/>
      <c r="N51" s="213"/>
      <c r="O51" s="213"/>
    </row>
    <row r="52" spans="1:15" ht="26.25" customHeight="1">
      <c r="A52" s="200"/>
      <c r="B52" s="408" t="s">
        <v>577</v>
      </c>
      <c r="C52" s="407" t="s">
        <v>578</v>
      </c>
      <c r="D52" s="412"/>
      <c r="E52" s="766"/>
      <c r="F52" s="766"/>
      <c r="G52" s="767"/>
      <c r="H52" s="411"/>
      <c r="I52" s="411"/>
      <c r="J52" s="411"/>
      <c r="K52" s="403">
        <f>SUM(K45:K51)-K46</f>
        <v>33141.887930005345</v>
      </c>
      <c r="L52" s="601"/>
      <c r="M52" s="213"/>
      <c r="N52" s="213"/>
      <c r="O52" s="213"/>
    </row>
    <row r="53" spans="1:15" s="451" customFormat="1" ht="26.25" customHeight="1">
      <c r="A53" s="495"/>
      <c r="B53" s="692" t="s">
        <v>136</v>
      </c>
      <c r="C53" s="413" t="s">
        <v>807</v>
      </c>
      <c r="D53" s="757"/>
      <c r="E53" s="770"/>
      <c r="F53" s="770"/>
      <c r="G53" s="771"/>
      <c r="H53" s="743"/>
      <c r="I53" s="743"/>
      <c r="J53" s="743"/>
      <c r="K53" s="684" t="e">
        <f>K43+K52</f>
        <v>#VALUE!</v>
      </c>
      <c r="L53" s="759"/>
      <c r="M53" s="496"/>
      <c r="N53" s="496"/>
      <c r="O53" s="496"/>
    </row>
    <row r="54" spans="1:15">
      <c r="H54" s="740"/>
      <c r="I54" s="740"/>
      <c r="J54" s="740"/>
      <c r="K54" s="497"/>
    </row>
    <row r="55" spans="1:15">
      <c r="H55" s="740"/>
      <c r="I55" s="740"/>
      <c r="J55" s="740"/>
      <c r="K55" s="497"/>
    </row>
    <row r="56" spans="1:15">
      <c r="H56" s="740"/>
      <c r="I56" s="740"/>
      <c r="J56" s="740"/>
      <c r="K56" s="497"/>
    </row>
    <row r="57" spans="1:15">
      <c r="H57" s="740"/>
      <c r="I57" s="740"/>
      <c r="J57" s="740"/>
      <c r="K57" s="497"/>
    </row>
    <row r="58" spans="1:15">
      <c r="H58" s="740"/>
      <c r="I58" s="740"/>
      <c r="J58" s="740"/>
      <c r="K58" s="497"/>
    </row>
    <row r="59" spans="1:15">
      <c r="A59" s="217"/>
      <c r="B59" s="498"/>
      <c r="C59" s="499"/>
      <c r="D59" s="498"/>
      <c r="E59" s="742"/>
      <c r="F59" s="742"/>
      <c r="G59" s="741"/>
      <c r="H59" s="740"/>
      <c r="I59" s="740"/>
      <c r="J59" s="740"/>
      <c r="K59" s="497"/>
      <c r="M59" s="184"/>
      <c r="N59" s="184"/>
      <c r="O59" s="184"/>
    </row>
    <row r="60" spans="1:15">
      <c r="A60" s="217"/>
      <c r="B60" s="498"/>
      <c r="C60" s="499"/>
      <c r="D60" s="498"/>
      <c r="E60" s="742"/>
      <c r="F60" s="742"/>
      <c r="G60" s="741"/>
      <c r="H60" s="740"/>
      <c r="I60" s="740"/>
      <c r="J60" s="740"/>
      <c r="K60" s="497"/>
      <c r="M60" s="184"/>
      <c r="N60" s="184"/>
      <c r="O60" s="184"/>
    </row>
    <row r="61" spans="1:15">
      <c r="A61" s="217"/>
      <c r="B61" s="498"/>
      <c r="C61" s="499"/>
      <c r="D61" s="498"/>
      <c r="E61" s="742"/>
      <c r="F61" s="742"/>
      <c r="G61" s="741"/>
      <c r="H61" s="740"/>
      <c r="I61" s="740"/>
      <c r="J61" s="740"/>
      <c r="K61" s="497"/>
      <c r="M61" s="184"/>
      <c r="N61" s="184"/>
      <c r="O61" s="184"/>
    </row>
    <row r="62" spans="1:15">
      <c r="A62" s="217"/>
      <c r="B62" s="498"/>
      <c r="C62" s="499"/>
      <c r="D62" s="498"/>
      <c r="E62" s="742"/>
      <c r="F62" s="742"/>
      <c r="G62" s="741"/>
      <c r="H62" s="740"/>
      <c r="I62" s="740"/>
      <c r="J62" s="740"/>
      <c r="K62" s="497"/>
      <c r="M62" s="184"/>
      <c r="N62" s="184"/>
      <c r="O62" s="184"/>
    </row>
    <row r="63" spans="1:15">
      <c r="A63" s="217"/>
      <c r="B63" s="498"/>
      <c r="C63" s="499"/>
      <c r="D63" s="498"/>
      <c r="E63" s="742"/>
      <c r="F63" s="742"/>
      <c r="G63" s="741"/>
      <c r="H63" s="740"/>
      <c r="I63" s="740"/>
      <c r="J63" s="740"/>
      <c r="K63" s="497"/>
      <c r="M63" s="184"/>
      <c r="N63" s="184"/>
      <c r="O63" s="184"/>
    </row>
    <row r="64" spans="1:15">
      <c r="A64" s="217"/>
      <c r="B64" s="498"/>
      <c r="C64" s="499"/>
      <c r="D64" s="498"/>
      <c r="E64" s="742"/>
      <c r="F64" s="742"/>
      <c r="G64" s="741"/>
      <c r="H64" s="740"/>
      <c r="I64" s="740"/>
      <c r="J64" s="740"/>
      <c r="K64" s="497"/>
      <c r="M64" s="184"/>
      <c r="N64" s="184"/>
      <c r="O64" s="184"/>
    </row>
    <row r="65" spans="1:15">
      <c r="A65" s="217"/>
      <c r="B65" s="498"/>
      <c r="C65" s="499"/>
      <c r="D65" s="498"/>
      <c r="E65" s="742"/>
      <c r="F65" s="742"/>
      <c r="G65" s="741"/>
      <c r="H65" s="740"/>
      <c r="I65" s="740"/>
      <c r="J65" s="740"/>
      <c r="K65" s="497"/>
      <c r="M65" s="184"/>
      <c r="N65" s="184"/>
      <c r="O65" s="184"/>
    </row>
    <row r="66" spans="1:15">
      <c r="A66" s="217"/>
      <c r="B66" s="498"/>
      <c r="C66" s="499"/>
      <c r="D66" s="498"/>
      <c r="E66" s="742"/>
      <c r="F66" s="742"/>
      <c r="G66" s="741"/>
      <c r="H66" s="740"/>
      <c r="I66" s="740"/>
      <c r="J66" s="740"/>
      <c r="K66" s="497"/>
      <c r="M66" s="184"/>
      <c r="N66" s="184"/>
      <c r="O66" s="184"/>
    </row>
    <row r="67" spans="1:15">
      <c r="A67" s="217"/>
      <c r="B67" s="498"/>
      <c r="C67" s="499"/>
      <c r="D67" s="498"/>
      <c r="E67" s="742"/>
      <c r="F67" s="742"/>
      <c r="G67" s="741"/>
      <c r="H67" s="740"/>
      <c r="I67" s="740"/>
      <c r="J67" s="740"/>
      <c r="K67" s="497"/>
      <c r="M67" s="184"/>
      <c r="N67" s="184"/>
      <c r="O67" s="184"/>
    </row>
    <row r="68" spans="1:15">
      <c r="A68" s="217"/>
      <c r="B68" s="498"/>
      <c r="C68" s="499"/>
      <c r="D68" s="498"/>
      <c r="E68" s="742"/>
      <c r="F68" s="742"/>
      <c r="G68" s="741"/>
      <c r="H68" s="740"/>
      <c r="I68" s="740"/>
      <c r="J68" s="740"/>
      <c r="K68" s="497"/>
      <c r="M68" s="184"/>
      <c r="N68" s="184"/>
      <c r="O68" s="184"/>
    </row>
    <row r="69" spans="1:15">
      <c r="A69" s="217"/>
      <c r="B69" s="498"/>
      <c r="C69" s="499"/>
      <c r="D69" s="498"/>
      <c r="E69" s="742"/>
      <c r="F69" s="742"/>
      <c r="G69" s="741"/>
      <c r="H69" s="740"/>
      <c r="I69" s="740"/>
      <c r="J69" s="740"/>
      <c r="K69" s="497"/>
      <c r="M69" s="184"/>
      <c r="N69" s="184"/>
      <c r="O69" s="184"/>
    </row>
    <row r="70" spans="1:15">
      <c r="A70" s="217"/>
      <c r="B70" s="498"/>
      <c r="C70" s="499"/>
      <c r="D70" s="498"/>
      <c r="E70" s="742"/>
      <c r="F70" s="742"/>
      <c r="G70" s="741"/>
      <c r="H70" s="740"/>
      <c r="I70" s="740"/>
      <c r="J70" s="740"/>
      <c r="K70" s="497"/>
      <c r="M70" s="184"/>
      <c r="N70" s="184"/>
      <c r="O70" s="184"/>
    </row>
    <row r="71" spans="1:15">
      <c r="A71" s="217"/>
      <c r="B71" s="498"/>
      <c r="C71" s="499"/>
      <c r="D71" s="498"/>
      <c r="E71" s="742"/>
      <c r="F71" s="742"/>
      <c r="G71" s="741"/>
      <c r="H71" s="740"/>
      <c r="I71" s="740"/>
      <c r="J71" s="740"/>
      <c r="K71" s="497"/>
      <c r="M71" s="184"/>
      <c r="N71" s="184"/>
      <c r="O71" s="184"/>
    </row>
    <row r="72" spans="1:15">
      <c r="A72" s="217"/>
      <c r="B72" s="498"/>
      <c r="C72" s="499"/>
      <c r="D72" s="498"/>
      <c r="E72" s="742"/>
      <c r="F72" s="742"/>
      <c r="G72" s="741"/>
      <c r="H72" s="740"/>
      <c r="I72" s="740"/>
      <c r="J72" s="740"/>
      <c r="K72" s="497"/>
      <c r="M72" s="184"/>
      <c r="N72" s="184"/>
      <c r="O72" s="184"/>
    </row>
    <row r="73" spans="1:15">
      <c r="A73" s="217"/>
      <c r="B73" s="498"/>
      <c r="C73" s="499"/>
      <c r="D73" s="498"/>
      <c r="E73" s="742"/>
      <c r="F73" s="742"/>
      <c r="G73" s="741"/>
      <c r="H73" s="740"/>
      <c r="I73" s="740"/>
      <c r="J73" s="740"/>
      <c r="K73" s="497"/>
      <c r="M73" s="184"/>
      <c r="N73" s="184"/>
      <c r="O73" s="184"/>
    </row>
    <row r="74" spans="1:15">
      <c r="A74" s="217"/>
      <c r="B74" s="498"/>
      <c r="C74" s="499"/>
      <c r="D74" s="498"/>
      <c r="E74" s="742"/>
      <c r="F74" s="742"/>
      <c r="G74" s="741"/>
      <c r="H74" s="740"/>
      <c r="I74" s="740"/>
      <c r="J74" s="740"/>
      <c r="K74" s="497"/>
      <c r="M74" s="184"/>
      <c r="N74" s="184"/>
      <c r="O74" s="184"/>
    </row>
    <row r="75" spans="1:15">
      <c r="A75" s="217"/>
      <c r="B75" s="498"/>
      <c r="C75" s="499"/>
      <c r="D75" s="498"/>
      <c r="E75" s="742"/>
      <c r="F75" s="742"/>
      <c r="G75" s="741"/>
      <c r="H75" s="740"/>
      <c r="I75" s="740"/>
      <c r="J75" s="740"/>
      <c r="K75" s="497"/>
      <c r="M75" s="184"/>
      <c r="N75" s="184"/>
      <c r="O75" s="184"/>
    </row>
    <row r="76" spans="1:15">
      <c r="A76" s="217"/>
      <c r="B76" s="498"/>
      <c r="C76" s="499"/>
      <c r="D76" s="498"/>
      <c r="E76" s="742"/>
      <c r="F76" s="742"/>
      <c r="G76" s="741"/>
      <c r="H76" s="740"/>
      <c r="I76" s="740"/>
      <c r="J76" s="740"/>
      <c r="K76" s="497"/>
      <c r="M76" s="184"/>
      <c r="N76" s="184"/>
      <c r="O76" s="184"/>
    </row>
    <row r="77" spans="1:15">
      <c r="A77" s="217"/>
      <c r="B77" s="498"/>
      <c r="C77" s="499"/>
      <c r="D77" s="498"/>
      <c r="E77" s="742"/>
      <c r="F77" s="742"/>
      <c r="G77" s="741"/>
      <c r="H77" s="740"/>
      <c r="I77" s="740"/>
      <c r="J77" s="740"/>
      <c r="K77" s="497"/>
      <c r="M77" s="184"/>
      <c r="N77" s="184"/>
      <c r="O77" s="184"/>
    </row>
    <row r="78" spans="1:15">
      <c r="A78" s="217"/>
      <c r="B78" s="498"/>
      <c r="C78" s="499"/>
      <c r="D78" s="498"/>
      <c r="E78" s="742"/>
      <c r="F78" s="742"/>
      <c r="G78" s="741"/>
      <c r="H78" s="740"/>
      <c r="I78" s="740"/>
      <c r="J78" s="740"/>
      <c r="K78" s="497"/>
      <c r="M78" s="184"/>
      <c r="N78" s="184"/>
      <c r="O78" s="184"/>
    </row>
    <row r="79" spans="1:15">
      <c r="A79" s="217"/>
      <c r="B79" s="498"/>
      <c r="C79" s="499"/>
      <c r="D79" s="498"/>
      <c r="E79" s="742"/>
      <c r="F79" s="742"/>
      <c r="G79" s="741"/>
      <c r="H79" s="740"/>
      <c r="I79" s="740"/>
      <c r="J79" s="740"/>
      <c r="K79" s="497"/>
      <c r="M79" s="184"/>
      <c r="N79" s="184"/>
      <c r="O79" s="184"/>
    </row>
    <row r="80" spans="1:15">
      <c r="A80" s="217"/>
      <c r="B80" s="498"/>
      <c r="C80" s="499"/>
      <c r="D80" s="498"/>
      <c r="E80" s="742"/>
      <c r="F80" s="742"/>
      <c r="G80" s="741"/>
      <c r="H80" s="740"/>
      <c r="I80" s="740"/>
      <c r="J80" s="740"/>
      <c r="K80" s="497"/>
      <c r="M80" s="184"/>
      <c r="N80" s="184"/>
      <c r="O80" s="184"/>
    </row>
    <row r="81" spans="1:15">
      <c r="A81" s="217"/>
      <c r="B81" s="498"/>
      <c r="C81" s="499"/>
      <c r="D81" s="498"/>
      <c r="E81" s="742"/>
      <c r="F81" s="742"/>
      <c r="G81" s="741"/>
      <c r="H81" s="740"/>
      <c r="I81" s="740"/>
      <c r="J81" s="740"/>
      <c r="K81" s="497"/>
      <c r="M81" s="184"/>
      <c r="N81" s="184"/>
      <c r="O81" s="184"/>
    </row>
    <row r="82" spans="1:15">
      <c r="A82" s="217"/>
      <c r="B82" s="498"/>
      <c r="C82" s="499"/>
      <c r="D82" s="498"/>
      <c r="E82" s="742"/>
      <c r="F82" s="742"/>
      <c r="G82" s="741"/>
      <c r="H82" s="740"/>
      <c r="I82" s="740"/>
      <c r="J82" s="740"/>
      <c r="K82" s="497"/>
      <c r="M82" s="184"/>
      <c r="N82" s="184"/>
      <c r="O82" s="184"/>
    </row>
    <row r="83" spans="1:15">
      <c r="A83" s="217"/>
      <c r="B83" s="498"/>
      <c r="C83" s="499"/>
      <c r="D83" s="498"/>
      <c r="E83" s="742"/>
      <c r="F83" s="742"/>
      <c r="G83" s="741"/>
      <c r="H83" s="740"/>
      <c r="I83" s="740"/>
      <c r="J83" s="740"/>
      <c r="K83" s="497"/>
      <c r="M83" s="184"/>
      <c r="N83" s="184"/>
      <c r="O83" s="184"/>
    </row>
    <row r="84" spans="1:15">
      <c r="A84" s="217"/>
      <c r="B84" s="498"/>
      <c r="C84" s="499"/>
      <c r="D84" s="498"/>
      <c r="E84" s="742"/>
      <c r="F84" s="742"/>
      <c r="G84" s="741"/>
      <c r="H84" s="740"/>
      <c r="I84" s="740"/>
      <c r="J84" s="740"/>
      <c r="K84" s="497"/>
      <c r="M84" s="184"/>
      <c r="N84" s="184"/>
      <c r="O84" s="184"/>
    </row>
    <row r="85" spans="1:15">
      <c r="A85" s="217"/>
      <c r="B85" s="498"/>
      <c r="C85" s="499"/>
      <c r="D85" s="498"/>
      <c r="E85" s="742"/>
      <c r="F85" s="742"/>
      <c r="G85" s="741"/>
      <c r="H85" s="740"/>
      <c r="I85" s="740"/>
      <c r="J85" s="740"/>
      <c r="K85" s="497"/>
      <c r="M85" s="184"/>
      <c r="N85" s="184"/>
      <c r="O85" s="184"/>
    </row>
    <row r="86" spans="1:15">
      <c r="A86" s="217"/>
      <c r="B86" s="498"/>
      <c r="C86" s="499"/>
      <c r="D86" s="498"/>
      <c r="E86" s="742"/>
      <c r="F86" s="742"/>
      <c r="G86" s="741"/>
      <c r="H86" s="740"/>
      <c r="I86" s="740"/>
      <c r="J86" s="740"/>
      <c r="K86" s="497"/>
      <c r="M86" s="184"/>
      <c r="N86" s="184"/>
      <c r="O86" s="184"/>
    </row>
    <row r="87" spans="1:15">
      <c r="A87" s="217"/>
      <c r="B87" s="498"/>
      <c r="C87" s="499"/>
      <c r="D87" s="498"/>
      <c r="E87" s="742"/>
      <c r="F87" s="742"/>
      <c r="G87" s="741"/>
      <c r="H87" s="740"/>
      <c r="I87" s="740"/>
      <c r="J87" s="740"/>
      <c r="K87" s="497"/>
      <c r="M87" s="184"/>
      <c r="N87" s="184"/>
      <c r="O87" s="184"/>
    </row>
    <row r="88" spans="1:15">
      <c r="A88" s="217"/>
      <c r="B88" s="498"/>
      <c r="C88" s="499"/>
      <c r="D88" s="498"/>
      <c r="E88" s="742"/>
      <c r="F88" s="742"/>
      <c r="G88" s="741"/>
      <c r="H88" s="740"/>
      <c r="I88" s="740"/>
      <c r="J88" s="740"/>
      <c r="K88" s="497"/>
      <c r="M88" s="184"/>
      <c r="N88" s="184"/>
      <c r="O88" s="184"/>
    </row>
    <row r="89" spans="1:15">
      <c r="A89" s="217"/>
      <c r="B89" s="498"/>
      <c r="C89" s="499"/>
      <c r="D89" s="498"/>
      <c r="E89" s="742"/>
      <c r="F89" s="742"/>
      <c r="G89" s="741"/>
      <c r="H89" s="740"/>
      <c r="I89" s="740"/>
      <c r="J89" s="740"/>
      <c r="K89" s="497"/>
      <c r="M89" s="184"/>
      <c r="N89" s="184"/>
      <c r="O89" s="184"/>
    </row>
    <row r="90" spans="1:15">
      <c r="A90" s="217"/>
      <c r="B90" s="498"/>
      <c r="C90" s="499"/>
      <c r="D90" s="498"/>
      <c r="E90" s="742"/>
      <c r="F90" s="742"/>
      <c r="G90" s="741"/>
      <c r="H90" s="740"/>
      <c r="I90" s="740"/>
      <c r="J90" s="740"/>
      <c r="K90" s="497"/>
      <c r="M90" s="184"/>
      <c r="N90" s="184"/>
      <c r="O90" s="184"/>
    </row>
    <row r="91" spans="1:15">
      <c r="A91" s="217"/>
      <c r="B91" s="498"/>
      <c r="C91" s="499"/>
      <c r="D91" s="498"/>
      <c r="E91" s="742"/>
      <c r="F91" s="742"/>
      <c r="G91" s="741"/>
      <c r="H91" s="740"/>
      <c r="I91" s="740"/>
      <c r="J91" s="740"/>
      <c r="K91" s="497"/>
      <c r="M91" s="184"/>
      <c r="N91" s="184"/>
      <c r="O91" s="184"/>
    </row>
    <row r="92" spans="1:15">
      <c r="A92" s="217"/>
      <c r="B92" s="498"/>
      <c r="C92" s="499"/>
      <c r="D92" s="498"/>
      <c r="E92" s="742"/>
      <c r="F92" s="742"/>
      <c r="G92" s="741"/>
      <c r="H92" s="740"/>
      <c r="I92" s="740"/>
      <c r="J92" s="740"/>
      <c r="K92" s="497"/>
      <c r="M92" s="184"/>
      <c r="N92" s="184"/>
      <c r="O92" s="184"/>
    </row>
    <row r="93" spans="1:15">
      <c r="A93" s="217"/>
      <c r="B93" s="498"/>
      <c r="C93" s="499"/>
      <c r="D93" s="498"/>
      <c r="E93" s="742"/>
      <c r="F93" s="742"/>
      <c r="G93" s="741"/>
      <c r="H93" s="740"/>
      <c r="I93" s="740"/>
      <c r="J93" s="740"/>
      <c r="K93" s="497"/>
      <c r="M93" s="184"/>
      <c r="N93" s="184"/>
      <c r="O93" s="184"/>
    </row>
  </sheetData>
  <sheetProtection formatCells="0" formatColumns="0" formatRows="0" insertRows="0" autoFilter="0"/>
  <protectedRanges>
    <protectedRange sqref="A32:XFD34 A31:D31 M31:XFD31 K31" name="区域4" securityDescriptor=""/>
    <protectedRange sqref="E8:F8 E10:F14 E16:F20 E22:F30 E32:F34" name="区域3" securityDescriptor=""/>
    <protectedRange sqref="B2" name="区域2" securityDescriptor=""/>
    <protectedRange sqref="B1" name="区域1" securityDescriptor=""/>
    <protectedRange sqref="E3:F3" name="区域3_1_1" securityDescriptor=""/>
    <protectedRange sqref="E4:F5" name="区域3_2_1" securityDescriptor=""/>
    <protectedRange sqref="E6:F6" name="区域1_1_1_1" securityDescriptor=""/>
    <protectedRange sqref="K4:K5" name="区域1_1_3" securityDescriptor=""/>
    <protectedRange sqref="M6:O6 N5" name="区域1_1_2_1" securityDescriptor=""/>
  </protectedRanges>
  <autoFilter ref="A6:O53"/>
  <mergeCells count="14">
    <mergeCell ref="B1:C1"/>
    <mergeCell ref="B2:L2"/>
    <mergeCell ref="H3:J3"/>
    <mergeCell ref="M3:O3"/>
    <mergeCell ref="B3:B6"/>
    <mergeCell ref="C3:C6"/>
    <mergeCell ref="D3:D6"/>
    <mergeCell ref="G3:G5"/>
    <mergeCell ref="H4:H5"/>
    <mergeCell ref="I4:I5"/>
    <mergeCell ref="J4:J5"/>
    <mergeCell ref="L3:L5"/>
    <mergeCell ref="K1:L1"/>
    <mergeCell ref="F3:F6"/>
  </mergeCells>
  <phoneticPr fontId="7" type="noConversion"/>
  <conditionalFormatting sqref="G8:H8 J8 J16:J19 G16:H19 J13 G13:H13 G22:H30 J22:J30 J10:J11 G10:H11">
    <cfRule type="cellIs" dxfId="23" priority="1" stopIfTrue="1" operator="equal">
      <formula>0</formula>
    </cfRule>
  </conditionalFormatting>
  <conditionalFormatting sqref="G14:H14 J14">
    <cfRule type="cellIs" dxfId="22" priority="2" stopIfTrue="1" operator="equal">
      <formula>0</formula>
    </cfRule>
  </conditionalFormatting>
  <conditionalFormatting sqref="G36">
    <cfRule type="cellIs" dxfId="21" priority="3" stopIfTrue="1" operator="equal">
      <formula>0</formula>
    </cfRule>
  </conditionalFormatting>
  <conditionalFormatting sqref="G12:H12 J12">
    <cfRule type="cellIs" dxfId="20" priority="4" stopIfTrue="1" operator="equal">
      <formula>0</formula>
    </cfRule>
  </conditionalFormatting>
  <conditionalFormatting sqref="J20 G20:H20">
    <cfRule type="cellIs" dxfId="19" priority="5" stopIfTrue="1" operator="equal">
      <formula>0</formula>
    </cfRule>
  </conditionalFormatting>
  <conditionalFormatting sqref="H32:H34">
    <cfRule type="cellIs" dxfId="18" priority="6" stopIfTrue="1" operator="equal">
      <formula>0</formula>
    </cfRule>
  </conditionalFormatting>
  <conditionalFormatting sqref="G32:G34">
    <cfRule type="cellIs" dxfId="17" priority="7" stopIfTrue="1" operator="equal">
      <formula>0</formula>
    </cfRule>
  </conditionalFormatting>
  <printOptions horizontalCentered="1"/>
  <pageMargins left="0.39370078740157483" right="0.19685039370078741" top="0.39370078740157483" bottom="0.39370078740157483" header="0.19685039370078741" footer="0.19685039370078741"/>
  <pageSetup paperSize="9" scale="75" fitToHeight="0" orientation="portrait" blackAndWhite="1" r:id="rId1"/>
  <headerFooter alignWithMargins="0">
    <oddFooter>&amp;C第 &amp;P 页，共 &amp;N 页</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13"/>
    <pageSetUpPr fitToPage="1"/>
  </sheetPr>
  <dimension ref="A1:K34"/>
  <sheetViews>
    <sheetView view="pageBreakPreview" zoomScaleSheetLayoutView="100" workbookViewId="0">
      <pane ySplit="5" topLeftCell="A6" activePane="bottomLeft" state="frozen"/>
      <selection activeCell="J6" sqref="J6"/>
      <selection pane="bottomLeft" activeCell="M28" sqref="M28"/>
    </sheetView>
  </sheetViews>
  <sheetFormatPr defaultColWidth="9" defaultRowHeight="11.25"/>
  <cols>
    <col min="1" max="1" width="5" style="449" bestFit="1" customWidth="1"/>
    <col min="2" max="2" width="31.75" style="449" customWidth="1"/>
    <col min="3" max="3" width="4.125" style="449" bestFit="1" customWidth="1"/>
    <col min="4" max="4" width="6.125" style="565" bestFit="1" customWidth="1"/>
    <col min="5" max="5" width="10.125" style="565" customWidth="1"/>
    <col min="6" max="6" width="8.875" style="565" bestFit="1" customWidth="1"/>
    <col min="7" max="8" width="8.375" style="565" bestFit="1" customWidth="1"/>
    <col min="9" max="9" width="12.5" style="449" bestFit="1" customWidth="1"/>
    <col min="10" max="10" width="13.625" style="449" customWidth="1"/>
    <col min="11" max="11" width="13" style="449" customWidth="1"/>
    <col min="12" max="16384" width="9" style="449"/>
  </cols>
  <sheetData>
    <row r="1" spans="1:11">
      <c r="A1" s="846" t="s">
        <v>1047</v>
      </c>
      <c r="B1" s="846"/>
      <c r="I1" s="931" t="s">
        <v>196</v>
      </c>
      <c r="J1" s="932"/>
    </row>
    <row r="2" spans="1:11" ht="69.75" customHeight="1">
      <c r="A2" s="852" t="s">
        <v>1875</v>
      </c>
      <c r="B2" s="922"/>
      <c r="C2" s="922"/>
      <c r="D2" s="922"/>
      <c r="E2" s="922"/>
      <c r="F2" s="922"/>
      <c r="G2" s="922"/>
      <c r="H2" s="922"/>
      <c r="I2" s="922"/>
      <c r="J2" s="922"/>
    </row>
    <row r="3" spans="1:11" s="452" customFormat="1">
      <c r="A3" s="926" t="s">
        <v>54</v>
      </c>
      <c r="B3" s="861" t="s">
        <v>197</v>
      </c>
      <c r="C3" s="926" t="s">
        <v>198</v>
      </c>
      <c r="D3" s="598" t="s">
        <v>1048</v>
      </c>
      <c r="E3" s="926" t="s">
        <v>200</v>
      </c>
      <c r="F3" s="857" t="s">
        <v>592</v>
      </c>
      <c r="G3" s="857"/>
      <c r="H3" s="857"/>
      <c r="I3" s="687" t="s">
        <v>1049</v>
      </c>
      <c r="J3" s="861" t="s">
        <v>57</v>
      </c>
    </row>
    <row r="4" spans="1:11" s="452" customFormat="1" ht="22.5">
      <c r="A4" s="926"/>
      <c r="B4" s="861"/>
      <c r="C4" s="926"/>
      <c r="D4" s="933"/>
      <c r="E4" s="926"/>
      <c r="F4" s="687" t="s">
        <v>203</v>
      </c>
      <c r="G4" s="684" t="s">
        <v>204</v>
      </c>
      <c r="H4" s="687" t="s">
        <v>205</v>
      </c>
      <c r="I4" s="856"/>
      <c r="J4" s="861"/>
    </row>
    <row r="5" spans="1:11" s="452" customFormat="1" ht="22.5">
      <c r="A5" s="926"/>
      <c r="B5" s="861"/>
      <c r="C5" s="926"/>
      <c r="D5" s="933"/>
      <c r="E5" s="685" t="s">
        <v>206</v>
      </c>
      <c r="F5" s="687" t="s">
        <v>217</v>
      </c>
      <c r="G5" s="687" t="s">
        <v>218</v>
      </c>
      <c r="H5" s="687" t="s">
        <v>219</v>
      </c>
      <c r="I5" s="856"/>
      <c r="J5" s="861"/>
    </row>
    <row r="6" spans="1:11" ht="26.25" customHeight="1">
      <c r="A6" s="642" t="s">
        <v>133</v>
      </c>
      <c r="B6" s="644" t="s">
        <v>1050</v>
      </c>
      <c r="C6" s="641"/>
      <c r="D6" s="744"/>
      <c r="E6" s="745"/>
      <c r="F6" s="746"/>
      <c r="G6" s="746"/>
      <c r="H6" s="746"/>
      <c r="I6" s="639"/>
      <c r="J6" s="655"/>
    </row>
    <row r="7" spans="1:11" ht="30" customHeight="1">
      <c r="A7" s="408">
        <v>1</v>
      </c>
      <c r="B7" s="407" t="s">
        <v>1051</v>
      </c>
      <c r="C7" s="408" t="s">
        <v>320</v>
      </c>
      <c r="D7" s="718"/>
      <c r="E7" s="411">
        <f t="shared" ref="E7" si="0">F7+F7*G7%+H7</f>
        <v>2472</v>
      </c>
      <c r="F7" s="411">
        <f>'附件4-8甲供材料清单'!K78</f>
        <v>2472</v>
      </c>
      <c r="G7" s="411"/>
      <c r="H7" s="411"/>
      <c r="I7" s="402">
        <f>D7*E7</f>
        <v>0</v>
      </c>
      <c r="J7" s="867" t="s">
        <v>1052</v>
      </c>
    </row>
    <row r="8" spans="1:11" ht="30" customHeight="1">
      <c r="A8" s="408">
        <v>2</v>
      </c>
      <c r="B8" s="407" t="s">
        <v>1053</v>
      </c>
      <c r="C8" s="408" t="s">
        <v>320</v>
      </c>
      <c r="D8" s="718">
        <f>'附件3-2套内汇总表'!F17-'附件3-2套内汇总表'!F15-'附件3-2套内汇总表'!F14-'附件3-2套内汇总表'!F11-'附件3-2套内汇总表'!F9+15</f>
        <v>321</v>
      </c>
      <c r="E8" s="411">
        <f>F8+F8*G8%+H8</f>
        <v>2777</v>
      </c>
      <c r="F8" s="411">
        <f>'附件4-8甲供材料清单'!K80</f>
        <v>2777</v>
      </c>
      <c r="G8" s="411"/>
      <c r="H8" s="411"/>
      <c r="I8" s="402">
        <f t="shared" ref="I8" si="1">D8*E8</f>
        <v>891417</v>
      </c>
      <c r="J8" s="867"/>
      <c r="K8" s="296" t="s">
        <v>1054</v>
      </c>
    </row>
    <row r="9" spans="1:11" ht="30" customHeight="1">
      <c r="A9" s="408">
        <v>3</v>
      </c>
      <c r="B9" s="407" t="s">
        <v>1055</v>
      </c>
      <c r="C9" s="408" t="s">
        <v>320</v>
      </c>
      <c r="D9" s="718">
        <f>'附件3-2套内汇总表'!F9+'附件3-2套内汇总表'!F11+'附件3-2套内汇总表'!F14+'附件3-2套内汇总表'!F15</f>
        <v>4</v>
      </c>
      <c r="E9" s="411">
        <f>F9+F9*G9%+H9</f>
        <v>3378</v>
      </c>
      <c r="F9" s="411">
        <f>'附件4-8甲供材料清单'!K76</f>
        <v>3378</v>
      </c>
      <c r="G9" s="411"/>
      <c r="H9" s="411"/>
      <c r="I9" s="402">
        <f>D9*E9</f>
        <v>13512</v>
      </c>
      <c r="J9" s="867"/>
    </row>
    <row r="10" spans="1:11" ht="30" customHeight="1">
      <c r="A10" s="408">
        <v>4</v>
      </c>
      <c r="B10" s="407" t="s">
        <v>1056</v>
      </c>
      <c r="C10" s="408" t="s">
        <v>320</v>
      </c>
      <c r="D10" s="718">
        <f>D8</f>
        <v>321</v>
      </c>
      <c r="E10" s="411">
        <f>F10+F10*G10%+H10</f>
        <v>268</v>
      </c>
      <c r="F10" s="411">
        <f>'附件4-8甲供材料清单'!K52+'附件4-8甲供材料清单'!K66</f>
        <v>268</v>
      </c>
      <c r="G10" s="411"/>
      <c r="H10" s="411"/>
      <c r="I10" s="402">
        <f>D10*E10</f>
        <v>86028</v>
      </c>
      <c r="J10" s="867"/>
    </row>
    <row r="11" spans="1:11" ht="30" customHeight="1">
      <c r="A11" s="408">
        <v>5</v>
      </c>
      <c r="B11" s="407" t="s">
        <v>1057</v>
      </c>
      <c r="C11" s="408" t="s">
        <v>320</v>
      </c>
      <c r="D11" s="718">
        <f>D9</f>
        <v>4</v>
      </c>
      <c r="E11" s="411">
        <f>F11+F11*G11%+H11</f>
        <v>544</v>
      </c>
      <c r="F11" s="411">
        <f>'附件4-8甲供材料清单'!K51+'附件4-8甲供材料清单'!K53+'附件4-8甲供材料清单'!K66*2+'附件4-8甲供材料清单'!K55+'附件4-8甲供材料清单'!K56</f>
        <v>544</v>
      </c>
      <c r="G11" s="411"/>
      <c r="H11" s="411"/>
      <c r="I11" s="402">
        <f>D11*E11</f>
        <v>2176</v>
      </c>
      <c r="J11" s="867"/>
    </row>
    <row r="12" spans="1:11" s="451" customFormat="1" ht="30" customHeight="1">
      <c r="A12" s="692" t="s">
        <v>1058</v>
      </c>
      <c r="B12" s="413" t="s">
        <v>1059</v>
      </c>
      <c r="C12" s="692"/>
      <c r="D12" s="747"/>
      <c r="E12" s="743"/>
      <c r="F12" s="743"/>
      <c r="G12" s="743"/>
      <c r="H12" s="743"/>
      <c r="I12" s="687">
        <f>SUM(I7:I11)</f>
        <v>993133</v>
      </c>
      <c r="J12" s="441"/>
    </row>
    <row r="13" spans="1:11" ht="28.5" customHeight="1">
      <c r="A13" s="642" t="s">
        <v>246</v>
      </c>
      <c r="B13" s="644" t="s">
        <v>1060</v>
      </c>
      <c r="C13" s="641"/>
      <c r="D13" s="748"/>
      <c r="E13" s="746"/>
      <c r="F13" s="746"/>
      <c r="G13" s="746"/>
      <c r="H13" s="746"/>
      <c r="I13" s="639"/>
      <c r="J13" s="655"/>
    </row>
    <row r="14" spans="1:11" ht="30" customHeight="1">
      <c r="A14" s="408">
        <v>1</v>
      </c>
      <c r="B14" s="431" t="s">
        <v>1061</v>
      </c>
      <c r="C14" s="408" t="s">
        <v>436</v>
      </c>
      <c r="D14" s="718"/>
      <c r="E14" s="411">
        <f t="shared" ref="E14" si="2">F14+F14*G14%+H14</f>
        <v>265.45999999999998</v>
      </c>
      <c r="F14" s="411">
        <v>0</v>
      </c>
      <c r="G14" s="411"/>
      <c r="H14" s="411">
        <v>265.45999999999998</v>
      </c>
      <c r="I14" s="402">
        <f t="shared" ref="I14" si="3">D14*E14</f>
        <v>0</v>
      </c>
      <c r="J14" s="431" t="s">
        <v>1062</v>
      </c>
    </row>
    <row r="15" spans="1:11" ht="30" customHeight="1">
      <c r="A15" s="408">
        <v>2</v>
      </c>
      <c r="B15" s="407" t="s">
        <v>1063</v>
      </c>
      <c r="C15" s="408" t="s">
        <v>436</v>
      </c>
      <c r="D15" s="718">
        <f>D8</f>
        <v>321</v>
      </c>
      <c r="E15" s="411">
        <f>F15+F15*G15%+H15</f>
        <v>265.45999999999998</v>
      </c>
      <c r="F15" s="411">
        <v>0</v>
      </c>
      <c r="G15" s="411"/>
      <c r="H15" s="411">
        <v>265.45999999999998</v>
      </c>
      <c r="I15" s="402">
        <f>D15*E15</f>
        <v>85212.659999999989</v>
      </c>
      <c r="J15" s="431" t="s">
        <v>1062</v>
      </c>
    </row>
    <row r="16" spans="1:11" ht="30" customHeight="1">
      <c r="A16" s="408">
        <v>4</v>
      </c>
      <c r="B16" s="407" t="s">
        <v>1064</v>
      </c>
      <c r="C16" s="408" t="s">
        <v>436</v>
      </c>
      <c r="D16" s="718">
        <f>D9</f>
        <v>4</v>
      </c>
      <c r="E16" s="411">
        <f>F16+F16*G16%+H16</f>
        <v>347.33</v>
      </c>
      <c r="F16" s="411">
        <v>0</v>
      </c>
      <c r="G16" s="411"/>
      <c r="H16" s="411">
        <v>347.33</v>
      </c>
      <c r="I16" s="402">
        <f>D16*E16</f>
        <v>1389.32</v>
      </c>
      <c r="J16" s="431" t="s">
        <v>1062</v>
      </c>
    </row>
    <row r="17" spans="1:10" ht="30" customHeight="1">
      <c r="A17" s="408">
        <v>3</v>
      </c>
      <c r="B17" s="431" t="s">
        <v>1065</v>
      </c>
      <c r="C17" s="408" t="s">
        <v>320</v>
      </c>
      <c r="D17" s="718">
        <f>D8</f>
        <v>321</v>
      </c>
      <c r="E17" s="411">
        <f>F17+F17*G17%+H17</f>
        <v>43.2</v>
      </c>
      <c r="F17" s="411">
        <v>0</v>
      </c>
      <c r="G17" s="411"/>
      <c r="H17" s="411">
        <v>43.2</v>
      </c>
      <c r="I17" s="402">
        <f>D17*E17</f>
        <v>13867.2</v>
      </c>
      <c r="J17" s="431" t="s">
        <v>1062</v>
      </c>
    </row>
    <row r="18" spans="1:10" ht="30" customHeight="1">
      <c r="A18" s="408">
        <v>5</v>
      </c>
      <c r="B18" s="431" t="s">
        <v>1066</v>
      </c>
      <c r="C18" s="408" t="s">
        <v>320</v>
      </c>
      <c r="D18" s="718">
        <f>D9</f>
        <v>4</v>
      </c>
      <c r="E18" s="411">
        <v>86.4</v>
      </c>
      <c r="F18" s="411">
        <v>0</v>
      </c>
      <c r="G18" s="411"/>
      <c r="H18" s="411">
        <v>86.4</v>
      </c>
      <c r="I18" s="402">
        <f>D18*E18</f>
        <v>345.6</v>
      </c>
      <c r="J18" s="431" t="s">
        <v>1062</v>
      </c>
    </row>
    <row r="19" spans="1:10" s="451" customFormat="1" ht="30" customHeight="1">
      <c r="A19" s="692" t="s">
        <v>1067</v>
      </c>
      <c r="B19" s="441" t="s">
        <v>1068</v>
      </c>
      <c r="C19" s="692"/>
      <c r="D19" s="749"/>
      <c r="E19" s="701"/>
      <c r="F19" s="743"/>
      <c r="G19" s="743"/>
      <c r="H19" s="743"/>
      <c r="I19" s="687">
        <f>SUM(I14:I18)</f>
        <v>100814.78</v>
      </c>
      <c r="J19" s="441"/>
    </row>
    <row r="20" spans="1:10" s="451" customFormat="1" ht="29.25" customHeight="1">
      <c r="A20" s="642"/>
      <c r="B20" s="644" t="s">
        <v>548</v>
      </c>
      <c r="C20" s="642"/>
      <c r="D20" s="716"/>
      <c r="E20" s="716"/>
      <c r="F20" s="649"/>
      <c r="G20" s="649"/>
      <c r="H20" s="649"/>
      <c r="I20" s="645"/>
      <c r="J20" s="644"/>
    </row>
    <row r="21" spans="1:10" s="451" customFormat="1" ht="29.25" customHeight="1">
      <c r="A21" s="642" t="s">
        <v>133</v>
      </c>
      <c r="B21" s="644" t="s">
        <v>1069</v>
      </c>
      <c r="C21" s="642"/>
      <c r="D21" s="716"/>
      <c r="E21" s="716"/>
      <c r="F21" s="649"/>
      <c r="G21" s="649"/>
      <c r="H21" s="649"/>
      <c r="I21" s="645"/>
      <c r="J21" s="644"/>
    </row>
    <row r="22" spans="1:10" ht="29.25" customHeight="1">
      <c r="A22" s="408" t="s">
        <v>140</v>
      </c>
      <c r="B22" s="431" t="s">
        <v>1070</v>
      </c>
      <c r="C22" s="408"/>
      <c r="D22" s="750"/>
      <c r="E22" s="750"/>
      <c r="F22" s="411"/>
      <c r="G22" s="411"/>
      <c r="H22" s="411"/>
      <c r="I22" s="402">
        <f>I12</f>
        <v>993133</v>
      </c>
      <c r="J22" s="431"/>
    </row>
    <row r="23" spans="1:10" ht="29.25" customHeight="1">
      <c r="A23" s="408" t="s">
        <v>552</v>
      </c>
      <c r="B23" s="431" t="s">
        <v>1071</v>
      </c>
      <c r="C23" s="408"/>
      <c r="D23" s="750"/>
      <c r="E23" s="751">
        <v>0.02</v>
      </c>
      <c r="F23" s="411"/>
      <c r="G23" s="411"/>
      <c r="H23" s="411"/>
      <c r="I23" s="402">
        <f>I22*$E$23</f>
        <v>19862.66</v>
      </c>
      <c r="J23" s="431"/>
    </row>
    <row r="24" spans="1:10" ht="29.25" customHeight="1">
      <c r="A24" s="408" t="s">
        <v>554</v>
      </c>
      <c r="B24" s="431" t="s">
        <v>1854</v>
      </c>
      <c r="C24" s="408"/>
      <c r="D24" s="750"/>
      <c r="E24" s="708">
        <f>'附件4-1套内1'!M319</f>
        <v>0</v>
      </c>
      <c r="F24" s="411"/>
      <c r="G24" s="411"/>
      <c r="H24" s="411"/>
      <c r="I24" s="402">
        <f>I22*$E$24</f>
        <v>0</v>
      </c>
      <c r="J24" s="431"/>
    </row>
    <row r="25" spans="1:10" ht="29.25" customHeight="1">
      <c r="A25" s="408" t="s">
        <v>556</v>
      </c>
      <c r="B25" s="431" t="s">
        <v>1072</v>
      </c>
      <c r="C25" s="408"/>
      <c r="D25" s="750"/>
      <c r="E25" s="752">
        <f>'附件4-1套内1'!M320</f>
        <v>3.4770000000000002E-2</v>
      </c>
      <c r="F25" s="411"/>
      <c r="G25" s="411"/>
      <c r="H25" s="411"/>
      <c r="I25" s="402">
        <f>SUM(I22:I24)*$E$25</f>
        <v>35221.859098200002</v>
      </c>
      <c r="J25" s="431"/>
    </row>
    <row r="26" spans="1:10" ht="29.25" customHeight="1">
      <c r="A26" s="408" t="s">
        <v>558</v>
      </c>
      <c r="B26" s="431" t="s">
        <v>1073</v>
      </c>
      <c r="C26" s="408"/>
      <c r="D26" s="750"/>
      <c r="E26" s="751"/>
      <c r="F26" s="411"/>
      <c r="G26" s="411"/>
      <c r="H26" s="411"/>
      <c r="I26" s="402">
        <f>SUM(I22:I25)</f>
        <v>1048217.5190982</v>
      </c>
      <c r="J26" s="431"/>
    </row>
    <row r="27" spans="1:10" s="451" customFormat="1" ht="29.25" customHeight="1">
      <c r="A27" s="642" t="s">
        <v>246</v>
      </c>
      <c r="B27" s="644" t="s">
        <v>1074</v>
      </c>
      <c r="C27" s="642"/>
      <c r="D27" s="754"/>
      <c r="E27" s="755"/>
      <c r="F27" s="649"/>
      <c r="G27" s="649"/>
      <c r="H27" s="649"/>
      <c r="I27" s="645"/>
      <c r="J27" s="644"/>
    </row>
    <row r="28" spans="1:10" ht="29.25" customHeight="1">
      <c r="A28" s="408" t="s">
        <v>563</v>
      </c>
      <c r="B28" s="431" t="s">
        <v>1075</v>
      </c>
      <c r="C28" s="408"/>
      <c r="D28" s="750"/>
      <c r="E28" s="751"/>
      <c r="F28" s="411"/>
      <c r="G28" s="411"/>
      <c r="H28" s="411"/>
      <c r="I28" s="402">
        <f>I19</f>
        <v>100814.78</v>
      </c>
      <c r="J28" s="431"/>
    </row>
    <row r="29" spans="1:10" ht="29.25" customHeight="1">
      <c r="A29" s="408" t="s">
        <v>566</v>
      </c>
      <c r="B29" s="431" t="s">
        <v>1076</v>
      </c>
      <c r="C29" s="408"/>
      <c r="D29" s="750"/>
      <c r="E29" s="751">
        <v>0.1</v>
      </c>
      <c r="F29" s="411"/>
      <c r="G29" s="411"/>
      <c r="H29" s="411"/>
      <c r="I29" s="402">
        <f>I28*$E$29</f>
        <v>10081.478000000001</v>
      </c>
      <c r="J29" s="431"/>
    </row>
    <row r="30" spans="1:10" ht="29.25" customHeight="1">
      <c r="A30" s="408" t="s">
        <v>568</v>
      </c>
      <c r="B30" s="431" t="s">
        <v>1077</v>
      </c>
      <c r="C30" s="408"/>
      <c r="D30" s="750"/>
      <c r="E30" s="751">
        <v>0.1</v>
      </c>
      <c r="F30" s="411"/>
      <c r="G30" s="411"/>
      <c r="H30" s="411"/>
      <c r="I30" s="402">
        <f>I28*$E$30</f>
        <v>10081.478000000001</v>
      </c>
      <c r="J30" s="431"/>
    </row>
    <row r="31" spans="1:10" ht="29.25" customHeight="1">
      <c r="A31" s="408" t="s">
        <v>570</v>
      </c>
      <c r="B31" s="431" t="s">
        <v>1855</v>
      </c>
      <c r="C31" s="408"/>
      <c r="D31" s="750"/>
      <c r="E31" s="708">
        <f>'附件4-1套内1'!M328</f>
        <v>0</v>
      </c>
      <c r="F31" s="411"/>
      <c r="G31" s="411"/>
      <c r="H31" s="411"/>
      <c r="I31" s="402">
        <f>I28*$E$31</f>
        <v>0</v>
      </c>
      <c r="J31" s="431"/>
    </row>
    <row r="32" spans="1:10" ht="29.25" customHeight="1">
      <c r="A32" s="408" t="s">
        <v>573</v>
      </c>
      <c r="B32" s="431" t="s">
        <v>1078</v>
      </c>
      <c r="C32" s="408"/>
      <c r="D32" s="750"/>
      <c r="E32" s="752">
        <f>'附件4-1套内1'!M329</f>
        <v>3.4770000000000002E-2</v>
      </c>
      <c r="F32" s="411"/>
      <c r="G32" s="411"/>
      <c r="H32" s="411"/>
      <c r="I32" s="402">
        <f>SUM(I28:I31)*$E$32</f>
        <v>4206.3958807200006</v>
      </c>
      <c r="J32" s="431"/>
    </row>
    <row r="33" spans="1:11" ht="29.25" customHeight="1">
      <c r="A33" s="408" t="s">
        <v>575</v>
      </c>
      <c r="B33" s="431" t="s">
        <v>1079</v>
      </c>
      <c r="C33" s="408"/>
      <c r="D33" s="750"/>
      <c r="E33" s="750"/>
      <c r="F33" s="411"/>
      <c r="G33" s="411"/>
      <c r="H33" s="411"/>
      <c r="I33" s="402">
        <f>SUM(I28:I32)</f>
        <v>125184.13188072</v>
      </c>
      <c r="J33" s="431"/>
    </row>
    <row r="34" spans="1:11" s="451" customFormat="1" ht="29.25" customHeight="1">
      <c r="A34" s="692" t="s">
        <v>136</v>
      </c>
      <c r="B34" s="441" t="s">
        <v>1080</v>
      </c>
      <c r="C34" s="692"/>
      <c r="D34" s="753"/>
      <c r="E34" s="753"/>
      <c r="F34" s="743"/>
      <c r="G34" s="743"/>
      <c r="H34" s="743"/>
      <c r="I34" s="687">
        <f>I26+I33</f>
        <v>1173401.65097892</v>
      </c>
      <c r="J34" s="441"/>
      <c r="K34" s="502"/>
    </row>
  </sheetData>
  <sheetProtection formatCells="0" formatColumns="0" formatRows="0" insertRows="0" autoFilter="0"/>
  <protectedRanges>
    <protectedRange sqref="D3:D18" name="区域3" securityDescriptor=""/>
    <protectedRange sqref="A2" name="区域2" securityDescriptor=""/>
    <protectedRange sqref="A1" name="区域1" securityDescriptor=""/>
  </protectedRanges>
  <autoFilter ref="A5:K34"/>
  <mergeCells count="12">
    <mergeCell ref="J7:J11"/>
    <mergeCell ref="A1:B1"/>
    <mergeCell ref="I1:J1"/>
    <mergeCell ref="A2:J2"/>
    <mergeCell ref="F3:H3"/>
    <mergeCell ref="A3:A5"/>
    <mergeCell ref="B3:B5"/>
    <mergeCell ref="C3:C5"/>
    <mergeCell ref="D4:D5"/>
    <mergeCell ref="E3:E4"/>
    <mergeCell ref="I4:I5"/>
    <mergeCell ref="J3:J5"/>
  </mergeCells>
  <phoneticPr fontId="7" type="noConversion"/>
  <printOptions horizontalCentered="1"/>
  <pageMargins left="0.39370078740157483" right="0.19685039370078741" top="0.39370078740157483" bottom="0.39370078740157483" header="0.19685039370078741" footer="0.19685039370078741"/>
  <pageSetup paperSize="9" scale="84" fitToHeight="0" orientation="portrait" blackAndWhite="1" r:id="rId1"/>
  <headerFooter alignWithMargins="0">
    <oddFooter>&amp;C第 &amp;P 页，共 &amp;N 页</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indexed="13"/>
  </sheetPr>
  <dimension ref="A1:AZ130"/>
  <sheetViews>
    <sheetView view="pageBreakPreview" zoomScale="98" zoomScaleSheetLayoutView="98" workbookViewId="0">
      <pane xSplit="4" ySplit="6" topLeftCell="M25" activePane="bottomRight" state="frozen"/>
      <selection pane="topRight"/>
      <selection pane="bottomLeft"/>
      <selection pane="bottomRight" activeCell="W26" sqref="W26"/>
    </sheetView>
  </sheetViews>
  <sheetFormatPr defaultColWidth="9.125" defaultRowHeight="14.25" outlineLevelRow="1" outlineLevelCol="1"/>
  <cols>
    <col min="2" max="2" width="4.375" customWidth="1"/>
    <col min="3" max="3" width="33" customWidth="1"/>
    <col min="4" max="4" width="6" customWidth="1"/>
    <col min="5" max="12" width="7.375" customWidth="1"/>
    <col min="13" max="13" width="9" customWidth="1"/>
    <col min="14" max="14" width="10.25" customWidth="1"/>
    <col min="15" max="15" width="7" customWidth="1"/>
    <col min="16" max="16" width="8.625" customWidth="1"/>
    <col min="17" max="19" width="11.25" customWidth="1" outlineLevel="1"/>
    <col min="20" max="24" width="10.25" customWidth="1" outlineLevel="1"/>
    <col min="25" max="25" width="18.625" customWidth="1"/>
    <col min="26" max="42" width="10.125" customWidth="1" outlineLevel="1"/>
    <col min="43" max="43" width="9.125" customWidth="1" outlineLevel="1"/>
    <col min="44" max="45" width="9.25" customWidth="1"/>
    <col min="48" max="51" width="9.25" customWidth="1"/>
    <col min="52" max="52" width="9.375" customWidth="1"/>
  </cols>
  <sheetData>
    <row r="1" spans="1:52" ht="24" customHeight="1">
      <c r="B1" s="848" t="s">
        <v>808</v>
      </c>
      <c r="C1" s="848"/>
      <c r="T1" s="874" t="s">
        <v>196</v>
      </c>
      <c r="U1" s="874"/>
      <c r="V1" s="874"/>
      <c r="W1" s="874"/>
      <c r="X1" s="874"/>
      <c r="Y1" s="875"/>
    </row>
    <row r="2" spans="1:52" ht="27.75" customHeight="1">
      <c r="B2" s="852" t="s">
        <v>1081</v>
      </c>
      <c r="C2" s="852"/>
      <c r="D2" s="852"/>
      <c r="E2" s="852"/>
      <c r="F2" s="852"/>
      <c r="G2" s="852"/>
      <c r="H2" s="852"/>
      <c r="I2" s="852"/>
      <c r="J2" s="852"/>
      <c r="K2" s="852"/>
      <c r="L2" s="852"/>
      <c r="M2" s="852"/>
      <c r="N2" s="852"/>
      <c r="O2" s="852"/>
      <c r="P2" s="852"/>
      <c r="Q2" s="852"/>
      <c r="R2" s="852"/>
      <c r="S2" s="852"/>
      <c r="T2" s="852"/>
      <c r="U2" s="852"/>
      <c r="V2" s="852"/>
      <c r="W2" s="852"/>
      <c r="X2" s="852"/>
      <c r="Y2" s="852"/>
    </row>
    <row r="3" spans="1:52" ht="30.75" customHeight="1">
      <c r="A3" s="191"/>
      <c r="B3" s="883" t="s">
        <v>54</v>
      </c>
      <c r="C3" s="883" t="s">
        <v>591</v>
      </c>
      <c r="D3" s="883" t="s">
        <v>198</v>
      </c>
      <c r="E3" s="934" t="s">
        <v>199</v>
      </c>
      <c r="F3" s="935"/>
      <c r="G3" s="935"/>
      <c r="H3" s="935"/>
      <c r="I3" s="935"/>
      <c r="J3" s="935"/>
      <c r="K3" s="935"/>
      <c r="L3" s="936"/>
      <c r="M3" s="939" t="s">
        <v>1082</v>
      </c>
      <c r="N3" s="937" t="s">
        <v>1083</v>
      </c>
      <c r="O3" s="937"/>
      <c r="P3" s="937"/>
      <c r="Q3" s="880" t="s">
        <v>202</v>
      </c>
      <c r="R3" s="881"/>
      <c r="S3" s="881"/>
      <c r="T3" s="881"/>
      <c r="U3" s="881"/>
      <c r="V3" s="881"/>
      <c r="W3" s="881"/>
      <c r="X3" s="882"/>
      <c r="Y3" s="883" t="s">
        <v>57</v>
      </c>
      <c r="Z3" s="888" t="s">
        <v>208</v>
      </c>
      <c r="AA3" s="888"/>
      <c r="AB3" s="888"/>
      <c r="AC3" s="888"/>
      <c r="AD3" s="888"/>
      <c r="AE3" s="888"/>
      <c r="AF3" s="888"/>
      <c r="AG3" s="888"/>
      <c r="AH3" s="278"/>
      <c r="AI3" s="886" t="s">
        <v>593</v>
      </c>
      <c r="AJ3" s="887"/>
      <c r="AK3" s="887"/>
      <c r="AL3" s="887"/>
      <c r="AM3" s="887"/>
      <c r="AN3" s="887"/>
      <c r="AO3" s="887"/>
      <c r="AP3" s="887"/>
      <c r="AS3" s="199" t="s">
        <v>54</v>
      </c>
      <c r="AT3" s="199" t="s">
        <v>591</v>
      </c>
      <c r="AU3" s="199" t="s">
        <v>198</v>
      </c>
      <c r="AV3" s="199" t="s">
        <v>1082</v>
      </c>
      <c r="AW3" s="199" t="s">
        <v>1083</v>
      </c>
      <c r="AX3" s="199"/>
      <c r="AY3" s="199"/>
    </row>
    <row r="4" spans="1:52" ht="22.5">
      <c r="A4" s="191"/>
      <c r="B4" s="884"/>
      <c r="C4" s="884"/>
      <c r="D4" s="884"/>
      <c r="E4" s="186"/>
      <c r="F4" s="186"/>
      <c r="G4" s="186"/>
      <c r="H4" s="186"/>
      <c r="I4" s="186"/>
      <c r="J4" s="186"/>
      <c r="K4" s="186"/>
      <c r="L4" s="186"/>
      <c r="M4" s="940"/>
      <c r="N4" s="939" t="s">
        <v>1084</v>
      </c>
      <c r="O4" s="939" t="s">
        <v>1085</v>
      </c>
      <c r="P4" s="939" t="s">
        <v>205</v>
      </c>
      <c r="Q4" s="205">
        <f>+E4</f>
        <v>0</v>
      </c>
      <c r="R4" s="205">
        <f t="shared" ref="R4" si="0">+F4</f>
        <v>0</v>
      </c>
      <c r="S4" s="205">
        <f t="shared" ref="S4:X5" si="1">+G4</f>
        <v>0</v>
      </c>
      <c r="T4" s="205">
        <f t="shared" si="1"/>
        <v>0</v>
      </c>
      <c r="U4" s="205">
        <f t="shared" si="1"/>
        <v>0</v>
      </c>
      <c r="V4" s="205">
        <f t="shared" si="1"/>
        <v>0</v>
      </c>
      <c r="W4" s="205">
        <f t="shared" si="1"/>
        <v>0</v>
      </c>
      <c r="X4" s="205">
        <f t="shared" si="1"/>
        <v>0</v>
      </c>
      <c r="Y4" s="884"/>
      <c r="Z4" s="208"/>
      <c r="AA4" s="208"/>
      <c r="AB4" s="208"/>
      <c r="AC4" s="208"/>
      <c r="AD4" s="208"/>
      <c r="AE4" s="208"/>
      <c r="AF4" s="208"/>
      <c r="AG4" s="208"/>
      <c r="AH4" s="204"/>
      <c r="AI4" s="208"/>
      <c r="AJ4" s="208"/>
      <c r="AK4" s="208"/>
      <c r="AL4" s="208"/>
      <c r="AM4" s="208"/>
      <c r="AN4" s="208"/>
      <c r="AO4" s="208"/>
      <c r="AP4" s="208"/>
      <c r="AS4" s="199"/>
      <c r="AT4" s="199"/>
      <c r="AU4" s="199"/>
      <c r="AV4" s="199"/>
      <c r="AW4" s="199" t="s">
        <v>1086</v>
      </c>
      <c r="AX4" s="199" t="s">
        <v>1087</v>
      </c>
      <c r="AY4" s="199" t="s">
        <v>1088</v>
      </c>
    </row>
    <row r="5" spans="1:52" ht="22.5">
      <c r="A5" s="191"/>
      <c r="B5" s="884"/>
      <c r="C5" s="884"/>
      <c r="D5" s="884"/>
      <c r="E5" s="186"/>
      <c r="F5" s="186"/>
      <c r="G5" s="186"/>
      <c r="H5" s="187"/>
      <c r="I5" s="187"/>
      <c r="J5" s="187"/>
      <c r="K5" s="187"/>
      <c r="L5" s="187"/>
      <c r="M5" s="940"/>
      <c r="N5" s="942"/>
      <c r="O5" s="942"/>
      <c r="P5" s="942"/>
      <c r="Q5" s="205">
        <f>+E5</f>
        <v>0</v>
      </c>
      <c r="R5" s="205">
        <f>+F5</f>
        <v>0</v>
      </c>
      <c r="S5" s="205">
        <f t="shared" si="1"/>
        <v>0</v>
      </c>
      <c r="T5" s="205">
        <f t="shared" si="1"/>
        <v>0</v>
      </c>
      <c r="U5" s="205">
        <f t="shared" si="1"/>
        <v>0</v>
      </c>
      <c r="V5" s="205">
        <f t="shared" si="1"/>
        <v>0</v>
      </c>
      <c r="W5" s="205">
        <f t="shared" si="1"/>
        <v>0</v>
      </c>
      <c r="X5" s="205">
        <f t="shared" si="1"/>
        <v>0</v>
      </c>
      <c r="Y5" s="884"/>
      <c r="Z5" s="208" t="s">
        <v>209</v>
      </c>
      <c r="AA5" s="208" t="s">
        <v>210</v>
      </c>
      <c r="AB5" s="208" t="s">
        <v>211</v>
      </c>
      <c r="AC5" s="208" t="s">
        <v>212</v>
      </c>
      <c r="AD5" s="208" t="s">
        <v>213</v>
      </c>
      <c r="AE5" s="208" t="s">
        <v>214</v>
      </c>
      <c r="AF5" s="208" t="s">
        <v>215</v>
      </c>
      <c r="AG5" s="208" t="s">
        <v>216</v>
      </c>
      <c r="AH5" s="204"/>
      <c r="AI5" s="208" t="s">
        <v>209</v>
      </c>
      <c r="AJ5" s="208" t="s">
        <v>210</v>
      </c>
      <c r="AK5" s="208" t="s">
        <v>211</v>
      </c>
      <c r="AL5" s="208" t="s">
        <v>212</v>
      </c>
      <c r="AM5" s="208" t="s">
        <v>213</v>
      </c>
      <c r="AN5" s="208" t="s">
        <v>214</v>
      </c>
      <c r="AO5" s="208" t="s">
        <v>215</v>
      </c>
      <c r="AP5" s="208" t="s">
        <v>216</v>
      </c>
      <c r="AS5" s="199"/>
      <c r="AT5" s="199"/>
      <c r="AU5" s="199"/>
      <c r="AV5" s="199"/>
      <c r="AW5" s="199" t="s">
        <v>1086</v>
      </c>
      <c r="AX5" s="199" t="s">
        <v>1087</v>
      </c>
      <c r="AY5" s="199" t="s">
        <v>1088</v>
      </c>
    </row>
    <row r="6" spans="1:52" ht="18" customHeight="1">
      <c r="A6" s="191"/>
      <c r="B6" s="885"/>
      <c r="C6" s="885"/>
      <c r="D6" s="885"/>
      <c r="E6" s="189" t="s">
        <v>209</v>
      </c>
      <c r="F6" s="189" t="s">
        <v>210</v>
      </c>
      <c r="G6" s="189" t="s">
        <v>211</v>
      </c>
      <c r="H6" s="189" t="s">
        <v>212</v>
      </c>
      <c r="I6" s="189" t="s">
        <v>213</v>
      </c>
      <c r="J6" s="189" t="s">
        <v>214</v>
      </c>
      <c r="K6" s="189" t="s">
        <v>215</v>
      </c>
      <c r="L6" s="189" t="s">
        <v>216</v>
      </c>
      <c r="M6" s="941"/>
      <c r="N6" s="139" t="s">
        <v>217</v>
      </c>
      <c r="O6" s="139" t="s">
        <v>218</v>
      </c>
      <c r="P6" s="139" t="s">
        <v>219</v>
      </c>
      <c r="Q6" s="201" t="s">
        <v>220</v>
      </c>
      <c r="R6" s="201" t="s">
        <v>221</v>
      </c>
      <c r="S6" s="201" t="s">
        <v>222</v>
      </c>
      <c r="T6" s="201" t="s">
        <v>223</v>
      </c>
      <c r="U6" s="201" t="s">
        <v>224</v>
      </c>
      <c r="V6" s="201" t="s">
        <v>225</v>
      </c>
      <c r="W6" s="201" t="s">
        <v>226</v>
      </c>
      <c r="X6" s="201" t="s">
        <v>227</v>
      </c>
      <c r="Y6" s="885"/>
      <c r="Z6" s="214"/>
      <c r="AA6" s="214"/>
      <c r="AB6" s="214"/>
      <c r="AC6" s="214"/>
      <c r="AD6" s="214"/>
      <c r="AE6" s="214"/>
      <c r="AF6" s="214"/>
      <c r="AG6" s="214"/>
      <c r="AH6" s="214"/>
      <c r="AI6" s="214"/>
      <c r="AJ6" s="214"/>
      <c r="AK6" s="214"/>
      <c r="AL6" s="214"/>
      <c r="AM6" s="214"/>
      <c r="AN6" s="214"/>
      <c r="AO6" s="214"/>
      <c r="AP6" s="214"/>
    </row>
    <row r="7" spans="1:52" ht="38.25" customHeight="1" outlineLevel="1">
      <c r="A7" s="194"/>
      <c r="B7" s="197" t="s">
        <v>58</v>
      </c>
      <c r="C7" s="266" t="s">
        <v>1089</v>
      </c>
      <c r="D7" s="197"/>
      <c r="E7" s="267"/>
      <c r="F7" s="267"/>
      <c r="G7" s="267"/>
      <c r="H7" s="267"/>
      <c r="I7" s="267"/>
      <c r="J7" s="267"/>
      <c r="K7" s="267"/>
      <c r="L7" s="267"/>
      <c r="M7" s="206"/>
      <c r="N7" s="206"/>
      <c r="O7" s="206"/>
      <c r="P7" s="206"/>
      <c r="Q7" s="206"/>
      <c r="R7" s="206"/>
      <c r="S7" s="206"/>
      <c r="T7" s="206"/>
      <c r="U7" s="206"/>
      <c r="V7" s="206"/>
      <c r="W7" s="206"/>
      <c r="X7" s="206"/>
      <c r="Y7" s="197"/>
      <c r="Z7" s="275"/>
      <c r="AA7" s="275"/>
      <c r="AB7" s="275"/>
      <c r="AC7" s="275"/>
      <c r="AD7" s="275"/>
      <c r="AE7" s="275"/>
      <c r="AF7" s="275"/>
      <c r="AG7" s="275"/>
      <c r="AH7" s="275"/>
      <c r="AI7" s="275"/>
      <c r="AJ7" s="275"/>
      <c r="AK7" s="275"/>
      <c r="AL7" s="275"/>
      <c r="AM7" s="275"/>
      <c r="AN7" s="275"/>
      <c r="AO7" s="275"/>
      <c r="AP7" s="275"/>
      <c r="AQ7" s="279"/>
      <c r="AS7" s="199" t="s">
        <v>58</v>
      </c>
      <c r="AT7" s="199" t="s">
        <v>1089</v>
      </c>
      <c r="AU7" s="199"/>
      <c r="AV7" s="199"/>
      <c r="AW7" s="199"/>
      <c r="AX7" s="199"/>
      <c r="AY7" s="199"/>
    </row>
    <row r="8" spans="1:52" ht="73.5" customHeight="1" outlineLevel="1">
      <c r="A8" s="191"/>
      <c r="B8" s="129" t="s">
        <v>395</v>
      </c>
      <c r="C8" s="249" t="s">
        <v>1090</v>
      </c>
      <c r="D8" s="129" t="s">
        <v>1091</v>
      </c>
      <c r="E8" s="151">
        <v>1</v>
      </c>
      <c r="F8" s="151">
        <f>E8</f>
        <v>1</v>
      </c>
      <c r="G8" s="151">
        <f>F8</f>
        <v>1</v>
      </c>
      <c r="H8" s="151">
        <f>SUM(E8:G8)</f>
        <v>3</v>
      </c>
      <c r="I8" s="151">
        <f t="shared" ref="I8" si="2">SUM(F8:H8)</f>
        <v>5</v>
      </c>
      <c r="J8" s="151">
        <f>SUM(G8:I8)</f>
        <v>9</v>
      </c>
      <c r="K8" s="151">
        <f>SUM(H8:J8)</f>
        <v>17</v>
      </c>
      <c r="L8" s="151">
        <f>SUM(I8:K8)</f>
        <v>31</v>
      </c>
      <c r="M8" s="139">
        <f t="shared" ref="M8" si="3">N8*(1+O8)+P8</f>
        <v>510.72</v>
      </c>
      <c r="N8" s="139">
        <v>186</v>
      </c>
      <c r="O8" s="139">
        <v>0.02</v>
      </c>
      <c r="P8" s="139">
        <v>321</v>
      </c>
      <c r="Q8" s="139">
        <f t="shared" ref="Q8" si="4">E8*$M8</f>
        <v>510.72</v>
      </c>
      <c r="R8" s="139">
        <f t="shared" ref="R8" si="5">F8*$M8</f>
        <v>510.72</v>
      </c>
      <c r="S8" s="139">
        <f t="shared" ref="S8" si="6">G8*$M8</f>
        <v>510.72</v>
      </c>
      <c r="T8" s="139">
        <f t="shared" ref="T8" si="7">H8*$M8</f>
        <v>1532.16</v>
      </c>
      <c r="U8" s="139">
        <f t="shared" ref="U8" si="8">I8*$M8</f>
        <v>2553.6000000000004</v>
      </c>
      <c r="V8" s="139">
        <f t="shared" ref="V8:V39" si="9">J8*$M8</f>
        <v>4596.4800000000005</v>
      </c>
      <c r="W8" s="139">
        <f t="shared" ref="W8:W39" si="10">K8*$M8</f>
        <v>8682.24</v>
      </c>
      <c r="X8" s="139">
        <f t="shared" ref="X8:X39" si="11">L8*$M8</f>
        <v>15832.320000000002</v>
      </c>
      <c r="Y8" s="129"/>
      <c r="Z8" s="276"/>
      <c r="AA8" s="276"/>
      <c r="AB8" s="276"/>
      <c r="AC8" s="276"/>
      <c r="AD8" s="276"/>
      <c r="AE8" s="276"/>
      <c r="AF8" s="276"/>
      <c r="AG8" s="276"/>
      <c r="AH8" s="276"/>
      <c r="AI8" s="276"/>
      <c r="AJ8" s="276"/>
      <c r="AK8" s="276"/>
      <c r="AL8" s="276"/>
      <c r="AM8" s="276"/>
      <c r="AN8" s="276"/>
      <c r="AO8" s="276"/>
      <c r="AP8" s="276"/>
      <c r="AS8" s="280" t="s">
        <v>395</v>
      </c>
      <c r="AT8" s="280" t="s">
        <v>1090</v>
      </c>
      <c r="AU8" s="280" t="s">
        <v>1092</v>
      </c>
      <c r="AV8" s="280">
        <v>510.72</v>
      </c>
      <c r="AW8" s="280">
        <v>186</v>
      </c>
      <c r="AX8" s="280">
        <v>0.02</v>
      </c>
      <c r="AY8" s="280">
        <v>321</v>
      </c>
      <c r="AZ8" s="284">
        <f t="shared" ref="AZ8" si="12">AV8-M8</f>
        <v>0</v>
      </c>
    </row>
    <row r="9" spans="1:52" ht="64.5" customHeight="1" outlineLevel="1">
      <c r="A9" s="191"/>
      <c r="B9" s="129" t="s">
        <v>233</v>
      </c>
      <c r="C9" s="249" t="s">
        <v>1093</v>
      </c>
      <c r="D9" s="129" t="s">
        <v>1091</v>
      </c>
      <c r="E9" s="151">
        <v>2</v>
      </c>
      <c r="F9" s="151">
        <f t="shared" ref="F9" si="13">E9</f>
        <v>2</v>
      </c>
      <c r="G9" s="151">
        <f t="shared" ref="G9:G22" si="14">F9</f>
        <v>2</v>
      </c>
      <c r="H9" s="151">
        <f t="shared" ref="H9" si="15">SUM(E9:G9)</f>
        <v>6</v>
      </c>
      <c r="I9" s="151">
        <f t="shared" ref="I9" si="16">SUM(F9:H9)</f>
        <v>10</v>
      </c>
      <c r="J9" s="151">
        <f t="shared" ref="J9" si="17">SUM(G9:I9)</f>
        <v>18</v>
      </c>
      <c r="K9" s="151">
        <f t="shared" ref="K9" si="18">SUM(H9:J9)</f>
        <v>34</v>
      </c>
      <c r="L9" s="151">
        <f t="shared" ref="L9" si="19">SUM(I9:K9)</f>
        <v>62</v>
      </c>
      <c r="M9" s="139">
        <f t="shared" ref="M9:M41" si="20">N9*(1+O9)+P9</f>
        <v>502.56</v>
      </c>
      <c r="N9" s="139">
        <v>178</v>
      </c>
      <c r="O9" s="139">
        <v>0.02</v>
      </c>
      <c r="P9" s="139">
        <v>321</v>
      </c>
      <c r="Q9" s="139">
        <f t="shared" ref="Q9:Q23" si="21">E9*$M9</f>
        <v>1005.12</v>
      </c>
      <c r="R9" s="139">
        <f t="shared" ref="R9:R23" si="22">F9*$M9</f>
        <v>1005.12</v>
      </c>
      <c r="S9" s="139">
        <f t="shared" ref="S9:S23" si="23">G9*$M9</f>
        <v>1005.12</v>
      </c>
      <c r="T9" s="139">
        <f t="shared" ref="T9:T23" si="24">H9*$M9</f>
        <v>3015.36</v>
      </c>
      <c r="U9" s="139">
        <f t="shared" ref="U9:U23" si="25">I9*$M9</f>
        <v>5025.6000000000004</v>
      </c>
      <c r="V9" s="139">
        <f t="shared" si="9"/>
        <v>9046.08</v>
      </c>
      <c r="W9" s="139">
        <f t="shared" si="10"/>
        <v>17087.04</v>
      </c>
      <c r="X9" s="139">
        <f t="shared" si="11"/>
        <v>31158.720000000001</v>
      </c>
      <c r="Y9" s="129"/>
      <c r="Z9" s="276"/>
      <c r="AA9" s="276"/>
      <c r="AB9" s="276"/>
      <c r="AC9" s="276"/>
      <c r="AD9" s="276"/>
      <c r="AE9" s="276"/>
      <c r="AF9" s="276"/>
      <c r="AG9" s="276"/>
      <c r="AH9" s="276"/>
      <c r="AI9" s="276"/>
      <c r="AJ9" s="276"/>
      <c r="AK9" s="276"/>
      <c r="AL9" s="276"/>
      <c r="AM9" s="276"/>
      <c r="AN9" s="276"/>
      <c r="AO9" s="276"/>
      <c r="AP9" s="276"/>
      <c r="AS9" s="199" t="s">
        <v>233</v>
      </c>
      <c r="AT9" s="199" t="s">
        <v>1093</v>
      </c>
      <c r="AU9" s="199" t="s">
        <v>1092</v>
      </c>
      <c r="AV9" s="199">
        <v>502.56</v>
      </c>
      <c r="AW9" s="199">
        <v>178</v>
      </c>
      <c r="AX9" s="199">
        <v>0.02</v>
      </c>
      <c r="AY9" s="199">
        <v>321</v>
      </c>
      <c r="AZ9" s="284">
        <f t="shared" ref="AZ9:AZ51" si="26">AV9-M9</f>
        <v>0</v>
      </c>
    </row>
    <row r="10" spans="1:52" ht="60" customHeight="1" outlineLevel="1">
      <c r="A10" s="191"/>
      <c r="B10" s="129" t="s">
        <v>233</v>
      </c>
      <c r="C10" s="249" t="s">
        <v>1094</v>
      </c>
      <c r="D10" s="129" t="s">
        <v>1091</v>
      </c>
      <c r="E10" s="151">
        <v>3</v>
      </c>
      <c r="F10" s="151">
        <f t="shared" ref="F10:F18" si="27">E10</f>
        <v>3</v>
      </c>
      <c r="G10" s="151">
        <f t="shared" si="14"/>
        <v>3</v>
      </c>
      <c r="H10" s="151">
        <f t="shared" ref="H10:H49" si="28">SUM(E10:G10)</f>
        <v>9</v>
      </c>
      <c r="I10" s="151">
        <f t="shared" ref="I10:I49" si="29">SUM(F10:H10)</f>
        <v>15</v>
      </c>
      <c r="J10" s="151">
        <f t="shared" ref="J10:J49" si="30">SUM(G10:I10)</f>
        <v>27</v>
      </c>
      <c r="K10" s="151">
        <f t="shared" ref="K10:K49" si="31">SUM(H10:J10)</f>
        <v>51</v>
      </c>
      <c r="L10" s="151">
        <f t="shared" ref="L10:L49" si="32">SUM(I10:K10)</f>
        <v>93</v>
      </c>
      <c r="M10" s="139">
        <f t="shared" si="20"/>
        <v>514.79999999999995</v>
      </c>
      <c r="N10" s="139">
        <v>190</v>
      </c>
      <c r="O10" s="139">
        <v>0.02</v>
      </c>
      <c r="P10" s="139">
        <v>321</v>
      </c>
      <c r="Q10" s="139">
        <f t="shared" si="21"/>
        <v>1544.3999999999999</v>
      </c>
      <c r="R10" s="139">
        <f t="shared" si="22"/>
        <v>1544.3999999999999</v>
      </c>
      <c r="S10" s="139">
        <f t="shared" si="23"/>
        <v>1544.3999999999999</v>
      </c>
      <c r="T10" s="139">
        <f t="shared" si="24"/>
        <v>4633.2</v>
      </c>
      <c r="U10" s="139">
        <f t="shared" si="25"/>
        <v>7721.9999999999991</v>
      </c>
      <c r="V10" s="139">
        <f t="shared" si="9"/>
        <v>13899.599999999999</v>
      </c>
      <c r="W10" s="139">
        <f t="shared" si="10"/>
        <v>26254.799999999999</v>
      </c>
      <c r="X10" s="139">
        <f t="shared" si="11"/>
        <v>47876.399999999994</v>
      </c>
      <c r="Y10" s="129"/>
      <c r="Z10" s="276"/>
      <c r="AA10" s="276"/>
      <c r="AB10" s="276"/>
      <c r="AC10" s="276"/>
      <c r="AD10" s="276"/>
      <c r="AE10" s="276"/>
      <c r="AF10" s="276"/>
      <c r="AG10" s="276"/>
      <c r="AH10" s="276"/>
      <c r="AI10" s="276"/>
      <c r="AJ10" s="276"/>
      <c r="AK10" s="276"/>
      <c r="AL10" s="276"/>
      <c r="AM10" s="276"/>
      <c r="AN10" s="276"/>
      <c r="AO10" s="276"/>
      <c r="AP10" s="276"/>
      <c r="AS10" s="199" t="s">
        <v>233</v>
      </c>
      <c r="AT10" s="199" t="s">
        <v>1094</v>
      </c>
      <c r="AU10" s="199" t="s">
        <v>1092</v>
      </c>
      <c r="AV10" s="199">
        <v>514.79999999999995</v>
      </c>
      <c r="AW10" s="199">
        <v>190</v>
      </c>
      <c r="AX10" s="199">
        <v>0.02</v>
      </c>
      <c r="AY10" s="199">
        <v>321</v>
      </c>
      <c r="AZ10" s="284">
        <f t="shared" si="26"/>
        <v>0</v>
      </c>
    </row>
    <row r="11" spans="1:52" ht="34.5" customHeight="1" outlineLevel="1">
      <c r="A11" s="191" t="s">
        <v>277</v>
      </c>
      <c r="B11" s="129" t="s">
        <v>278</v>
      </c>
      <c r="C11" s="268" t="s">
        <v>1095</v>
      </c>
      <c r="D11" s="269" t="s">
        <v>1091</v>
      </c>
      <c r="E11" s="151">
        <v>25</v>
      </c>
      <c r="F11" s="151">
        <f t="shared" si="27"/>
        <v>25</v>
      </c>
      <c r="G11" s="151">
        <f t="shared" si="14"/>
        <v>25</v>
      </c>
      <c r="H11" s="151">
        <f t="shared" si="28"/>
        <v>75</v>
      </c>
      <c r="I11" s="151">
        <f t="shared" si="29"/>
        <v>125</v>
      </c>
      <c r="J11" s="151">
        <f t="shared" si="30"/>
        <v>225</v>
      </c>
      <c r="K11" s="151">
        <f t="shared" si="31"/>
        <v>425</v>
      </c>
      <c r="L11" s="151">
        <f t="shared" si="32"/>
        <v>775</v>
      </c>
      <c r="M11" s="139">
        <f t="shared" si="20"/>
        <v>1750.2993630573264</v>
      </c>
      <c r="N11" s="139">
        <v>1401.2738853503199</v>
      </c>
      <c r="O11" s="139">
        <v>0.02</v>
      </c>
      <c r="P11" s="201">
        <v>321</v>
      </c>
      <c r="Q11" s="139">
        <f t="shared" si="21"/>
        <v>43757.48407643316</v>
      </c>
      <c r="R11" s="139">
        <f t="shared" si="22"/>
        <v>43757.48407643316</v>
      </c>
      <c r="S11" s="139">
        <f t="shared" si="23"/>
        <v>43757.48407643316</v>
      </c>
      <c r="T11" s="139">
        <f t="shared" si="24"/>
        <v>131272.4522292995</v>
      </c>
      <c r="U11" s="139">
        <f t="shared" si="25"/>
        <v>218787.42038216582</v>
      </c>
      <c r="V11" s="139">
        <f t="shared" si="9"/>
        <v>393817.35668789846</v>
      </c>
      <c r="W11" s="139">
        <f t="shared" si="10"/>
        <v>743877.2292993638</v>
      </c>
      <c r="X11" s="139">
        <f t="shared" si="11"/>
        <v>1356482.006369428</v>
      </c>
      <c r="Y11" s="129"/>
      <c r="Z11" s="276"/>
      <c r="AA11" s="276"/>
      <c r="AB11" s="276"/>
      <c r="AC11" s="276"/>
      <c r="AD11" s="276"/>
      <c r="AE11" s="276"/>
      <c r="AF11" s="276"/>
      <c r="AG11" s="276"/>
      <c r="AH11" s="276"/>
      <c r="AI11" s="276"/>
      <c r="AJ11" s="276"/>
      <c r="AK11" s="276"/>
      <c r="AL11" s="276"/>
      <c r="AM11" s="276"/>
      <c r="AN11" s="276"/>
      <c r="AO11" s="276"/>
      <c r="AP11" s="276"/>
      <c r="AZ11" s="284">
        <f t="shared" si="26"/>
        <v>-1750.2993630573264</v>
      </c>
    </row>
    <row r="12" spans="1:52" ht="38.25" customHeight="1" outlineLevel="1">
      <c r="A12" s="191"/>
      <c r="B12" s="129" t="s">
        <v>402</v>
      </c>
      <c r="C12" s="249" t="s">
        <v>1096</v>
      </c>
      <c r="D12" s="129" t="s">
        <v>1091</v>
      </c>
      <c r="E12" s="151">
        <v>4</v>
      </c>
      <c r="F12" s="151">
        <f t="shared" si="27"/>
        <v>4</v>
      </c>
      <c r="G12" s="151">
        <f t="shared" si="14"/>
        <v>4</v>
      </c>
      <c r="H12" s="151">
        <f t="shared" si="28"/>
        <v>12</v>
      </c>
      <c r="I12" s="151">
        <f t="shared" si="29"/>
        <v>20</v>
      </c>
      <c r="J12" s="151">
        <f t="shared" si="30"/>
        <v>36</v>
      </c>
      <c r="K12" s="151">
        <f t="shared" si="31"/>
        <v>68</v>
      </c>
      <c r="L12" s="151">
        <f t="shared" si="32"/>
        <v>124</v>
      </c>
      <c r="M12" s="139">
        <f t="shared" si="20"/>
        <v>510.72</v>
      </c>
      <c r="N12" s="139">
        <v>186</v>
      </c>
      <c r="O12" s="139">
        <v>0.02</v>
      </c>
      <c r="P12" s="139">
        <v>321</v>
      </c>
      <c r="Q12" s="139">
        <f t="shared" si="21"/>
        <v>2042.88</v>
      </c>
      <c r="R12" s="139">
        <f t="shared" si="22"/>
        <v>2042.88</v>
      </c>
      <c r="S12" s="139">
        <f t="shared" si="23"/>
        <v>2042.88</v>
      </c>
      <c r="T12" s="139">
        <f t="shared" si="24"/>
        <v>6128.64</v>
      </c>
      <c r="U12" s="139">
        <f t="shared" si="25"/>
        <v>10214.400000000001</v>
      </c>
      <c r="V12" s="139">
        <f t="shared" si="9"/>
        <v>18385.920000000002</v>
      </c>
      <c r="W12" s="139">
        <f t="shared" si="10"/>
        <v>34728.959999999999</v>
      </c>
      <c r="X12" s="139">
        <f t="shared" si="11"/>
        <v>63329.280000000006</v>
      </c>
      <c r="Y12" s="129"/>
      <c r="Z12" s="276"/>
      <c r="AA12" s="276"/>
      <c r="AB12" s="276"/>
      <c r="AC12" s="276"/>
      <c r="AD12" s="276"/>
      <c r="AE12" s="276"/>
      <c r="AF12" s="276"/>
      <c r="AG12" s="276"/>
      <c r="AH12" s="276"/>
      <c r="AI12" s="276"/>
      <c r="AJ12" s="276"/>
      <c r="AK12" s="276"/>
      <c r="AL12" s="276"/>
      <c r="AM12" s="276"/>
      <c r="AN12" s="276"/>
      <c r="AO12" s="276"/>
      <c r="AP12" s="276"/>
      <c r="AS12" s="199" t="s">
        <v>402</v>
      </c>
      <c r="AT12" s="199" t="s">
        <v>1096</v>
      </c>
      <c r="AU12" s="199" t="s">
        <v>1092</v>
      </c>
      <c r="AV12" s="199">
        <v>510.72</v>
      </c>
      <c r="AW12" s="199">
        <v>186</v>
      </c>
      <c r="AX12" s="199">
        <v>0.02</v>
      </c>
      <c r="AY12" s="199">
        <v>321</v>
      </c>
      <c r="AZ12" s="284">
        <f t="shared" si="26"/>
        <v>0</v>
      </c>
    </row>
    <row r="13" spans="1:52" ht="38.25" customHeight="1" outlineLevel="1">
      <c r="A13" s="191"/>
      <c r="B13" s="129" t="s">
        <v>233</v>
      </c>
      <c r="C13" s="249" t="s">
        <v>1097</v>
      </c>
      <c r="D13" s="129" t="s">
        <v>1091</v>
      </c>
      <c r="E13" s="151">
        <v>5</v>
      </c>
      <c r="F13" s="151">
        <f t="shared" si="27"/>
        <v>5</v>
      </c>
      <c r="G13" s="151">
        <f t="shared" si="14"/>
        <v>5</v>
      </c>
      <c r="H13" s="151">
        <f t="shared" si="28"/>
        <v>15</v>
      </c>
      <c r="I13" s="151">
        <f t="shared" si="29"/>
        <v>25</v>
      </c>
      <c r="J13" s="151">
        <f t="shared" si="30"/>
        <v>45</v>
      </c>
      <c r="K13" s="151">
        <f t="shared" si="31"/>
        <v>85</v>
      </c>
      <c r="L13" s="151">
        <f t="shared" si="32"/>
        <v>155</v>
      </c>
      <c r="M13" s="139">
        <f t="shared" si="20"/>
        <v>502.56</v>
      </c>
      <c r="N13" s="139">
        <v>178</v>
      </c>
      <c r="O13" s="139">
        <v>0.02</v>
      </c>
      <c r="P13" s="139">
        <v>321</v>
      </c>
      <c r="Q13" s="139">
        <f t="shared" si="21"/>
        <v>2512.8000000000002</v>
      </c>
      <c r="R13" s="139">
        <f t="shared" si="22"/>
        <v>2512.8000000000002</v>
      </c>
      <c r="S13" s="139">
        <f t="shared" si="23"/>
        <v>2512.8000000000002</v>
      </c>
      <c r="T13" s="139">
        <f t="shared" si="24"/>
        <v>7538.4</v>
      </c>
      <c r="U13" s="139">
        <f t="shared" si="25"/>
        <v>12564</v>
      </c>
      <c r="V13" s="139">
        <f t="shared" si="9"/>
        <v>22615.200000000001</v>
      </c>
      <c r="W13" s="139">
        <f t="shared" si="10"/>
        <v>42717.599999999999</v>
      </c>
      <c r="X13" s="139">
        <f t="shared" si="11"/>
        <v>77896.800000000003</v>
      </c>
      <c r="Y13" s="129"/>
      <c r="Z13" s="276"/>
      <c r="AA13" s="276"/>
      <c r="AB13" s="276"/>
      <c r="AC13" s="276"/>
      <c r="AD13" s="276"/>
      <c r="AE13" s="276"/>
      <c r="AF13" s="276"/>
      <c r="AG13" s="276"/>
      <c r="AH13" s="276"/>
      <c r="AI13" s="276"/>
      <c r="AJ13" s="276"/>
      <c r="AK13" s="276"/>
      <c r="AL13" s="276"/>
      <c r="AM13" s="276"/>
      <c r="AN13" s="276"/>
      <c r="AO13" s="276"/>
      <c r="AP13" s="276"/>
      <c r="AS13" s="199" t="s">
        <v>233</v>
      </c>
      <c r="AT13" s="199" t="s">
        <v>1097</v>
      </c>
      <c r="AU13" s="199" t="s">
        <v>1092</v>
      </c>
      <c r="AV13" s="199">
        <v>502.56</v>
      </c>
      <c r="AW13" s="199">
        <v>178</v>
      </c>
      <c r="AX13" s="199">
        <v>0.02</v>
      </c>
      <c r="AY13" s="199">
        <v>321</v>
      </c>
      <c r="AZ13" s="284">
        <f t="shared" si="26"/>
        <v>0</v>
      </c>
    </row>
    <row r="14" spans="1:52" ht="38.25" customHeight="1" outlineLevel="1">
      <c r="A14" s="191"/>
      <c r="B14" s="129" t="s">
        <v>233</v>
      </c>
      <c r="C14" s="249" t="s">
        <v>1098</v>
      </c>
      <c r="D14" s="129" t="s">
        <v>1091</v>
      </c>
      <c r="E14" s="151">
        <v>6</v>
      </c>
      <c r="F14" s="151">
        <f t="shared" si="27"/>
        <v>6</v>
      </c>
      <c r="G14" s="151">
        <f t="shared" si="14"/>
        <v>6</v>
      </c>
      <c r="H14" s="151">
        <f t="shared" si="28"/>
        <v>18</v>
      </c>
      <c r="I14" s="151">
        <f t="shared" si="29"/>
        <v>30</v>
      </c>
      <c r="J14" s="151">
        <f t="shared" si="30"/>
        <v>54</v>
      </c>
      <c r="K14" s="151">
        <f t="shared" si="31"/>
        <v>102</v>
      </c>
      <c r="L14" s="151">
        <f t="shared" si="32"/>
        <v>186</v>
      </c>
      <c r="M14" s="139">
        <f t="shared" si="20"/>
        <v>514.79999999999995</v>
      </c>
      <c r="N14" s="139">
        <v>190</v>
      </c>
      <c r="O14" s="139">
        <v>0.02</v>
      </c>
      <c r="P14" s="139">
        <v>321</v>
      </c>
      <c r="Q14" s="139">
        <f t="shared" si="21"/>
        <v>3088.7999999999997</v>
      </c>
      <c r="R14" s="139">
        <f t="shared" si="22"/>
        <v>3088.7999999999997</v>
      </c>
      <c r="S14" s="139">
        <f t="shared" si="23"/>
        <v>3088.7999999999997</v>
      </c>
      <c r="T14" s="139">
        <f t="shared" si="24"/>
        <v>9266.4</v>
      </c>
      <c r="U14" s="139">
        <f t="shared" si="25"/>
        <v>15443.999999999998</v>
      </c>
      <c r="V14" s="139">
        <f t="shared" si="9"/>
        <v>27799.199999999997</v>
      </c>
      <c r="W14" s="139">
        <f t="shared" si="10"/>
        <v>52509.599999999999</v>
      </c>
      <c r="X14" s="139">
        <f t="shared" si="11"/>
        <v>95752.799999999988</v>
      </c>
      <c r="Y14" s="129"/>
      <c r="Z14" s="276"/>
      <c r="AA14" s="276"/>
      <c r="AB14" s="276"/>
      <c r="AC14" s="276"/>
      <c r="AD14" s="276"/>
      <c r="AE14" s="276"/>
      <c r="AF14" s="276"/>
      <c r="AG14" s="276"/>
      <c r="AH14" s="276"/>
      <c r="AI14" s="276"/>
      <c r="AJ14" s="276"/>
      <c r="AK14" s="276"/>
      <c r="AL14" s="276"/>
      <c r="AM14" s="276"/>
      <c r="AN14" s="276"/>
      <c r="AO14" s="276"/>
      <c r="AP14" s="276"/>
      <c r="AS14" s="199" t="s">
        <v>233</v>
      </c>
      <c r="AT14" s="199" t="s">
        <v>1098</v>
      </c>
      <c r="AU14" s="199" t="s">
        <v>1092</v>
      </c>
      <c r="AV14" s="199">
        <v>514.79999999999995</v>
      </c>
      <c r="AW14" s="199">
        <v>190</v>
      </c>
      <c r="AX14" s="199">
        <v>0.02</v>
      </c>
      <c r="AY14" s="199">
        <v>321</v>
      </c>
      <c r="AZ14" s="284">
        <f t="shared" si="26"/>
        <v>0</v>
      </c>
    </row>
    <row r="15" spans="1:52" ht="93.75" customHeight="1" outlineLevel="1">
      <c r="A15" s="191"/>
      <c r="B15" s="129">
        <v>3</v>
      </c>
      <c r="C15" s="249" t="s">
        <v>1099</v>
      </c>
      <c r="D15" s="129" t="s">
        <v>235</v>
      </c>
      <c r="E15" s="151">
        <v>7</v>
      </c>
      <c r="F15" s="151">
        <f t="shared" si="27"/>
        <v>7</v>
      </c>
      <c r="G15" s="151">
        <f t="shared" si="14"/>
        <v>7</v>
      </c>
      <c r="H15" s="151">
        <f t="shared" si="28"/>
        <v>21</v>
      </c>
      <c r="I15" s="151">
        <f t="shared" si="29"/>
        <v>35</v>
      </c>
      <c r="J15" s="151">
        <f t="shared" si="30"/>
        <v>63</v>
      </c>
      <c r="K15" s="151">
        <f t="shared" si="31"/>
        <v>119</v>
      </c>
      <c r="L15" s="151">
        <f t="shared" si="32"/>
        <v>217</v>
      </c>
      <c r="M15" s="139">
        <f t="shared" si="20"/>
        <v>246.08500000000001</v>
      </c>
      <c r="N15" s="139">
        <v>187.5</v>
      </c>
      <c r="O15" s="139">
        <v>0.03</v>
      </c>
      <c r="P15" s="139">
        <v>52.96</v>
      </c>
      <c r="Q15" s="139">
        <f t="shared" si="21"/>
        <v>1722.595</v>
      </c>
      <c r="R15" s="139">
        <f t="shared" si="22"/>
        <v>1722.595</v>
      </c>
      <c r="S15" s="139">
        <f t="shared" si="23"/>
        <v>1722.595</v>
      </c>
      <c r="T15" s="139">
        <f t="shared" si="24"/>
        <v>5167.7849999999999</v>
      </c>
      <c r="U15" s="139">
        <f t="shared" si="25"/>
        <v>8612.9750000000004</v>
      </c>
      <c r="V15" s="139">
        <f t="shared" si="9"/>
        <v>15503.355000000001</v>
      </c>
      <c r="W15" s="139">
        <f t="shared" si="10"/>
        <v>29284.115000000002</v>
      </c>
      <c r="X15" s="139">
        <f t="shared" si="11"/>
        <v>53400.445</v>
      </c>
      <c r="Y15" s="129"/>
      <c r="Z15" s="276"/>
      <c r="AA15" s="276"/>
      <c r="AB15" s="276"/>
      <c r="AC15" s="276"/>
      <c r="AD15" s="276"/>
      <c r="AE15" s="276"/>
      <c r="AF15" s="276"/>
      <c r="AG15" s="276"/>
      <c r="AH15" s="276"/>
      <c r="AI15" s="276"/>
      <c r="AJ15" s="276"/>
      <c r="AK15" s="276"/>
      <c r="AL15" s="276"/>
      <c r="AM15" s="276"/>
      <c r="AN15" s="276"/>
      <c r="AO15" s="276"/>
      <c r="AP15" s="276"/>
      <c r="AS15" s="199">
        <v>3</v>
      </c>
      <c r="AT15" s="199" t="s">
        <v>1099</v>
      </c>
      <c r="AU15" s="199" t="s">
        <v>235</v>
      </c>
      <c r="AV15" s="199">
        <v>246.08500000000001</v>
      </c>
      <c r="AW15" s="199">
        <v>187.5</v>
      </c>
      <c r="AX15" s="199">
        <v>0.03</v>
      </c>
      <c r="AY15" s="199">
        <v>52.96</v>
      </c>
      <c r="AZ15" s="284">
        <f t="shared" si="26"/>
        <v>0</v>
      </c>
    </row>
    <row r="16" spans="1:52" ht="34.5" customHeight="1" outlineLevel="1">
      <c r="A16" s="191" t="s">
        <v>277</v>
      </c>
      <c r="B16" s="129" t="s">
        <v>278</v>
      </c>
      <c r="C16" s="268" t="s">
        <v>1100</v>
      </c>
      <c r="D16" s="269" t="s">
        <v>235</v>
      </c>
      <c r="E16" s="151">
        <v>19</v>
      </c>
      <c r="F16" s="151">
        <f t="shared" si="27"/>
        <v>19</v>
      </c>
      <c r="G16" s="151">
        <f t="shared" si="14"/>
        <v>19</v>
      </c>
      <c r="H16" s="151">
        <f t="shared" si="28"/>
        <v>57</v>
      </c>
      <c r="I16" s="151">
        <f t="shared" si="29"/>
        <v>95</v>
      </c>
      <c r="J16" s="151">
        <f t="shared" si="30"/>
        <v>171</v>
      </c>
      <c r="K16" s="151">
        <f t="shared" si="31"/>
        <v>323</v>
      </c>
      <c r="L16" s="151">
        <f t="shared" si="32"/>
        <v>589</v>
      </c>
      <c r="M16" s="139">
        <f t="shared" si="20"/>
        <v>242.22250000000003</v>
      </c>
      <c r="N16" s="201">
        <v>183.75</v>
      </c>
      <c r="O16" s="139">
        <v>0.03</v>
      </c>
      <c r="P16" s="201">
        <v>52.96</v>
      </c>
      <c r="Q16" s="139">
        <f t="shared" si="21"/>
        <v>4602.2275000000009</v>
      </c>
      <c r="R16" s="139">
        <f t="shared" si="22"/>
        <v>4602.2275000000009</v>
      </c>
      <c r="S16" s="139">
        <f t="shared" si="23"/>
        <v>4602.2275000000009</v>
      </c>
      <c r="T16" s="139">
        <f t="shared" si="24"/>
        <v>13806.682500000001</v>
      </c>
      <c r="U16" s="139">
        <f t="shared" si="25"/>
        <v>23011.137500000001</v>
      </c>
      <c r="V16" s="139">
        <f t="shared" si="9"/>
        <v>41420.047500000008</v>
      </c>
      <c r="W16" s="139">
        <f t="shared" si="10"/>
        <v>78237.867500000008</v>
      </c>
      <c r="X16" s="139">
        <f t="shared" si="11"/>
        <v>142669.05250000002</v>
      </c>
      <c r="Y16" s="129"/>
      <c r="Z16" s="276"/>
      <c r="AA16" s="276"/>
      <c r="AB16" s="276"/>
      <c r="AC16" s="276"/>
      <c r="AD16" s="276"/>
      <c r="AE16" s="276"/>
      <c r="AF16" s="276"/>
      <c r="AG16" s="276"/>
      <c r="AH16" s="276"/>
      <c r="AI16" s="276"/>
      <c r="AJ16" s="276"/>
      <c r="AK16" s="276"/>
      <c r="AL16" s="276"/>
      <c r="AM16" s="276"/>
      <c r="AN16" s="276"/>
      <c r="AO16" s="276"/>
      <c r="AP16" s="276"/>
      <c r="AZ16" s="284">
        <f t="shared" si="26"/>
        <v>-242.22250000000003</v>
      </c>
    </row>
    <row r="17" spans="1:52" ht="96" customHeight="1" outlineLevel="1">
      <c r="A17" s="191"/>
      <c r="B17" s="129" t="s">
        <v>233</v>
      </c>
      <c r="C17" s="249" t="s">
        <v>1101</v>
      </c>
      <c r="D17" s="129" t="s">
        <v>235</v>
      </c>
      <c r="E17" s="151">
        <v>8</v>
      </c>
      <c r="F17" s="151">
        <f t="shared" si="27"/>
        <v>8</v>
      </c>
      <c r="G17" s="151">
        <f t="shared" si="14"/>
        <v>8</v>
      </c>
      <c r="H17" s="151">
        <f t="shared" si="28"/>
        <v>24</v>
      </c>
      <c r="I17" s="151">
        <f t="shared" si="29"/>
        <v>40</v>
      </c>
      <c r="J17" s="151">
        <f t="shared" si="30"/>
        <v>72</v>
      </c>
      <c r="K17" s="151">
        <f t="shared" si="31"/>
        <v>136</v>
      </c>
      <c r="L17" s="151">
        <f t="shared" si="32"/>
        <v>248</v>
      </c>
      <c r="M17" s="139">
        <f t="shared" si="20"/>
        <v>238.36</v>
      </c>
      <c r="N17" s="139">
        <v>180</v>
      </c>
      <c r="O17" s="139">
        <v>0.03</v>
      </c>
      <c r="P17" s="139">
        <v>52.96</v>
      </c>
      <c r="Q17" s="139">
        <f t="shared" si="21"/>
        <v>1906.88</v>
      </c>
      <c r="R17" s="139">
        <f t="shared" si="22"/>
        <v>1906.88</v>
      </c>
      <c r="S17" s="139">
        <f t="shared" si="23"/>
        <v>1906.88</v>
      </c>
      <c r="T17" s="139">
        <f t="shared" si="24"/>
        <v>5720.64</v>
      </c>
      <c r="U17" s="139">
        <f t="shared" si="25"/>
        <v>9534.4000000000015</v>
      </c>
      <c r="V17" s="139">
        <f t="shared" si="9"/>
        <v>17161.920000000002</v>
      </c>
      <c r="W17" s="139">
        <f t="shared" si="10"/>
        <v>32416.960000000003</v>
      </c>
      <c r="X17" s="139">
        <f t="shared" si="11"/>
        <v>59113.280000000006</v>
      </c>
      <c r="Y17" s="129"/>
      <c r="Z17" s="276"/>
      <c r="AA17" s="276"/>
      <c r="AB17" s="276"/>
      <c r="AC17" s="276"/>
      <c r="AD17" s="276"/>
      <c r="AE17" s="276"/>
      <c r="AF17" s="276"/>
      <c r="AG17" s="276"/>
      <c r="AH17" s="276"/>
      <c r="AI17" s="276"/>
      <c r="AJ17" s="276"/>
      <c r="AK17" s="276"/>
      <c r="AL17" s="276"/>
      <c r="AM17" s="276"/>
      <c r="AN17" s="276"/>
      <c r="AO17" s="276"/>
      <c r="AP17" s="276"/>
      <c r="AS17" s="199" t="s">
        <v>233</v>
      </c>
      <c r="AT17" s="199" t="s">
        <v>1101</v>
      </c>
      <c r="AU17" s="199" t="s">
        <v>235</v>
      </c>
      <c r="AV17" s="199">
        <v>238.36</v>
      </c>
      <c r="AW17" s="199">
        <v>180</v>
      </c>
      <c r="AX17" s="199">
        <v>0.03</v>
      </c>
      <c r="AY17" s="199">
        <v>52.96</v>
      </c>
      <c r="AZ17" s="284">
        <f t="shared" si="26"/>
        <v>0</v>
      </c>
    </row>
    <row r="18" spans="1:52" ht="38.25" customHeight="1" outlineLevel="1">
      <c r="A18" s="191"/>
      <c r="B18" s="129" t="s">
        <v>233</v>
      </c>
      <c r="C18" s="249" t="s">
        <v>1102</v>
      </c>
      <c r="D18" s="129" t="s">
        <v>235</v>
      </c>
      <c r="E18" s="151">
        <v>9</v>
      </c>
      <c r="F18" s="151">
        <f t="shared" si="27"/>
        <v>9</v>
      </c>
      <c r="G18" s="151">
        <f t="shared" si="14"/>
        <v>9</v>
      </c>
      <c r="H18" s="151">
        <f t="shared" si="28"/>
        <v>27</v>
      </c>
      <c r="I18" s="151">
        <f t="shared" si="29"/>
        <v>45</v>
      </c>
      <c r="J18" s="151">
        <f t="shared" si="30"/>
        <v>81</v>
      </c>
      <c r="K18" s="151">
        <f t="shared" si="31"/>
        <v>153</v>
      </c>
      <c r="L18" s="151">
        <f t="shared" si="32"/>
        <v>279</v>
      </c>
      <c r="M18" s="139">
        <f t="shared" si="20"/>
        <v>222.91000000000003</v>
      </c>
      <c r="N18" s="139">
        <f>5000*0.15*0.08+7*15</f>
        <v>165</v>
      </c>
      <c r="O18" s="139">
        <v>0.03</v>
      </c>
      <c r="P18" s="139">
        <v>52.96</v>
      </c>
      <c r="Q18" s="139">
        <f t="shared" si="21"/>
        <v>2006.1900000000003</v>
      </c>
      <c r="R18" s="139">
        <f t="shared" si="22"/>
        <v>2006.1900000000003</v>
      </c>
      <c r="S18" s="139">
        <f t="shared" si="23"/>
        <v>2006.1900000000003</v>
      </c>
      <c r="T18" s="139">
        <f t="shared" si="24"/>
        <v>6018.5700000000006</v>
      </c>
      <c r="U18" s="139">
        <f t="shared" si="25"/>
        <v>10030.950000000001</v>
      </c>
      <c r="V18" s="139">
        <f t="shared" si="9"/>
        <v>18055.710000000003</v>
      </c>
      <c r="W18" s="139">
        <f t="shared" si="10"/>
        <v>34105.230000000003</v>
      </c>
      <c r="X18" s="139">
        <f t="shared" si="11"/>
        <v>62191.890000000007</v>
      </c>
      <c r="Y18" s="129"/>
      <c r="Z18" s="276"/>
      <c r="AA18" s="276"/>
      <c r="AB18" s="276"/>
      <c r="AC18" s="276"/>
      <c r="AD18" s="276"/>
      <c r="AE18" s="276"/>
      <c r="AF18" s="276"/>
      <c r="AG18" s="276"/>
      <c r="AH18" s="276"/>
      <c r="AI18" s="276"/>
      <c r="AJ18" s="276"/>
      <c r="AK18" s="276"/>
      <c r="AL18" s="276"/>
      <c r="AM18" s="276"/>
      <c r="AN18" s="276"/>
      <c r="AO18" s="276"/>
      <c r="AP18" s="276"/>
      <c r="AS18" s="199" t="s">
        <v>233</v>
      </c>
      <c r="AT18" s="199" t="s">
        <v>1102</v>
      </c>
      <c r="AU18" s="199" t="s">
        <v>235</v>
      </c>
      <c r="AV18" s="199">
        <v>222.91</v>
      </c>
      <c r="AW18" s="199">
        <v>165</v>
      </c>
      <c r="AX18" s="199">
        <v>0.03</v>
      </c>
      <c r="AY18" s="199">
        <v>52.96</v>
      </c>
      <c r="AZ18" s="284">
        <f t="shared" si="26"/>
        <v>0</v>
      </c>
    </row>
    <row r="19" spans="1:52" ht="100.5" customHeight="1" outlineLevel="1">
      <c r="A19" s="191" t="s">
        <v>317</v>
      </c>
      <c r="B19" s="129" t="s">
        <v>278</v>
      </c>
      <c r="C19" s="270" t="s">
        <v>1103</v>
      </c>
      <c r="D19" s="269" t="s">
        <v>235</v>
      </c>
      <c r="E19" s="151">
        <v>27</v>
      </c>
      <c r="F19" s="151">
        <f t="shared" ref="F19" si="33">E19</f>
        <v>27</v>
      </c>
      <c r="G19" s="151">
        <f t="shared" si="14"/>
        <v>27</v>
      </c>
      <c r="H19" s="151">
        <f t="shared" si="28"/>
        <v>81</v>
      </c>
      <c r="I19" s="151">
        <f t="shared" si="29"/>
        <v>135</v>
      </c>
      <c r="J19" s="151">
        <f t="shared" si="30"/>
        <v>243</v>
      </c>
      <c r="K19" s="151">
        <f t="shared" si="31"/>
        <v>459</v>
      </c>
      <c r="L19" s="151">
        <f t="shared" si="32"/>
        <v>837</v>
      </c>
      <c r="M19" s="139">
        <f t="shared" si="20"/>
        <v>209.93799999999999</v>
      </c>
      <c r="N19" s="139">
        <v>147.6</v>
      </c>
      <c r="O19" s="139">
        <v>0.03</v>
      </c>
      <c r="P19" s="201">
        <v>57.91</v>
      </c>
      <c r="Q19" s="139">
        <f t="shared" si="21"/>
        <v>5668.326</v>
      </c>
      <c r="R19" s="139">
        <f t="shared" si="22"/>
        <v>5668.326</v>
      </c>
      <c r="S19" s="139">
        <f t="shared" si="23"/>
        <v>5668.326</v>
      </c>
      <c r="T19" s="139">
        <f t="shared" si="24"/>
        <v>17004.977999999999</v>
      </c>
      <c r="U19" s="139">
        <f t="shared" si="25"/>
        <v>28341.629999999997</v>
      </c>
      <c r="V19" s="139">
        <f t="shared" si="9"/>
        <v>51014.933999999994</v>
      </c>
      <c r="W19" s="139">
        <f t="shared" si="10"/>
        <v>96361.542000000001</v>
      </c>
      <c r="X19" s="139">
        <f t="shared" si="11"/>
        <v>175718.106</v>
      </c>
      <c r="Y19" s="129"/>
      <c r="Z19" s="276"/>
      <c r="AA19" s="276"/>
      <c r="AB19" s="276"/>
      <c r="AC19" s="276"/>
      <c r="AD19" s="276"/>
      <c r="AE19" s="276"/>
      <c r="AF19" s="276"/>
      <c r="AG19" s="276"/>
      <c r="AH19" s="276"/>
      <c r="AI19" s="276"/>
      <c r="AJ19" s="276"/>
      <c r="AK19" s="276"/>
      <c r="AL19" s="276"/>
      <c r="AM19" s="276"/>
      <c r="AN19" s="276"/>
      <c r="AO19" s="276"/>
      <c r="AP19" s="276"/>
      <c r="AZ19" s="284">
        <f t="shared" si="26"/>
        <v>-209.93799999999999</v>
      </c>
    </row>
    <row r="20" spans="1:52" ht="34.5" customHeight="1" outlineLevel="1">
      <c r="A20" s="191" t="s">
        <v>277</v>
      </c>
      <c r="B20" s="129" t="s">
        <v>278</v>
      </c>
      <c r="C20" s="268" t="s">
        <v>1104</v>
      </c>
      <c r="D20" s="269" t="s">
        <v>235</v>
      </c>
      <c r="E20" s="151">
        <v>22</v>
      </c>
      <c r="F20" s="151">
        <f>E20</f>
        <v>22</v>
      </c>
      <c r="G20" s="151">
        <f t="shared" si="14"/>
        <v>22</v>
      </c>
      <c r="H20" s="151">
        <f t="shared" si="28"/>
        <v>66</v>
      </c>
      <c r="I20" s="151">
        <f t="shared" si="29"/>
        <v>110</v>
      </c>
      <c r="J20" s="151">
        <f t="shared" si="30"/>
        <v>198</v>
      </c>
      <c r="K20" s="151">
        <f t="shared" si="31"/>
        <v>374</v>
      </c>
      <c r="L20" s="151">
        <f t="shared" si="32"/>
        <v>682</v>
      </c>
      <c r="M20" s="139">
        <f t="shared" si="20"/>
        <v>140.4708</v>
      </c>
      <c r="N20" s="201">
        <v>99.36</v>
      </c>
      <c r="O20" s="139">
        <v>0.03</v>
      </c>
      <c r="P20" s="201">
        <v>38.130000000000003</v>
      </c>
      <c r="Q20" s="139">
        <f t="shared" si="21"/>
        <v>3090.3575999999998</v>
      </c>
      <c r="R20" s="139">
        <f t="shared" si="22"/>
        <v>3090.3575999999998</v>
      </c>
      <c r="S20" s="139">
        <f t="shared" si="23"/>
        <v>3090.3575999999998</v>
      </c>
      <c r="T20" s="139">
        <f t="shared" si="24"/>
        <v>9271.0727999999999</v>
      </c>
      <c r="U20" s="139">
        <f t="shared" si="25"/>
        <v>15451.788</v>
      </c>
      <c r="V20" s="139">
        <f t="shared" si="9"/>
        <v>27813.218399999998</v>
      </c>
      <c r="W20" s="139">
        <f t="shared" si="10"/>
        <v>52536.0792</v>
      </c>
      <c r="X20" s="139">
        <f t="shared" si="11"/>
        <v>95801.085599999991</v>
      </c>
      <c r="Y20" s="129"/>
      <c r="Z20" s="276"/>
      <c r="AA20" s="276"/>
      <c r="AB20" s="276"/>
      <c r="AC20" s="276"/>
      <c r="AD20" s="276"/>
      <c r="AE20" s="276"/>
      <c r="AF20" s="276"/>
      <c r="AG20" s="276"/>
      <c r="AH20" s="276"/>
      <c r="AI20" s="276"/>
      <c r="AJ20" s="276"/>
      <c r="AK20" s="276"/>
      <c r="AL20" s="276"/>
      <c r="AM20" s="276"/>
      <c r="AN20" s="276"/>
      <c r="AO20" s="276"/>
      <c r="AP20" s="276"/>
      <c r="AZ20" s="284">
        <f t="shared" si="26"/>
        <v>-140.4708</v>
      </c>
    </row>
    <row r="21" spans="1:52" ht="34.5" customHeight="1" outlineLevel="1">
      <c r="A21" s="191" t="s">
        <v>277</v>
      </c>
      <c r="B21" s="129" t="s">
        <v>278</v>
      </c>
      <c r="C21" s="268" t="s">
        <v>1105</v>
      </c>
      <c r="D21" s="269" t="s">
        <v>235</v>
      </c>
      <c r="E21" s="151">
        <v>23</v>
      </c>
      <c r="F21" s="151">
        <f>E21</f>
        <v>23</v>
      </c>
      <c r="G21" s="151">
        <f t="shared" si="14"/>
        <v>23</v>
      </c>
      <c r="H21" s="151">
        <f t="shared" si="28"/>
        <v>69</v>
      </c>
      <c r="I21" s="151">
        <f t="shared" si="29"/>
        <v>115</v>
      </c>
      <c r="J21" s="151">
        <f t="shared" si="30"/>
        <v>207</v>
      </c>
      <c r="K21" s="151">
        <f t="shared" si="31"/>
        <v>391</v>
      </c>
      <c r="L21" s="151">
        <f t="shared" si="32"/>
        <v>713</v>
      </c>
      <c r="M21" s="139">
        <f t="shared" si="20"/>
        <v>298.9855</v>
      </c>
      <c r="N21" s="201">
        <v>238.85</v>
      </c>
      <c r="O21" s="139">
        <v>0.03</v>
      </c>
      <c r="P21" s="201">
        <v>52.97</v>
      </c>
      <c r="Q21" s="139">
        <f t="shared" si="21"/>
        <v>6876.6665000000003</v>
      </c>
      <c r="R21" s="139">
        <f t="shared" si="22"/>
        <v>6876.6665000000003</v>
      </c>
      <c r="S21" s="139">
        <f t="shared" si="23"/>
        <v>6876.6665000000003</v>
      </c>
      <c r="T21" s="139">
        <f t="shared" si="24"/>
        <v>20629.999500000002</v>
      </c>
      <c r="U21" s="139">
        <f t="shared" si="25"/>
        <v>34383.332499999997</v>
      </c>
      <c r="V21" s="139">
        <f t="shared" si="9"/>
        <v>61889.998500000002</v>
      </c>
      <c r="W21" s="139">
        <f t="shared" si="10"/>
        <v>116903.3305</v>
      </c>
      <c r="X21" s="139">
        <f t="shared" si="11"/>
        <v>213176.66149999999</v>
      </c>
      <c r="Y21" s="129"/>
      <c r="Z21" s="276"/>
      <c r="AA21" s="276"/>
      <c r="AB21" s="276"/>
      <c r="AC21" s="276"/>
      <c r="AD21" s="276"/>
      <c r="AE21" s="276"/>
      <c r="AF21" s="276"/>
      <c r="AG21" s="276"/>
      <c r="AH21" s="276"/>
      <c r="AI21" s="276"/>
      <c r="AJ21" s="276"/>
      <c r="AK21" s="276"/>
      <c r="AL21" s="276"/>
      <c r="AM21" s="276"/>
      <c r="AN21" s="276"/>
      <c r="AO21" s="276"/>
      <c r="AP21" s="276"/>
      <c r="AZ21" s="284">
        <f t="shared" si="26"/>
        <v>-298.9855</v>
      </c>
    </row>
    <row r="22" spans="1:52" ht="34.5" customHeight="1" outlineLevel="1">
      <c r="A22" s="191" t="s">
        <v>277</v>
      </c>
      <c r="B22" s="129" t="s">
        <v>278</v>
      </c>
      <c r="C22" s="268" t="s">
        <v>1106</v>
      </c>
      <c r="D22" s="269" t="s">
        <v>235</v>
      </c>
      <c r="E22" s="151">
        <v>24</v>
      </c>
      <c r="F22" s="151">
        <f>E22</f>
        <v>24</v>
      </c>
      <c r="G22" s="151">
        <f t="shared" si="14"/>
        <v>24</v>
      </c>
      <c r="H22" s="151">
        <f t="shared" si="28"/>
        <v>72</v>
      </c>
      <c r="I22" s="151">
        <f t="shared" si="29"/>
        <v>120</v>
      </c>
      <c r="J22" s="151">
        <f t="shared" si="30"/>
        <v>216</v>
      </c>
      <c r="K22" s="151">
        <f t="shared" si="31"/>
        <v>408</v>
      </c>
      <c r="L22" s="151">
        <f t="shared" si="32"/>
        <v>744</v>
      </c>
      <c r="M22" s="139">
        <f t="shared" si="20"/>
        <v>262.80029999999999</v>
      </c>
      <c r="N22" s="139">
        <v>214.01</v>
      </c>
      <c r="O22" s="139">
        <v>0.03</v>
      </c>
      <c r="P22" s="201">
        <v>42.37</v>
      </c>
      <c r="Q22" s="139">
        <f t="shared" si="21"/>
        <v>6307.2071999999998</v>
      </c>
      <c r="R22" s="139">
        <f t="shared" si="22"/>
        <v>6307.2071999999998</v>
      </c>
      <c r="S22" s="139">
        <f t="shared" si="23"/>
        <v>6307.2071999999998</v>
      </c>
      <c r="T22" s="139">
        <f t="shared" si="24"/>
        <v>18921.621599999999</v>
      </c>
      <c r="U22" s="139">
        <f t="shared" si="25"/>
        <v>31536.036</v>
      </c>
      <c r="V22" s="139">
        <f t="shared" si="9"/>
        <v>56764.864799999996</v>
      </c>
      <c r="W22" s="139">
        <f t="shared" si="10"/>
        <v>107222.5224</v>
      </c>
      <c r="X22" s="139">
        <f t="shared" si="11"/>
        <v>195523.42319999999</v>
      </c>
      <c r="Y22" s="129"/>
      <c r="Z22" s="276"/>
      <c r="AA22" s="276"/>
      <c r="AB22" s="276"/>
      <c r="AC22" s="276"/>
      <c r="AD22" s="276"/>
      <c r="AE22" s="276"/>
      <c r="AF22" s="276"/>
      <c r="AG22" s="276"/>
      <c r="AH22" s="276"/>
      <c r="AI22" s="276"/>
      <c r="AJ22" s="276"/>
      <c r="AK22" s="276"/>
      <c r="AL22" s="276"/>
      <c r="AM22" s="276"/>
      <c r="AN22" s="276"/>
      <c r="AO22" s="276"/>
      <c r="AP22" s="276"/>
      <c r="AZ22" s="284">
        <f t="shared" si="26"/>
        <v>-262.80029999999999</v>
      </c>
    </row>
    <row r="23" spans="1:52" ht="69.75" customHeight="1">
      <c r="A23" s="191" t="s">
        <v>1107</v>
      </c>
      <c r="B23" s="129" t="s">
        <v>278</v>
      </c>
      <c r="C23" s="271" t="s">
        <v>1108</v>
      </c>
      <c r="D23" s="269" t="s">
        <v>235</v>
      </c>
      <c r="E23" s="151">
        <v>64</v>
      </c>
      <c r="F23" s="151">
        <f t="shared" ref="F23" si="34">E23</f>
        <v>64</v>
      </c>
      <c r="G23" s="151">
        <f t="shared" ref="G23" si="35">F23</f>
        <v>64</v>
      </c>
      <c r="H23" s="151">
        <f t="shared" si="28"/>
        <v>192</v>
      </c>
      <c r="I23" s="151">
        <f t="shared" si="29"/>
        <v>320</v>
      </c>
      <c r="J23" s="151">
        <f t="shared" si="30"/>
        <v>576</v>
      </c>
      <c r="K23" s="151">
        <f t="shared" si="31"/>
        <v>1088</v>
      </c>
      <c r="L23" s="151">
        <f t="shared" si="32"/>
        <v>1984</v>
      </c>
      <c r="M23" s="139">
        <f t="shared" si="20"/>
        <v>745.94610000000011</v>
      </c>
      <c r="N23" s="139">
        <v>566.87</v>
      </c>
      <c r="O23" s="139">
        <v>0.03</v>
      </c>
      <c r="P23" s="201">
        <v>162.07</v>
      </c>
      <c r="Q23" s="139">
        <f t="shared" si="21"/>
        <v>47740.550400000007</v>
      </c>
      <c r="R23" s="139">
        <f t="shared" si="22"/>
        <v>47740.550400000007</v>
      </c>
      <c r="S23" s="139">
        <f t="shared" si="23"/>
        <v>47740.550400000007</v>
      </c>
      <c r="T23" s="139">
        <f t="shared" si="24"/>
        <v>143221.65120000002</v>
      </c>
      <c r="U23" s="139">
        <f t="shared" si="25"/>
        <v>238702.75200000004</v>
      </c>
      <c r="V23" s="139">
        <f t="shared" si="9"/>
        <v>429664.95360000007</v>
      </c>
      <c r="W23" s="139">
        <f t="shared" si="10"/>
        <v>811589.35680000018</v>
      </c>
      <c r="X23" s="139">
        <f t="shared" si="11"/>
        <v>1479957.0624000002</v>
      </c>
      <c r="Y23" s="129"/>
      <c r="Z23" s="276"/>
      <c r="AA23" s="276"/>
      <c r="AB23" s="276"/>
      <c r="AC23" s="276"/>
      <c r="AD23" s="276"/>
      <c r="AE23" s="276"/>
      <c r="AF23" s="276"/>
      <c r="AG23" s="276"/>
      <c r="AH23" s="276"/>
      <c r="AI23" s="276"/>
      <c r="AJ23" s="276"/>
      <c r="AK23" s="276"/>
      <c r="AL23" s="276"/>
      <c r="AM23" s="276"/>
      <c r="AN23" s="276"/>
      <c r="AO23" s="276"/>
      <c r="AP23" s="276"/>
      <c r="AZ23" s="284">
        <f t="shared" si="26"/>
        <v>-745.94610000000011</v>
      </c>
    </row>
    <row r="24" spans="1:52" ht="102" customHeight="1" outlineLevel="1">
      <c r="A24" s="191"/>
      <c r="B24" s="129">
        <v>4</v>
      </c>
      <c r="C24" s="249" t="s">
        <v>1109</v>
      </c>
      <c r="D24" s="129" t="s">
        <v>235</v>
      </c>
      <c r="E24" s="151">
        <v>10</v>
      </c>
      <c r="F24" s="151">
        <f t="shared" ref="F24:G49" si="36">E24</f>
        <v>10</v>
      </c>
      <c r="G24" s="151">
        <f t="shared" si="36"/>
        <v>10</v>
      </c>
      <c r="H24" s="151">
        <f t="shared" si="28"/>
        <v>30</v>
      </c>
      <c r="I24" s="151">
        <f t="shared" si="29"/>
        <v>50</v>
      </c>
      <c r="J24" s="151">
        <f t="shared" si="30"/>
        <v>90</v>
      </c>
      <c r="K24" s="151">
        <f t="shared" si="31"/>
        <v>170</v>
      </c>
      <c r="L24" s="151">
        <f t="shared" si="32"/>
        <v>310</v>
      </c>
      <c r="M24" s="139">
        <f t="shared" si="20"/>
        <v>671.74600000000009</v>
      </c>
      <c r="N24" s="139">
        <v>508.2</v>
      </c>
      <c r="O24" s="139">
        <v>0.03</v>
      </c>
      <c r="P24" s="139">
        <v>148.30000000000001</v>
      </c>
      <c r="Q24" s="139">
        <f t="shared" ref="Q24:Q39" si="37">E24*$M24</f>
        <v>6717.4600000000009</v>
      </c>
      <c r="R24" s="139">
        <f t="shared" ref="R24:R39" si="38">F24*$M24</f>
        <v>6717.4600000000009</v>
      </c>
      <c r="S24" s="139">
        <f t="shared" ref="S24:S39" si="39">G24*$M24</f>
        <v>6717.4600000000009</v>
      </c>
      <c r="T24" s="139">
        <f t="shared" ref="T24:T39" si="40">H24*$M24</f>
        <v>20152.380000000005</v>
      </c>
      <c r="U24" s="139">
        <f t="shared" ref="U24" si="41">I24*$M24</f>
        <v>33587.300000000003</v>
      </c>
      <c r="V24" s="139">
        <f t="shared" si="9"/>
        <v>60457.140000000007</v>
      </c>
      <c r="W24" s="139">
        <f t="shared" si="10"/>
        <v>114196.82000000002</v>
      </c>
      <c r="X24" s="139">
        <f t="shared" si="11"/>
        <v>208241.26000000004</v>
      </c>
      <c r="Y24" s="129"/>
      <c r="Z24" s="276"/>
      <c r="AA24" s="276"/>
      <c r="AB24" s="276"/>
      <c r="AC24" s="276"/>
      <c r="AD24" s="276"/>
      <c r="AE24" s="276"/>
      <c r="AF24" s="276"/>
      <c r="AG24" s="276"/>
      <c r="AH24" s="276"/>
      <c r="AI24" s="276"/>
      <c r="AJ24" s="276"/>
      <c r="AK24" s="276"/>
      <c r="AL24" s="276"/>
      <c r="AM24" s="276"/>
      <c r="AN24" s="276"/>
      <c r="AO24" s="276"/>
      <c r="AP24" s="276"/>
      <c r="AS24" s="199">
        <v>4</v>
      </c>
      <c r="AT24" s="199" t="s">
        <v>1110</v>
      </c>
      <c r="AU24" s="199" t="s">
        <v>235</v>
      </c>
      <c r="AV24" s="199">
        <v>671.74599999999998</v>
      </c>
      <c r="AW24" s="199">
        <v>508.2</v>
      </c>
      <c r="AX24" s="199">
        <v>0.03</v>
      </c>
      <c r="AY24" s="199">
        <v>148.30000000000001</v>
      </c>
      <c r="AZ24" s="284">
        <f t="shared" si="26"/>
        <v>0</v>
      </c>
    </row>
    <row r="25" spans="1:52" ht="100.5" customHeight="1" outlineLevel="1">
      <c r="A25" s="191"/>
      <c r="B25" s="129" t="s">
        <v>233</v>
      </c>
      <c r="C25" s="249" t="s">
        <v>1111</v>
      </c>
      <c r="D25" s="129" t="s">
        <v>235</v>
      </c>
      <c r="E25" s="151">
        <v>11</v>
      </c>
      <c r="F25" s="151">
        <f t="shared" si="36"/>
        <v>11</v>
      </c>
      <c r="G25" s="151">
        <f t="shared" si="36"/>
        <v>11</v>
      </c>
      <c r="H25" s="151">
        <f t="shared" si="28"/>
        <v>33</v>
      </c>
      <c r="I25" s="151">
        <f t="shared" si="29"/>
        <v>55</v>
      </c>
      <c r="J25" s="151">
        <f t="shared" si="30"/>
        <v>99</v>
      </c>
      <c r="K25" s="151">
        <f t="shared" si="31"/>
        <v>187</v>
      </c>
      <c r="L25" s="151">
        <f t="shared" si="32"/>
        <v>341</v>
      </c>
      <c r="M25" s="139">
        <f t="shared" si="20"/>
        <v>376.17039999999997</v>
      </c>
      <c r="N25" s="139">
        <v>273.68</v>
      </c>
      <c r="O25" s="139">
        <v>0.03</v>
      </c>
      <c r="P25" s="139">
        <v>94.28</v>
      </c>
      <c r="Q25" s="139">
        <f t="shared" si="37"/>
        <v>4137.8743999999997</v>
      </c>
      <c r="R25" s="139">
        <f t="shared" si="38"/>
        <v>4137.8743999999997</v>
      </c>
      <c r="S25" s="139">
        <f t="shared" si="39"/>
        <v>4137.8743999999997</v>
      </c>
      <c r="T25" s="139">
        <f t="shared" si="40"/>
        <v>12413.623199999998</v>
      </c>
      <c r="U25" s="139">
        <f t="shared" ref="U25:U39" si="42">I25*$M25</f>
        <v>20689.371999999999</v>
      </c>
      <c r="V25" s="139">
        <f t="shared" si="9"/>
        <v>37240.869599999998</v>
      </c>
      <c r="W25" s="139">
        <f t="shared" si="10"/>
        <v>70343.864799999996</v>
      </c>
      <c r="X25" s="139">
        <f t="shared" si="11"/>
        <v>128274.10639999999</v>
      </c>
      <c r="Y25" s="129"/>
      <c r="Z25" s="276"/>
      <c r="AA25" s="276"/>
      <c r="AB25" s="276"/>
      <c r="AC25" s="276"/>
      <c r="AD25" s="276"/>
      <c r="AE25" s="276"/>
      <c r="AF25" s="276"/>
      <c r="AG25" s="276"/>
      <c r="AH25" s="276"/>
      <c r="AI25" s="276"/>
      <c r="AJ25" s="276"/>
      <c r="AK25" s="276"/>
      <c r="AL25" s="276"/>
      <c r="AM25" s="276"/>
      <c r="AN25" s="276"/>
      <c r="AO25" s="276"/>
      <c r="AP25" s="276"/>
      <c r="AS25" s="199" t="s">
        <v>233</v>
      </c>
      <c r="AT25" s="199" t="s">
        <v>1111</v>
      </c>
      <c r="AU25" s="199" t="s">
        <v>235</v>
      </c>
      <c r="AV25" s="199">
        <v>376.17039999999997</v>
      </c>
      <c r="AW25" s="199">
        <v>273.68</v>
      </c>
      <c r="AX25" s="199">
        <v>0.03</v>
      </c>
      <c r="AY25" s="199">
        <v>94.28</v>
      </c>
      <c r="AZ25" s="284">
        <f t="shared" si="26"/>
        <v>0</v>
      </c>
    </row>
    <row r="26" spans="1:52" ht="34.5" customHeight="1" outlineLevel="1">
      <c r="A26" s="191" t="s">
        <v>277</v>
      </c>
      <c r="B26" s="129" t="s">
        <v>278</v>
      </c>
      <c r="C26" s="268" t="s">
        <v>1112</v>
      </c>
      <c r="D26" s="269" t="s">
        <v>235</v>
      </c>
      <c r="E26" s="151">
        <v>21</v>
      </c>
      <c r="F26" s="151">
        <f t="shared" si="36"/>
        <v>21</v>
      </c>
      <c r="G26" s="151">
        <f t="shared" si="36"/>
        <v>21</v>
      </c>
      <c r="H26" s="151">
        <f t="shared" si="28"/>
        <v>63</v>
      </c>
      <c r="I26" s="151">
        <f t="shared" si="29"/>
        <v>105</v>
      </c>
      <c r="J26" s="151">
        <f t="shared" si="30"/>
        <v>189</v>
      </c>
      <c r="K26" s="151">
        <f t="shared" si="31"/>
        <v>357</v>
      </c>
      <c r="L26" s="151">
        <f t="shared" si="32"/>
        <v>651</v>
      </c>
      <c r="M26" s="139">
        <f t="shared" si="20"/>
        <v>375.21000000000004</v>
      </c>
      <c r="N26" s="201">
        <v>277</v>
      </c>
      <c r="O26" s="139">
        <v>0.03</v>
      </c>
      <c r="P26" s="201">
        <v>89.9</v>
      </c>
      <c r="Q26" s="139">
        <f t="shared" si="37"/>
        <v>7879.4100000000008</v>
      </c>
      <c r="R26" s="139">
        <f t="shared" si="38"/>
        <v>7879.4100000000008</v>
      </c>
      <c r="S26" s="139">
        <f t="shared" si="39"/>
        <v>7879.4100000000008</v>
      </c>
      <c r="T26" s="139">
        <f t="shared" si="40"/>
        <v>23638.230000000003</v>
      </c>
      <c r="U26" s="139">
        <f t="shared" si="42"/>
        <v>39397.050000000003</v>
      </c>
      <c r="V26" s="139">
        <f t="shared" si="9"/>
        <v>70914.69</v>
      </c>
      <c r="W26" s="139">
        <f t="shared" si="10"/>
        <v>133949.97</v>
      </c>
      <c r="X26" s="139">
        <f t="shared" si="11"/>
        <v>244261.71000000002</v>
      </c>
      <c r="Y26" s="129"/>
      <c r="Z26" s="276"/>
      <c r="AA26" s="276"/>
      <c r="AB26" s="276"/>
      <c r="AC26" s="276"/>
      <c r="AD26" s="276"/>
      <c r="AE26" s="276"/>
      <c r="AF26" s="276"/>
      <c r="AG26" s="276"/>
      <c r="AH26" s="276"/>
      <c r="AI26" s="276"/>
      <c r="AJ26" s="276"/>
      <c r="AK26" s="276"/>
      <c r="AL26" s="276"/>
      <c r="AM26" s="276"/>
      <c r="AN26" s="276"/>
      <c r="AO26" s="276"/>
      <c r="AP26" s="276"/>
      <c r="AZ26" s="284">
        <f t="shared" si="26"/>
        <v>-375.21000000000004</v>
      </c>
    </row>
    <row r="27" spans="1:52" ht="34.5" customHeight="1" outlineLevel="1">
      <c r="A27" s="191" t="s">
        <v>277</v>
      </c>
      <c r="B27" s="129" t="s">
        <v>278</v>
      </c>
      <c r="C27" s="268" t="s">
        <v>1113</v>
      </c>
      <c r="D27" s="269" t="s">
        <v>235</v>
      </c>
      <c r="E27" s="151">
        <v>20</v>
      </c>
      <c r="F27" s="151">
        <f t="shared" si="36"/>
        <v>20</v>
      </c>
      <c r="G27" s="151">
        <f t="shared" si="36"/>
        <v>20</v>
      </c>
      <c r="H27" s="151">
        <f t="shared" si="28"/>
        <v>60</v>
      </c>
      <c r="I27" s="151">
        <f t="shared" si="29"/>
        <v>100</v>
      </c>
      <c r="J27" s="151">
        <f t="shared" si="30"/>
        <v>180</v>
      </c>
      <c r="K27" s="151">
        <f t="shared" si="31"/>
        <v>340</v>
      </c>
      <c r="L27" s="151">
        <f t="shared" si="32"/>
        <v>620</v>
      </c>
      <c r="M27" s="139">
        <f t="shared" si="20"/>
        <v>380.29039999999998</v>
      </c>
      <c r="N27" s="201">
        <v>277.68</v>
      </c>
      <c r="O27" s="139">
        <v>0.03</v>
      </c>
      <c r="P27" s="201">
        <v>94.28</v>
      </c>
      <c r="Q27" s="139">
        <f t="shared" si="37"/>
        <v>7605.8079999999991</v>
      </c>
      <c r="R27" s="139">
        <f t="shared" si="38"/>
        <v>7605.8079999999991</v>
      </c>
      <c r="S27" s="139">
        <f t="shared" si="39"/>
        <v>7605.8079999999991</v>
      </c>
      <c r="T27" s="139">
        <f t="shared" si="40"/>
        <v>22817.423999999999</v>
      </c>
      <c r="U27" s="139">
        <f t="shared" si="42"/>
        <v>38029.040000000001</v>
      </c>
      <c r="V27" s="139">
        <f t="shared" si="9"/>
        <v>68452.271999999997</v>
      </c>
      <c r="W27" s="139">
        <f t="shared" si="10"/>
        <v>129298.73599999999</v>
      </c>
      <c r="X27" s="139">
        <f t="shared" si="11"/>
        <v>235780.04799999998</v>
      </c>
      <c r="Y27" s="129"/>
      <c r="Z27" s="276"/>
      <c r="AA27" s="276"/>
      <c r="AB27" s="276"/>
      <c r="AC27" s="276"/>
      <c r="AD27" s="276"/>
      <c r="AE27" s="276"/>
      <c r="AF27" s="276"/>
      <c r="AG27" s="276"/>
      <c r="AH27" s="276"/>
      <c r="AI27" s="276"/>
      <c r="AJ27" s="276"/>
      <c r="AK27" s="276"/>
      <c r="AL27" s="276"/>
      <c r="AM27" s="276"/>
      <c r="AN27" s="276"/>
      <c r="AO27" s="276"/>
      <c r="AP27" s="276"/>
      <c r="AZ27" s="284">
        <f t="shared" si="26"/>
        <v>-380.29039999999998</v>
      </c>
    </row>
    <row r="28" spans="1:52" ht="114.75" customHeight="1" outlineLevel="1">
      <c r="A28" s="191"/>
      <c r="B28" s="129" t="s">
        <v>233</v>
      </c>
      <c r="C28" s="249" t="s">
        <v>1114</v>
      </c>
      <c r="D28" s="129" t="s">
        <v>235</v>
      </c>
      <c r="E28" s="151">
        <v>12</v>
      </c>
      <c r="F28" s="151">
        <f t="shared" si="36"/>
        <v>12</v>
      </c>
      <c r="G28" s="151">
        <f t="shared" si="36"/>
        <v>12</v>
      </c>
      <c r="H28" s="151">
        <f t="shared" si="28"/>
        <v>36</v>
      </c>
      <c r="I28" s="151">
        <f t="shared" si="29"/>
        <v>60</v>
      </c>
      <c r="J28" s="151">
        <f t="shared" si="30"/>
        <v>108</v>
      </c>
      <c r="K28" s="151">
        <f t="shared" si="31"/>
        <v>204</v>
      </c>
      <c r="L28" s="151">
        <f t="shared" si="32"/>
        <v>372</v>
      </c>
      <c r="M28" s="139">
        <f t="shared" si="20"/>
        <v>430.74160000000001</v>
      </c>
      <c r="N28" s="139">
        <v>316.72000000000003</v>
      </c>
      <c r="O28" s="139">
        <v>0.03</v>
      </c>
      <c r="P28" s="139">
        <v>104.52</v>
      </c>
      <c r="Q28" s="139">
        <f t="shared" si="37"/>
        <v>5168.8991999999998</v>
      </c>
      <c r="R28" s="139">
        <f t="shared" si="38"/>
        <v>5168.8991999999998</v>
      </c>
      <c r="S28" s="139">
        <f t="shared" si="39"/>
        <v>5168.8991999999998</v>
      </c>
      <c r="T28" s="139">
        <f t="shared" si="40"/>
        <v>15506.6976</v>
      </c>
      <c r="U28" s="139">
        <f t="shared" si="42"/>
        <v>25844.495999999999</v>
      </c>
      <c r="V28" s="139">
        <f t="shared" si="9"/>
        <v>46520.092799999999</v>
      </c>
      <c r="W28" s="139">
        <f t="shared" si="10"/>
        <v>87871.286399999997</v>
      </c>
      <c r="X28" s="139">
        <f t="shared" si="11"/>
        <v>160235.87520000001</v>
      </c>
      <c r="Y28" s="129"/>
      <c r="Z28" s="276"/>
      <c r="AA28" s="276"/>
      <c r="AB28" s="276"/>
      <c r="AC28" s="276"/>
      <c r="AD28" s="276"/>
      <c r="AE28" s="276"/>
      <c r="AF28" s="276"/>
      <c r="AG28" s="276"/>
      <c r="AH28" s="276"/>
      <c r="AI28" s="276"/>
      <c r="AJ28" s="276"/>
      <c r="AK28" s="276"/>
      <c r="AL28" s="276"/>
      <c r="AM28" s="276"/>
      <c r="AN28" s="276"/>
      <c r="AO28" s="276"/>
      <c r="AP28" s="276"/>
      <c r="AS28" s="199" t="s">
        <v>233</v>
      </c>
      <c r="AT28" s="199" t="s">
        <v>1115</v>
      </c>
      <c r="AU28" s="199" t="s">
        <v>235</v>
      </c>
      <c r="AV28" s="199">
        <v>430.74160000000001</v>
      </c>
      <c r="AW28" s="199">
        <v>316.72000000000003</v>
      </c>
      <c r="AX28" s="199">
        <v>0.03</v>
      </c>
      <c r="AY28" s="199">
        <v>104.52</v>
      </c>
      <c r="AZ28" s="284">
        <f t="shared" si="26"/>
        <v>0</v>
      </c>
    </row>
    <row r="29" spans="1:52" ht="98.25" customHeight="1" outlineLevel="1">
      <c r="A29" s="191" t="s">
        <v>317</v>
      </c>
      <c r="B29" s="129" t="s">
        <v>278</v>
      </c>
      <c r="C29" s="270" t="s">
        <v>1116</v>
      </c>
      <c r="D29" s="269" t="s">
        <v>235</v>
      </c>
      <c r="E29" s="151">
        <v>26</v>
      </c>
      <c r="F29" s="151">
        <f t="shared" si="36"/>
        <v>26</v>
      </c>
      <c r="G29" s="151">
        <f t="shared" si="36"/>
        <v>26</v>
      </c>
      <c r="H29" s="151">
        <f t="shared" si="28"/>
        <v>78</v>
      </c>
      <c r="I29" s="151">
        <f t="shared" si="29"/>
        <v>130</v>
      </c>
      <c r="J29" s="151">
        <f t="shared" si="30"/>
        <v>234</v>
      </c>
      <c r="K29" s="151">
        <f t="shared" si="31"/>
        <v>442</v>
      </c>
      <c r="L29" s="151">
        <f t="shared" si="32"/>
        <v>806</v>
      </c>
      <c r="M29" s="139">
        <f t="shared" si="20"/>
        <v>355.02900000000005</v>
      </c>
      <c r="N29" s="139">
        <v>258.3</v>
      </c>
      <c r="O29" s="139">
        <v>0.03</v>
      </c>
      <c r="P29" s="201">
        <v>88.98</v>
      </c>
      <c r="Q29" s="139">
        <f t="shared" si="37"/>
        <v>9230.7540000000008</v>
      </c>
      <c r="R29" s="139">
        <f t="shared" si="38"/>
        <v>9230.7540000000008</v>
      </c>
      <c r="S29" s="139">
        <f t="shared" si="39"/>
        <v>9230.7540000000008</v>
      </c>
      <c r="T29" s="139">
        <f t="shared" si="40"/>
        <v>27692.262000000002</v>
      </c>
      <c r="U29" s="139">
        <f t="shared" si="42"/>
        <v>46153.770000000004</v>
      </c>
      <c r="V29" s="139">
        <f t="shared" si="9"/>
        <v>83076.786000000007</v>
      </c>
      <c r="W29" s="139">
        <f t="shared" si="10"/>
        <v>156922.81800000003</v>
      </c>
      <c r="X29" s="139">
        <f t="shared" si="11"/>
        <v>286153.37400000007</v>
      </c>
      <c r="Y29" s="129"/>
      <c r="Z29" s="276"/>
      <c r="AA29" s="276"/>
      <c r="AB29" s="276"/>
      <c r="AC29" s="276"/>
      <c r="AD29" s="276"/>
      <c r="AE29" s="276"/>
      <c r="AF29" s="276"/>
      <c r="AG29" s="276"/>
      <c r="AH29" s="276"/>
      <c r="AI29" s="276"/>
      <c r="AJ29" s="276"/>
      <c r="AK29" s="276"/>
      <c r="AL29" s="276"/>
      <c r="AM29" s="276"/>
      <c r="AN29" s="276"/>
      <c r="AO29" s="276"/>
      <c r="AP29" s="276"/>
      <c r="AZ29" s="284">
        <f t="shared" si="26"/>
        <v>-355.02900000000005</v>
      </c>
    </row>
    <row r="30" spans="1:52" ht="81" customHeight="1" outlineLevel="1">
      <c r="A30" s="191"/>
      <c r="B30" s="129">
        <v>5</v>
      </c>
      <c r="C30" s="249" t="s">
        <v>1117</v>
      </c>
      <c r="D30" s="129" t="s">
        <v>235</v>
      </c>
      <c r="E30" s="151">
        <v>13</v>
      </c>
      <c r="F30" s="151">
        <f t="shared" si="36"/>
        <v>13</v>
      </c>
      <c r="G30" s="151">
        <f t="shared" si="36"/>
        <v>13</v>
      </c>
      <c r="H30" s="151">
        <f t="shared" si="28"/>
        <v>39</v>
      </c>
      <c r="I30" s="151">
        <f t="shared" si="29"/>
        <v>65</v>
      </c>
      <c r="J30" s="151">
        <f t="shared" si="30"/>
        <v>117</v>
      </c>
      <c r="K30" s="151">
        <f t="shared" si="31"/>
        <v>221</v>
      </c>
      <c r="L30" s="151">
        <f t="shared" si="32"/>
        <v>403</v>
      </c>
      <c r="M30" s="139">
        <f t="shared" si="20"/>
        <v>61.501400000000004</v>
      </c>
      <c r="N30" s="139">
        <v>37.380000000000003</v>
      </c>
      <c r="O30" s="139">
        <v>0.03</v>
      </c>
      <c r="P30" s="139">
        <v>23</v>
      </c>
      <c r="Q30" s="139">
        <f t="shared" si="37"/>
        <v>799.51820000000009</v>
      </c>
      <c r="R30" s="139">
        <f t="shared" si="38"/>
        <v>799.51820000000009</v>
      </c>
      <c r="S30" s="139">
        <f t="shared" si="39"/>
        <v>799.51820000000009</v>
      </c>
      <c r="T30" s="139">
        <f t="shared" si="40"/>
        <v>2398.5545999999999</v>
      </c>
      <c r="U30" s="139">
        <f t="shared" si="42"/>
        <v>3997.5910000000003</v>
      </c>
      <c r="V30" s="139">
        <f t="shared" si="9"/>
        <v>7195.6638000000003</v>
      </c>
      <c r="W30" s="139">
        <f t="shared" si="10"/>
        <v>13591.8094</v>
      </c>
      <c r="X30" s="139">
        <f t="shared" si="11"/>
        <v>24785.064200000001</v>
      </c>
      <c r="Y30" s="129"/>
      <c r="Z30" s="276"/>
      <c r="AA30" s="276"/>
      <c r="AB30" s="276"/>
      <c r="AC30" s="276"/>
      <c r="AD30" s="276"/>
      <c r="AE30" s="276"/>
      <c r="AF30" s="276"/>
      <c r="AG30" s="276"/>
      <c r="AH30" s="276"/>
      <c r="AI30" s="276"/>
      <c r="AJ30" s="276"/>
      <c r="AK30" s="276"/>
      <c r="AL30" s="276"/>
      <c r="AM30" s="276"/>
      <c r="AN30" s="276"/>
      <c r="AO30" s="276"/>
      <c r="AP30" s="276"/>
      <c r="AS30" s="199">
        <v>5</v>
      </c>
      <c r="AT30" s="199" t="s">
        <v>1117</v>
      </c>
      <c r="AU30" s="199" t="s">
        <v>235</v>
      </c>
      <c r="AV30" s="199">
        <v>61.501399999999997</v>
      </c>
      <c r="AW30" s="199">
        <v>37.380000000000003</v>
      </c>
      <c r="AX30" s="199">
        <v>0.03</v>
      </c>
      <c r="AY30" s="199">
        <v>23</v>
      </c>
      <c r="AZ30" s="284">
        <f t="shared" si="26"/>
        <v>0</v>
      </c>
    </row>
    <row r="31" spans="1:52" ht="81.75" customHeight="1" outlineLevel="1">
      <c r="A31" s="191"/>
      <c r="B31" s="129">
        <v>6</v>
      </c>
      <c r="C31" s="249" t="s">
        <v>1118</v>
      </c>
      <c r="D31" s="129" t="s">
        <v>235</v>
      </c>
      <c r="E31" s="151">
        <v>14</v>
      </c>
      <c r="F31" s="151">
        <f t="shared" si="36"/>
        <v>14</v>
      </c>
      <c r="G31" s="151">
        <f t="shared" si="36"/>
        <v>14</v>
      </c>
      <c r="H31" s="151">
        <f t="shared" si="28"/>
        <v>42</v>
      </c>
      <c r="I31" s="151">
        <f t="shared" si="29"/>
        <v>70</v>
      </c>
      <c r="J31" s="151">
        <f t="shared" si="30"/>
        <v>126</v>
      </c>
      <c r="K31" s="151">
        <f t="shared" si="31"/>
        <v>238</v>
      </c>
      <c r="L31" s="151">
        <f t="shared" si="32"/>
        <v>434</v>
      </c>
      <c r="M31" s="139">
        <f t="shared" si="20"/>
        <v>188.14750000000001</v>
      </c>
      <c r="N31" s="139">
        <v>131.25</v>
      </c>
      <c r="O31" s="139">
        <v>0.03</v>
      </c>
      <c r="P31" s="139">
        <v>52.96</v>
      </c>
      <c r="Q31" s="139">
        <f t="shared" si="37"/>
        <v>2634.0650000000001</v>
      </c>
      <c r="R31" s="139">
        <f t="shared" si="38"/>
        <v>2634.0650000000001</v>
      </c>
      <c r="S31" s="139">
        <f t="shared" si="39"/>
        <v>2634.0650000000001</v>
      </c>
      <c r="T31" s="139">
        <f t="shared" si="40"/>
        <v>7902.1950000000006</v>
      </c>
      <c r="U31" s="139">
        <f t="shared" si="42"/>
        <v>13170.325000000001</v>
      </c>
      <c r="V31" s="139">
        <f t="shared" si="9"/>
        <v>23706.585000000003</v>
      </c>
      <c r="W31" s="139">
        <f t="shared" si="10"/>
        <v>44779.105000000003</v>
      </c>
      <c r="X31" s="139">
        <f t="shared" si="11"/>
        <v>81656.014999999999</v>
      </c>
      <c r="Y31" s="129"/>
      <c r="Z31" s="276"/>
      <c r="AA31" s="276"/>
      <c r="AB31" s="276"/>
      <c r="AC31" s="276"/>
      <c r="AD31" s="276"/>
      <c r="AE31" s="276"/>
      <c r="AF31" s="276"/>
      <c r="AG31" s="276"/>
      <c r="AH31" s="276"/>
      <c r="AI31" s="276"/>
      <c r="AJ31" s="276"/>
      <c r="AK31" s="276"/>
      <c r="AL31" s="276"/>
      <c r="AM31" s="276"/>
      <c r="AN31" s="276"/>
      <c r="AO31" s="276"/>
      <c r="AP31" s="276"/>
      <c r="AS31" s="199">
        <v>6</v>
      </c>
      <c r="AT31" s="199" t="s">
        <v>1118</v>
      </c>
      <c r="AU31" s="199" t="s">
        <v>235</v>
      </c>
      <c r="AV31" s="199">
        <v>188.14750000000001</v>
      </c>
      <c r="AW31" s="199">
        <v>131.25</v>
      </c>
      <c r="AX31" s="199">
        <v>0.03</v>
      </c>
      <c r="AY31" s="199">
        <v>52.96</v>
      </c>
      <c r="AZ31" s="284">
        <f t="shared" si="26"/>
        <v>0</v>
      </c>
    </row>
    <row r="32" spans="1:52" ht="93" customHeight="1" outlineLevel="1">
      <c r="A32" s="191"/>
      <c r="B32" s="129" t="s">
        <v>233</v>
      </c>
      <c r="C32" s="249" t="s">
        <v>1119</v>
      </c>
      <c r="D32" s="129" t="s">
        <v>235</v>
      </c>
      <c r="E32" s="151">
        <v>15</v>
      </c>
      <c r="F32" s="151">
        <f t="shared" si="36"/>
        <v>15</v>
      </c>
      <c r="G32" s="151">
        <f t="shared" si="36"/>
        <v>15</v>
      </c>
      <c r="H32" s="151">
        <f t="shared" si="28"/>
        <v>45</v>
      </c>
      <c r="I32" s="151">
        <f t="shared" si="29"/>
        <v>75</v>
      </c>
      <c r="J32" s="151">
        <f t="shared" si="30"/>
        <v>135</v>
      </c>
      <c r="K32" s="151">
        <f t="shared" si="31"/>
        <v>255</v>
      </c>
      <c r="L32" s="151">
        <f t="shared" si="32"/>
        <v>465</v>
      </c>
      <c r="M32" s="139">
        <f t="shared" si="20"/>
        <v>192.01000000000002</v>
      </c>
      <c r="N32" s="139">
        <v>135</v>
      </c>
      <c r="O32" s="139">
        <v>0.03</v>
      </c>
      <c r="P32" s="139">
        <v>52.96</v>
      </c>
      <c r="Q32" s="139">
        <f t="shared" si="37"/>
        <v>2880.15</v>
      </c>
      <c r="R32" s="139">
        <f t="shared" si="38"/>
        <v>2880.15</v>
      </c>
      <c r="S32" s="139">
        <f t="shared" si="39"/>
        <v>2880.15</v>
      </c>
      <c r="T32" s="139">
        <f t="shared" si="40"/>
        <v>8640.4500000000007</v>
      </c>
      <c r="U32" s="139">
        <f t="shared" si="42"/>
        <v>14400.750000000002</v>
      </c>
      <c r="V32" s="139">
        <f t="shared" si="9"/>
        <v>25921.350000000002</v>
      </c>
      <c r="W32" s="139">
        <f t="shared" si="10"/>
        <v>48962.55</v>
      </c>
      <c r="X32" s="139">
        <f t="shared" si="11"/>
        <v>89284.650000000009</v>
      </c>
      <c r="Y32" s="129"/>
      <c r="Z32" s="276"/>
      <c r="AA32" s="276"/>
      <c r="AB32" s="276"/>
      <c r="AC32" s="276"/>
      <c r="AD32" s="276"/>
      <c r="AE32" s="276"/>
      <c r="AF32" s="276"/>
      <c r="AG32" s="276"/>
      <c r="AH32" s="276"/>
      <c r="AI32" s="276"/>
      <c r="AJ32" s="276"/>
      <c r="AK32" s="276"/>
      <c r="AL32" s="276"/>
      <c r="AM32" s="276"/>
      <c r="AN32" s="276"/>
      <c r="AO32" s="276"/>
      <c r="AP32" s="276"/>
      <c r="AS32" s="199" t="s">
        <v>233</v>
      </c>
      <c r="AT32" s="199" t="s">
        <v>1119</v>
      </c>
      <c r="AU32" s="199" t="s">
        <v>235</v>
      </c>
      <c r="AV32" s="199">
        <v>192.01</v>
      </c>
      <c r="AW32" s="199">
        <v>135</v>
      </c>
      <c r="AX32" s="199">
        <v>0.03</v>
      </c>
      <c r="AY32" s="199">
        <v>52.96</v>
      </c>
      <c r="AZ32" s="284">
        <f t="shared" si="26"/>
        <v>0</v>
      </c>
    </row>
    <row r="33" spans="1:52" ht="92.25" customHeight="1" outlineLevel="1">
      <c r="A33" s="191"/>
      <c r="B33" s="129">
        <v>7</v>
      </c>
      <c r="C33" s="249" t="s">
        <v>1120</v>
      </c>
      <c r="D33" s="129" t="s">
        <v>235</v>
      </c>
      <c r="E33" s="151">
        <v>16</v>
      </c>
      <c r="F33" s="151">
        <f t="shared" si="36"/>
        <v>16</v>
      </c>
      <c r="G33" s="151">
        <f t="shared" si="36"/>
        <v>16</v>
      </c>
      <c r="H33" s="151">
        <f t="shared" si="28"/>
        <v>48</v>
      </c>
      <c r="I33" s="151">
        <f t="shared" si="29"/>
        <v>80</v>
      </c>
      <c r="J33" s="151">
        <f t="shared" si="30"/>
        <v>144</v>
      </c>
      <c r="K33" s="151">
        <f t="shared" si="31"/>
        <v>272</v>
      </c>
      <c r="L33" s="151">
        <f t="shared" si="32"/>
        <v>496</v>
      </c>
      <c r="M33" s="139">
        <f t="shared" si="20"/>
        <v>164.9725</v>
      </c>
      <c r="N33" s="139">
        <v>108.75</v>
      </c>
      <c r="O33" s="139">
        <v>0.03</v>
      </c>
      <c r="P33" s="139">
        <v>52.96</v>
      </c>
      <c r="Q33" s="139">
        <f t="shared" si="37"/>
        <v>2639.56</v>
      </c>
      <c r="R33" s="139">
        <f t="shared" si="38"/>
        <v>2639.56</v>
      </c>
      <c r="S33" s="139">
        <f t="shared" si="39"/>
        <v>2639.56</v>
      </c>
      <c r="T33" s="139">
        <f t="shared" si="40"/>
        <v>7918.68</v>
      </c>
      <c r="U33" s="139">
        <f t="shared" si="42"/>
        <v>13197.8</v>
      </c>
      <c r="V33" s="139">
        <f t="shared" si="9"/>
        <v>23756.04</v>
      </c>
      <c r="W33" s="139">
        <f t="shared" si="10"/>
        <v>44872.52</v>
      </c>
      <c r="X33" s="139">
        <f t="shared" si="11"/>
        <v>81826.36</v>
      </c>
      <c r="Y33" s="129"/>
      <c r="Z33" s="276"/>
      <c r="AA33" s="276"/>
      <c r="AB33" s="276"/>
      <c r="AC33" s="276"/>
      <c r="AD33" s="276"/>
      <c r="AE33" s="276"/>
      <c r="AF33" s="276"/>
      <c r="AG33" s="276"/>
      <c r="AH33" s="276"/>
      <c r="AI33" s="276"/>
      <c r="AJ33" s="276"/>
      <c r="AK33" s="276"/>
      <c r="AL33" s="276"/>
      <c r="AM33" s="276"/>
      <c r="AN33" s="276"/>
      <c r="AO33" s="276"/>
      <c r="AP33" s="276"/>
      <c r="AS33" s="199">
        <v>7</v>
      </c>
      <c r="AT33" s="199" t="s">
        <v>1120</v>
      </c>
      <c r="AU33" s="199" t="s">
        <v>235</v>
      </c>
      <c r="AV33" s="199">
        <v>164.9725</v>
      </c>
      <c r="AW33" s="199">
        <v>108.75</v>
      </c>
      <c r="AX33" s="199">
        <v>0.03</v>
      </c>
      <c r="AY33" s="199">
        <v>52.96</v>
      </c>
      <c r="AZ33" s="284">
        <f t="shared" si="26"/>
        <v>0</v>
      </c>
    </row>
    <row r="34" spans="1:52" ht="84.75" customHeight="1" outlineLevel="1">
      <c r="A34" s="191"/>
      <c r="B34" s="129" t="s">
        <v>233</v>
      </c>
      <c r="C34" s="249" t="s">
        <v>1121</v>
      </c>
      <c r="D34" s="129" t="s">
        <v>235</v>
      </c>
      <c r="E34" s="151">
        <v>17</v>
      </c>
      <c r="F34" s="151">
        <f t="shared" si="36"/>
        <v>17</v>
      </c>
      <c r="G34" s="151">
        <f t="shared" si="36"/>
        <v>17</v>
      </c>
      <c r="H34" s="151">
        <f t="shared" si="28"/>
        <v>51</v>
      </c>
      <c r="I34" s="151">
        <f t="shared" si="29"/>
        <v>85</v>
      </c>
      <c r="J34" s="151">
        <f t="shared" si="30"/>
        <v>153</v>
      </c>
      <c r="K34" s="151">
        <f t="shared" si="31"/>
        <v>289</v>
      </c>
      <c r="L34" s="151">
        <f t="shared" si="32"/>
        <v>527</v>
      </c>
      <c r="M34" s="139">
        <f t="shared" si="20"/>
        <v>145.66</v>
      </c>
      <c r="N34" s="139">
        <v>90</v>
      </c>
      <c r="O34" s="139">
        <v>0.03</v>
      </c>
      <c r="P34" s="139">
        <v>52.96</v>
      </c>
      <c r="Q34" s="139">
        <f t="shared" si="37"/>
        <v>2476.2199999999998</v>
      </c>
      <c r="R34" s="139">
        <f t="shared" si="38"/>
        <v>2476.2199999999998</v>
      </c>
      <c r="S34" s="139">
        <f t="shared" si="39"/>
        <v>2476.2199999999998</v>
      </c>
      <c r="T34" s="139">
        <f t="shared" si="40"/>
        <v>7428.66</v>
      </c>
      <c r="U34" s="139">
        <f t="shared" si="42"/>
        <v>12381.1</v>
      </c>
      <c r="V34" s="139">
        <f t="shared" si="9"/>
        <v>22285.98</v>
      </c>
      <c r="W34" s="139">
        <f t="shared" si="10"/>
        <v>42095.74</v>
      </c>
      <c r="X34" s="139">
        <f t="shared" si="11"/>
        <v>76762.819999999992</v>
      </c>
      <c r="Y34" s="129"/>
      <c r="Z34" s="276"/>
      <c r="AA34" s="276"/>
      <c r="AB34" s="276"/>
      <c r="AC34" s="276"/>
      <c r="AD34" s="276"/>
      <c r="AE34" s="276"/>
      <c r="AF34" s="276"/>
      <c r="AG34" s="276"/>
      <c r="AH34" s="276"/>
      <c r="AI34" s="276"/>
      <c r="AJ34" s="276"/>
      <c r="AK34" s="276"/>
      <c r="AL34" s="276"/>
      <c r="AM34" s="276"/>
      <c r="AN34" s="276"/>
      <c r="AO34" s="276"/>
      <c r="AP34" s="276"/>
      <c r="AS34" s="199" t="s">
        <v>233</v>
      </c>
      <c r="AT34" s="199" t="s">
        <v>1121</v>
      </c>
      <c r="AU34" s="199" t="s">
        <v>235</v>
      </c>
      <c r="AV34" s="199">
        <v>145.66</v>
      </c>
      <c r="AW34" s="199">
        <v>90</v>
      </c>
      <c r="AX34" s="199">
        <v>0.03</v>
      </c>
      <c r="AY34" s="199">
        <v>52.96</v>
      </c>
      <c r="AZ34" s="284">
        <f t="shared" si="26"/>
        <v>0</v>
      </c>
    </row>
    <row r="35" spans="1:52" ht="34.5" customHeight="1" outlineLevel="1">
      <c r="A35" s="191"/>
      <c r="B35" s="129">
        <v>8</v>
      </c>
      <c r="C35" s="249" t="s">
        <v>1122</v>
      </c>
      <c r="D35" s="129" t="s">
        <v>270</v>
      </c>
      <c r="E35" s="151">
        <v>18</v>
      </c>
      <c r="F35" s="151">
        <f t="shared" si="36"/>
        <v>18</v>
      </c>
      <c r="G35" s="151">
        <f t="shared" si="36"/>
        <v>18</v>
      </c>
      <c r="H35" s="151">
        <f t="shared" si="28"/>
        <v>54</v>
      </c>
      <c r="I35" s="151">
        <f t="shared" si="29"/>
        <v>90</v>
      </c>
      <c r="J35" s="151">
        <f t="shared" si="30"/>
        <v>162</v>
      </c>
      <c r="K35" s="151">
        <f t="shared" si="31"/>
        <v>306</v>
      </c>
      <c r="L35" s="151">
        <f t="shared" si="32"/>
        <v>558</v>
      </c>
      <c r="M35" s="139">
        <f t="shared" si="20"/>
        <v>319.2</v>
      </c>
      <c r="N35" s="139">
        <v>220</v>
      </c>
      <c r="O35" s="139">
        <v>0.01</v>
      </c>
      <c r="P35" s="139">
        <v>97</v>
      </c>
      <c r="Q35" s="139">
        <f t="shared" si="37"/>
        <v>5745.5999999999995</v>
      </c>
      <c r="R35" s="139">
        <f t="shared" si="38"/>
        <v>5745.5999999999995</v>
      </c>
      <c r="S35" s="139">
        <f t="shared" si="39"/>
        <v>5745.5999999999995</v>
      </c>
      <c r="T35" s="139">
        <f t="shared" si="40"/>
        <v>17236.8</v>
      </c>
      <c r="U35" s="139">
        <f t="shared" si="42"/>
        <v>28728</v>
      </c>
      <c r="V35" s="139">
        <f t="shared" si="9"/>
        <v>51710.400000000001</v>
      </c>
      <c r="W35" s="139">
        <f t="shared" si="10"/>
        <v>97675.199999999997</v>
      </c>
      <c r="X35" s="139">
        <f t="shared" si="11"/>
        <v>178113.6</v>
      </c>
      <c r="Y35" s="129"/>
      <c r="Z35" s="276"/>
      <c r="AA35" s="276"/>
      <c r="AB35" s="276"/>
      <c r="AC35" s="276"/>
      <c r="AD35" s="276"/>
      <c r="AE35" s="276"/>
      <c r="AF35" s="276"/>
      <c r="AG35" s="276"/>
      <c r="AH35" s="276"/>
      <c r="AI35" s="276"/>
      <c r="AJ35" s="276"/>
      <c r="AK35" s="276"/>
      <c r="AL35" s="276"/>
      <c r="AM35" s="276"/>
      <c r="AN35" s="276"/>
      <c r="AO35" s="276"/>
      <c r="AP35" s="276"/>
      <c r="AS35" s="199">
        <v>8</v>
      </c>
      <c r="AT35" s="199" t="s">
        <v>1122</v>
      </c>
      <c r="AU35" s="199" t="s">
        <v>270</v>
      </c>
      <c r="AV35" s="199">
        <v>319.2</v>
      </c>
      <c r="AW35" s="199">
        <v>220</v>
      </c>
      <c r="AX35" s="199">
        <v>0.01</v>
      </c>
      <c r="AY35" s="199">
        <v>97</v>
      </c>
      <c r="AZ35" s="284">
        <f t="shared" si="26"/>
        <v>0</v>
      </c>
    </row>
    <row r="36" spans="1:52" ht="72" customHeight="1">
      <c r="A36" s="191"/>
      <c r="B36" s="129">
        <v>9</v>
      </c>
      <c r="C36" s="272" t="s">
        <v>1123</v>
      </c>
      <c r="D36" s="252" t="s">
        <v>482</v>
      </c>
      <c r="E36" s="151">
        <v>28</v>
      </c>
      <c r="F36" s="151">
        <f t="shared" si="36"/>
        <v>28</v>
      </c>
      <c r="G36" s="151">
        <f t="shared" si="36"/>
        <v>28</v>
      </c>
      <c r="H36" s="151">
        <f t="shared" si="28"/>
        <v>84</v>
      </c>
      <c r="I36" s="151">
        <f t="shared" si="29"/>
        <v>140</v>
      </c>
      <c r="J36" s="151">
        <f t="shared" si="30"/>
        <v>252</v>
      </c>
      <c r="K36" s="151">
        <f t="shared" si="31"/>
        <v>476</v>
      </c>
      <c r="L36" s="151">
        <f t="shared" si="32"/>
        <v>868</v>
      </c>
      <c r="M36" s="139">
        <f t="shared" si="20"/>
        <v>272.5</v>
      </c>
      <c r="N36" s="139">
        <v>250</v>
      </c>
      <c r="O36" s="139">
        <v>0.01</v>
      </c>
      <c r="P36" s="139">
        <v>20</v>
      </c>
      <c r="Q36" s="139">
        <f t="shared" si="37"/>
        <v>7630</v>
      </c>
      <c r="R36" s="139">
        <f t="shared" si="38"/>
        <v>7630</v>
      </c>
      <c r="S36" s="139">
        <f t="shared" si="39"/>
        <v>7630</v>
      </c>
      <c r="T36" s="139">
        <f t="shared" si="40"/>
        <v>22890</v>
      </c>
      <c r="U36" s="139">
        <f t="shared" si="42"/>
        <v>38150</v>
      </c>
      <c r="V36" s="139">
        <f t="shared" si="9"/>
        <v>68670</v>
      </c>
      <c r="W36" s="139">
        <f t="shared" si="10"/>
        <v>129710</v>
      </c>
      <c r="X36" s="139">
        <f t="shared" si="11"/>
        <v>236530</v>
      </c>
      <c r="Y36" s="129"/>
      <c r="Z36" s="276"/>
      <c r="AA36" s="276"/>
      <c r="AB36" s="276"/>
      <c r="AC36" s="276"/>
      <c r="AD36" s="276"/>
      <c r="AE36" s="276"/>
      <c r="AF36" s="276"/>
      <c r="AG36" s="276"/>
      <c r="AH36" s="276"/>
      <c r="AI36" s="276"/>
      <c r="AJ36" s="276"/>
      <c r="AK36" s="276"/>
      <c r="AL36" s="276"/>
      <c r="AM36" s="276"/>
      <c r="AN36" s="276"/>
      <c r="AO36" s="276"/>
      <c r="AP36" s="276"/>
      <c r="AS36" s="199">
        <v>9</v>
      </c>
      <c r="AT36" s="199" t="s">
        <v>1123</v>
      </c>
      <c r="AU36" s="199" t="s">
        <v>482</v>
      </c>
      <c r="AV36" s="199">
        <v>272.5</v>
      </c>
      <c r="AW36" s="199">
        <v>250</v>
      </c>
      <c r="AX36" s="199">
        <v>0.01</v>
      </c>
      <c r="AY36" s="199">
        <v>20</v>
      </c>
      <c r="AZ36" s="284">
        <f t="shared" si="26"/>
        <v>0</v>
      </c>
    </row>
    <row r="37" spans="1:52" ht="38.25" customHeight="1" outlineLevel="1">
      <c r="A37" s="191"/>
      <c r="B37" s="129">
        <v>10</v>
      </c>
      <c r="C37" s="272" t="s">
        <v>1124</v>
      </c>
      <c r="D37" s="252" t="s">
        <v>482</v>
      </c>
      <c r="E37" s="151">
        <v>29</v>
      </c>
      <c r="F37" s="151">
        <f t="shared" si="36"/>
        <v>29</v>
      </c>
      <c r="G37" s="151">
        <f t="shared" si="36"/>
        <v>29</v>
      </c>
      <c r="H37" s="151">
        <f t="shared" si="28"/>
        <v>87</v>
      </c>
      <c r="I37" s="151">
        <f t="shared" si="29"/>
        <v>145</v>
      </c>
      <c r="J37" s="151">
        <f t="shared" si="30"/>
        <v>261</v>
      </c>
      <c r="K37" s="151">
        <f t="shared" si="31"/>
        <v>493</v>
      </c>
      <c r="L37" s="151">
        <f t="shared" si="32"/>
        <v>899</v>
      </c>
      <c r="M37" s="139">
        <f t="shared" si="20"/>
        <v>39.64</v>
      </c>
      <c r="N37" s="139">
        <f>'附件4-8甲供材料清单'!K209</f>
        <v>20</v>
      </c>
      <c r="O37" s="139">
        <v>0.01</v>
      </c>
      <c r="P37" s="139">
        <v>19.440000000000001</v>
      </c>
      <c r="Q37" s="139">
        <f t="shared" si="37"/>
        <v>1149.56</v>
      </c>
      <c r="R37" s="139">
        <f t="shared" si="38"/>
        <v>1149.56</v>
      </c>
      <c r="S37" s="139">
        <f t="shared" si="39"/>
        <v>1149.56</v>
      </c>
      <c r="T37" s="139">
        <f t="shared" si="40"/>
        <v>3448.68</v>
      </c>
      <c r="U37" s="139">
        <f t="shared" si="42"/>
        <v>5747.8</v>
      </c>
      <c r="V37" s="139">
        <f t="shared" si="9"/>
        <v>10346.040000000001</v>
      </c>
      <c r="W37" s="139">
        <f t="shared" si="10"/>
        <v>19542.52</v>
      </c>
      <c r="X37" s="139">
        <f t="shared" si="11"/>
        <v>35636.36</v>
      </c>
      <c r="Y37" s="129" t="s">
        <v>244</v>
      </c>
      <c r="Z37" s="277">
        <f t="shared" ref="Z37" si="43">E37*$N37*(1+$O37)</f>
        <v>585.79999999999995</v>
      </c>
      <c r="AA37" s="277">
        <f t="shared" ref="AA37" si="44">F37*$N37*(1+$O37)</f>
        <v>585.79999999999995</v>
      </c>
      <c r="AB37" s="277">
        <f t="shared" ref="AB37:AG40" si="45">G37*$N37*(1+$O37)</f>
        <v>585.79999999999995</v>
      </c>
      <c r="AC37" s="277">
        <f t="shared" si="45"/>
        <v>1757.4</v>
      </c>
      <c r="AD37" s="277">
        <f t="shared" si="45"/>
        <v>2929</v>
      </c>
      <c r="AE37" s="277">
        <f t="shared" si="45"/>
        <v>5272.2</v>
      </c>
      <c r="AF37" s="277">
        <f t="shared" si="45"/>
        <v>9958.6</v>
      </c>
      <c r="AG37" s="277">
        <f t="shared" si="45"/>
        <v>18159.8</v>
      </c>
      <c r="AH37" s="277"/>
      <c r="AI37" s="277">
        <f t="shared" ref="AI37" si="46">Q37</f>
        <v>1149.56</v>
      </c>
      <c r="AJ37" s="277">
        <f t="shared" ref="AJ37" si="47">R37</f>
        <v>1149.56</v>
      </c>
      <c r="AK37" s="277">
        <f t="shared" ref="AK37:AP40" si="48">S37</f>
        <v>1149.56</v>
      </c>
      <c r="AL37" s="277">
        <f t="shared" si="48"/>
        <v>3448.68</v>
      </c>
      <c r="AM37" s="277">
        <f t="shared" si="48"/>
        <v>5747.8</v>
      </c>
      <c r="AN37" s="277">
        <f t="shared" si="48"/>
        <v>10346.040000000001</v>
      </c>
      <c r="AO37" s="277">
        <f t="shared" si="48"/>
        <v>19542.52</v>
      </c>
      <c r="AP37" s="277">
        <f t="shared" si="48"/>
        <v>35636.36</v>
      </c>
      <c r="AQ37" s="281"/>
      <c r="AR37" s="265"/>
      <c r="AS37" s="199">
        <v>10</v>
      </c>
      <c r="AT37" s="199" t="s">
        <v>1124</v>
      </c>
      <c r="AU37" s="199" t="s">
        <v>482</v>
      </c>
      <c r="AV37" s="199">
        <v>54.79</v>
      </c>
      <c r="AW37" s="199">
        <v>35</v>
      </c>
      <c r="AX37" s="199">
        <v>0.01</v>
      </c>
      <c r="AY37" s="199">
        <v>19.440000000000001</v>
      </c>
      <c r="AZ37" s="284">
        <f t="shared" si="26"/>
        <v>15.149999999999999</v>
      </c>
    </row>
    <row r="38" spans="1:52" ht="25.5" customHeight="1" outlineLevel="1">
      <c r="A38" s="191"/>
      <c r="B38" s="129">
        <v>11</v>
      </c>
      <c r="C38" s="272" t="s">
        <v>1125</v>
      </c>
      <c r="D38" s="129" t="s">
        <v>235</v>
      </c>
      <c r="E38" s="151">
        <v>30</v>
      </c>
      <c r="F38" s="151">
        <f t="shared" si="36"/>
        <v>30</v>
      </c>
      <c r="G38" s="151">
        <f t="shared" si="36"/>
        <v>30</v>
      </c>
      <c r="H38" s="151">
        <f t="shared" si="28"/>
        <v>90</v>
      </c>
      <c r="I38" s="151">
        <f t="shared" si="29"/>
        <v>150</v>
      </c>
      <c r="J38" s="151">
        <f t="shared" si="30"/>
        <v>270</v>
      </c>
      <c r="K38" s="151">
        <f t="shared" si="31"/>
        <v>510</v>
      </c>
      <c r="L38" s="151">
        <f t="shared" si="32"/>
        <v>930</v>
      </c>
      <c r="M38" s="139">
        <f t="shared" si="20"/>
        <v>2.5351999999999997</v>
      </c>
      <c r="N38" s="139">
        <f>'附件4-8甲供材料清单'!K110</f>
        <v>1.47</v>
      </c>
      <c r="O38" s="139">
        <v>0.16</v>
      </c>
      <c r="P38" s="139">
        <v>0.83</v>
      </c>
      <c r="Q38" s="139">
        <f t="shared" si="37"/>
        <v>76.055999999999983</v>
      </c>
      <c r="R38" s="139">
        <f t="shared" si="38"/>
        <v>76.055999999999983</v>
      </c>
      <c r="S38" s="139">
        <f t="shared" si="39"/>
        <v>76.055999999999983</v>
      </c>
      <c r="T38" s="139">
        <f t="shared" si="40"/>
        <v>228.16799999999998</v>
      </c>
      <c r="U38" s="139">
        <f t="shared" si="42"/>
        <v>380.28</v>
      </c>
      <c r="V38" s="139">
        <f t="shared" si="9"/>
        <v>684.50399999999991</v>
      </c>
      <c r="W38" s="139">
        <f t="shared" si="10"/>
        <v>1292.9519999999998</v>
      </c>
      <c r="X38" s="139">
        <f t="shared" si="11"/>
        <v>2357.7359999999999</v>
      </c>
      <c r="Y38" s="129" t="s">
        <v>244</v>
      </c>
      <c r="Z38" s="277">
        <f t="shared" ref="Z38:AA40" si="49">E38*$N38*(1+$O38)</f>
        <v>51.155999999999999</v>
      </c>
      <c r="AA38" s="277">
        <f t="shared" si="49"/>
        <v>51.155999999999999</v>
      </c>
      <c r="AB38" s="277">
        <f t="shared" si="45"/>
        <v>51.155999999999999</v>
      </c>
      <c r="AC38" s="277">
        <f t="shared" si="45"/>
        <v>153.46799999999999</v>
      </c>
      <c r="AD38" s="277">
        <f t="shared" si="45"/>
        <v>255.77999999999997</v>
      </c>
      <c r="AE38" s="277">
        <f t="shared" si="45"/>
        <v>460.40399999999994</v>
      </c>
      <c r="AF38" s="277">
        <f t="shared" si="45"/>
        <v>869.65199999999982</v>
      </c>
      <c r="AG38" s="277">
        <f t="shared" si="45"/>
        <v>1585.8359999999998</v>
      </c>
      <c r="AH38" s="277"/>
      <c r="AI38" s="277">
        <f t="shared" ref="AI38:AJ40" si="50">Q38</f>
        <v>76.055999999999983</v>
      </c>
      <c r="AJ38" s="277">
        <f t="shared" si="50"/>
        <v>76.055999999999983</v>
      </c>
      <c r="AK38" s="277">
        <f t="shared" si="48"/>
        <v>76.055999999999983</v>
      </c>
      <c r="AL38" s="277">
        <f t="shared" si="48"/>
        <v>228.16799999999998</v>
      </c>
      <c r="AM38" s="277">
        <f t="shared" si="48"/>
        <v>380.28</v>
      </c>
      <c r="AN38" s="277">
        <f t="shared" si="48"/>
        <v>684.50399999999991</v>
      </c>
      <c r="AO38" s="277">
        <f t="shared" si="48"/>
        <v>1292.9519999999998</v>
      </c>
      <c r="AP38" s="277">
        <f t="shared" si="48"/>
        <v>2357.7359999999999</v>
      </c>
      <c r="AQ38" s="281"/>
      <c r="AR38" s="265"/>
      <c r="AS38" s="199">
        <v>11</v>
      </c>
      <c r="AT38" s="199" t="s">
        <v>1126</v>
      </c>
      <c r="AU38" s="199" t="s">
        <v>235</v>
      </c>
      <c r="AV38" s="199">
        <v>2.6402960000000002</v>
      </c>
      <c r="AW38" s="199">
        <v>1.5606</v>
      </c>
      <c r="AX38" s="199">
        <v>0.16</v>
      </c>
      <c r="AY38" s="199">
        <v>0.83</v>
      </c>
      <c r="AZ38" s="284">
        <f t="shared" si="26"/>
        <v>0.10509600000000052</v>
      </c>
    </row>
    <row r="39" spans="1:52" ht="25.5" customHeight="1" outlineLevel="1">
      <c r="A39" s="191"/>
      <c r="B39" s="129">
        <v>12</v>
      </c>
      <c r="C39" s="272" t="s">
        <v>1127</v>
      </c>
      <c r="D39" s="129" t="s">
        <v>235</v>
      </c>
      <c r="E39" s="151">
        <v>31</v>
      </c>
      <c r="F39" s="151">
        <f t="shared" si="36"/>
        <v>31</v>
      </c>
      <c r="G39" s="151">
        <f t="shared" si="36"/>
        <v>31</v>
      </c>
      <c r="H39" s="151">
        <f t="shared" si="28"/>
        <v>93</v>
      </c>
      <c r="I39" s="151">
        <f t="shared" si="29"/>
        <v>155</v>
      </c>
      <c r="J39" s="151">
        <f t="shared" si="30"/>
        <v>279</v>
      </c>
      <c r="K39" s="151">
        <f t="shared" si="31"/>
        <v>527</v>
      </c>
      <c r="L39" s="151">
        <f t="shared" si="32"/>
        <v>961</v>
      </c>
      <c r="M39" s="139">
        <f t="shared" si="20"/>
        <v>7.0295000000000005</v>
      </c>
      <c r="N39" s="139">
        <f>'附件4-8甲供材料清单'!K116</f>
        <v>1.19</v>
      </c>
      <c r="O39" s="139">
        <v>0.05</v>
      </c>
      <c r="P39" s="139">
        <v>5.78</v>
      </c>
      <c r="Q39" s="139">
        <f t="shared" si="37"/>
        <v>217.9145</v>
      </c>
      <c r="R39" s="139">
        <f t="shared" si="38"/>
        <v>217.9145</v>
      </c>
      <c r="S39" s="139">
        <f t="shared" si="39"/>
        <v>217.9145</v>
      </c>
      <c r="T39" s="139">
        <f t="shared" si="40"/>
        <v>653.74350000000004</v>
      </c>
      <c r="U39" s="139">
        <f t="shared" si="42"/>
        <v>1089.5725</v>
      </c>
      <c r="V39" s="139">
        <f t="shared" si="9"/>
        <v>1961.2305000000001</v>
      </c>
      <c r="W39" s="139">
        <f t="shared" si="10"/>
        <v>3704.5465000000004</v>
      </c>
      <c r="X39" s="139">
        <f t="shared" si="11"/>
        <v>6755.3495000000003</v>
      </c>
      <c r="Y39" s="129" t="s">
        <v>244</v>
      </c>
      <c r="Z39" s="277">
        <f t="shared" si="49"/>
        <v>38.734500000000004</v>
      </c>
      <c r="AA39" s="277">
        <f t="shared" si="49"/>
        <v>38.734500000000004</v>
      </c>
      <c r="AB39" s="277">
        <f t="shared" si="45"/>
        <v>38.734500000000004</v>
      </c>
      <c r="AC39" s="277">
        <f t="shared" si="45"/>
        <v>116.20350000000001</v>
      </c>
      <c r="AD39" s="277">
        <f t="shared" si="45"/>
        <v>193.67249999999999</v>
      </c>
      <c r="AE39" s="277">
        <f t="shared" si="45"/>
        <v>348.6105</v>
      </c>
      <c r="AF39" s="277">
        <f t="shared" si="45"/>
        <v>658.48649999999998</v>
      </c>
      <c r="AG39" s="277">
        <f t="shared" si="45"/>
        <v>1200.7694999999999</v>
      </c>
      <c r="AH39" s="277"/>
      <c r="AI39" s="277">
        <f t="shared" si="50"/>
        <v>217.9145</v>
      </c>
      <c r="AJ39" s="277">
        <f t="shared" si="50"/>
        <v>217.9145</v>
      </c>
      <c r="AK39" s="277">
        <f t="shared" si="48"/>
        <v>217.9145</v>
      </c>
      <c r="AL39" s="277">
        <f t="shared" si="48"/>
        <v>653.74350000000004</v>
      </c>
      <c r="AM39" s="277">
        <f t="shared" si="48"/>
        <v>1089.5725</v>
      </c>
      <c r="AN39" s="277">
        <f t="shared" si="48"/>
        <v>1961.2305000000001</v>
      </c>
      <c r="AO39" s="277">
        <f t="shared" si="48"/>
        <v>3704.5465000000004</v>
      </c>
      <c r="AP39" s="277">
        <f t="shared" si="48"/>
        <v>6755.3495000000003</v>
      </c>
      <c r="AQ39" s="281"/>
      <c r="AR39" s="265"/>
      <c r="AS39" s="199">
        <v>12</v>
      </c>
      <c r="AT39" s="199" t="s">
        <v>1127</v>
      </c>
      <c r="AU39" s="199" t="s">
        <v>235</v>
      </c>
      <c r="AV39" s="199">
        <v>6.9874999999999998</v>
      </c>
      <c r="AW39" s="199">
        <v>1.1499999999999999</v>
      </c>
      <c r="AX39" s="199">
        <v>0.05</v>
      </c>
      <c r="AY39" s="199">
        <v>5.78</v>
      </c>
      <c r="AZ39" s="284">
        <f t="shared" si="26"/>
        <v>-4.2000000000000703E-2</v>
      </c>
    </row>
    <row r="40" spans="1:52" ht="25.5" customHeight="1" outlineLevel="1">
      <c r="A40" s="191"/>
      <c r="B40" s="129">
        <v>13</v>
      </c>
      <c r="C40" s="272" t="s">
        <v>1128</v>
      </c>
      <c r="D40" s="129" t="s">
        <v>320</v>
      </c>
      <c r="E40" s="151">
        <v>32</v>
      </c>
      <c r="F40" s="151">
        <f t="shared" si="36"/>
        <v>32</v>
      </c>
      <c r="G40" s="151">
        <f t="shared" si="36"/>
        <v>32</v>
      </c>
      <c r="H40" s="151">
        <f t="shared" si="28"/>
        <v>96</v>
      </c>
      <c r="I40" s="151">
        <f t="shared" si="29"/>
        <v>160</v>
      </c>
      <c r="J40" s="151">
        <f t="shared" si="30"/>
        <v>288</v>
      </c>
      <c r="K40" s="151">
        <f t="shared" si="31"/>
        <v>544</v>
      </c>
      <c r="L40" s="151">
        <f t="shared" si="32"/>
        <v>992</v>
      </c>
      <c r="M40" s="139">
        <f t="shared" si="20"/>
        <v>12.4772</v>
      </c>
      <c r="N40" s="139">
        <f>'附件4-8甲供材料清单'!K93</f>
        <v>5.72</v>
      </c>
      <c r="O40" s="139">
        <v>0.01</v>
      </c>
      <c r="P40" s="139">
        <v>6.7</v>
      </c>
      <c r="Q40" s="139">
        <f t="shared" ref="Q40" si="51">E40*$M40</f>
        <v>399.2704</v>
      </c>
      <c r="R40" s="139">
        <f t="shared" ref="R40" si="52">F40*$M40</f>
        <v>399.2704</v>
      </c>
      <c r="S40" s="139">
        <f t="shared" ref="S40" si="53">G40*$M40</f>
        <v>399.2704</v>
      </c>
      <c r="T40" s="139">
        <f t="shared" ref="T40" si="54">H40*$M40</f>
        <v>1197.8112000000001</v>
      </c>
      <c r="U40" s="139">
        <f t="shared" ref="U40" si="55">I40*$M40</f>
        <v>1996.3519999999999</v>
      </c>
      <c r="V40" s="139">
        <f t="shared" ref="V40:V71" si="56">J40*$M40</f>
        <v>3593.4335999999998</v>
      </c>
      <c r="W40" s="139">
        <f t="shared" ref="W40:W71" si="57">K40*$M40</f>
        <v>6787.5968000000003</v>
      </c>
      <c r="X40" s="139">
        <f t="shared" ref="X40:X71" si="58">L40*$M40</f>
        <v>12377.3824</v>
      </c>
      <c r="Y40" s="129" t="s">
        <v>244</v>
      </c>
      <c r="Z40" s="277">
        <f t="shared" si="49"/>
        <v>184.87039999999999</v>
      </c>
      <c r="AA40" s="277">
        <f t="shared" si="49"/>
        <v>184.87039999999999</v>
      </c>
      <c r="AB40" s="277">
        <f t="shared" si="45"/>
        <v>184.87039999999999</v>
      </c>
      <c r="AC40" s="277">
        <f t="shared" si="45"/>
        <v>554.61120000000005</v>
      </c>
      <c r="AD40" s="277">
        <f t="shared" si="45"/>
        <v>924.35199999999998</v>
      </c>
      <c r="AE40" s="277">
        <f t="shared" si="45"/>
        <v>1663.8335999999999</v>
      </c>
      <c r="AF40" s="277">
        <f t="shared" si="45"/>
        <v>3142.7968000000001</v>
      </c>
      <c r="AG40" s="277">
        <f t="shared" si="45"/>
        <v>5730.9823999999999</v>
      </c>
      <c r="AH40" s="277"/>
      <c r="AI40" s="277">
        <f t="shared" si="50"/>
        <v>399.2704</v>
      </c>
      <c r="AJ40" s="277">
        <f t="shared" si="50"/>
        <v>399.2704</v>
      </c>
      <c r="AK40" s="277">
        <f t="shared" si="48"/>
        <v>399.2704</v>
      </c>
      <c r="AL40" s="277">
        <f t="shared" si="48"/>
        <v>1197.8112000000001</v>
      </c>
      <c r="AM40" s="277">
        <f t="shared" si="48"/>
        <v>1996.3519999999999</v>
      </c>
      <c r="AN40" s="277">
        <f t="shared" si="48"/>
        <v>3593.4335999999998</v>
      </c>
      <c r="AO40" s="277">
        <f t="shared" si="48"/>
        <v>6787.5968000000003</v>
      </c>
      <c r="AP40" s="277">
        <f t="shared" si="48"/>
        <v>12377.3824</v>
      </c>
      <c r="AQ40" s="281"/>
      <c r="AR40" s="265"/>
      <c r="AS40" s="199">
        <v>13</v>
      </c>
      <c r="AT40" s="199" t="s">
        <v>1128</v>
      </c>
      <c r="AU40" s="199" t="s">
        <v>320</v>
      </c>
      <c r="AV40" s="199">
        <v>12.042899999999999</v>
      </c>
      <c r="AW40" s="199" t="s">
        <v>457</v>
      </c>
      <c r="AX40" s="199">
        <v>0.01</v>
      </c>
      <c r="AY40" s="199">
        <v>6.7</v>
      </c>
      <c r="AZ40" s="284">
        <f t="shared" si="26"/>
        <v>-0.43430000000000035</v>
      </c>
    </row>
    <row r="41" spans="1:52" ht="25.5" customHeight="1" outlineLevel="1">
      <c r="A41" s="191"/>
      <c r="B41" s="129">
        <v>14</v>
      </c>
      <c r="C41" s="249" t="s">
        <v>1129</v>
      </c>
      <c r="D41" s="129" t="s">
        <v>1091</v>
      </c>
      <c r="E41" s="151">
        <v>33</v>
      </c>
      <c r="F41" s="151">
        <f t="shared" si="36"/>
        <v>33</v>
      </c>
      <c r="G41" s="151">
        <f t="shared" si="36"/>
        <v>33</v>
      </c>
      <c r="H41" s="151">
        <f t="shared" si="28"/>
        <v>99</v>
      </c>
      <c r="I41" s="151">
        <f t="shared" si="29"/>
        <v>165</v>
      </c>
      <c r="J41" s="151">
        <f t="shared" si="30"/>
        <v>297</v>
      </c>
      <c r="K41" s="151">
        <f t="shared" si="31"/>
        <v>561</v>
      </c>
      <c r="L41" s="151">
        <f t="shared" si="32"/>
        <v>1023</v>
      </c>
      <c r="M41" s="139">
        <f t="shared" si="20"/>
        <v>35</v>
      </c>
      <c r="N41" s="139"/>
      <c r="O41" s="139"/>
      <c r="P41" s="139">
        <v>35</v>
      </c>
      <c r="Q41" s="139">
        <f t="shared" ref="Q41:Q55" si="59">E41*$M41</f>
        <v>1155</v>
      </c>
      <c r="R41" s="139">
        <f t="shared" ref="R41:R55" si="60">F41*$M41</f>
        <v>1155</v>
      </c>
      <c r="S41" s="139">
        <f t="shared" ref="S41:S55" si="61">G41*$M41</f>
        <v>1155</v>
      </c>
      <c r="T41" s="139">
        <f t="shared" ref="T41:T55" si="62">H41*$M41</f>
        <v>3465</v>
      </c>
      <c r="U41" s="139">
        <f t="shared" ref="U41:U55" si="63">I41*$M41</f>
        <v>5775</v>
      </c>
      <c r="V41" s="139">
        <f t="shared" si="56"/>
        <v>10395</v>
      </c>
      <c r="W41" s="139">
        <f t="shared" si="57"/>
        <v>19635</v>
      </c>
      <c r="X41" s="139">
        <f t="shared" si="58"/>
        <v>35805</v>
      </c>
      <c r="Y41" s="129"/>
      <c r="Z41" s="276"/>
      <c r="AA41" s="276"/>
      <c r="AB41" s="276"/>
      <c r="AC41" s="276"/>
      <c r="AD41" s="276"/>
      <c r="AE41" s="276"/>
      <c r="AF41" s="276"/>
      <c r="AG41" s="276"/>
      <c r="AH41" s="276"/>
      <c r="AI41" s="276"/>
      <c r="AJ41" s="276"/>
      <c r="AK41" s="276"/>
      <c r="AL41" s="276"/>
      <c r="AM41" s="276"/>
      <c r="AN41" s="276"/>
      <c r="AO41" s="276"/>
      <c r="AP41" s="276"/>
      <c r="AS41" s="199">
        <v>14</v>
      </c>
      <c r="AT41" s="199" t="s">
        <v>1129</v>
      </c>
      <c r="AU41" s="199" t="s">
        <v>1092</v>
      </c>
      <c r="AV41" s="199">
        <v>35</v>
      </c>
      <c r="AW41" s="199"/>
      <c r="AX41" s="199"/>
      <c r="AY41" s="199">
        <v>35</v>
      </c>
      <c r="AZ41" s="284">
        <f t="shared" si="26"/>
        <v>0</v>
      </c>
    </row>
    <row r="42" spans="1:52" ht="36" customHeight="1">
      <c r="A42" s="194"/>
      <c r="B42" s="197" t="s">
        <v>60</v>
      </c>
      <c r="C42" s="266" t="s">
        <v>1130</v>
      </c>
      <c r="D42" s="197"/>
      <c r="E42" s="151">
        <v>34</v>
      </c>
      <c r="F42" s="151">
        <f t="shared" si="36"/>
        <v>34</v>
      </c>
      <c r="G42" s="151">
        <f t="shared" si="36"/>
        <v>34</v>
      </c>
      <c r="H42" s="151">
        <f t="shared" si="28"/>
        <v>102</v>
      </c>
      <c r="I42" s="151">
        <f t="shared" si="29"/>
        <v>170</v>
      </c>
      <c r="J42" s="151">
        <f t="shared" si="30"/>
        <v>306</v>
      </c>
      <c r="K42" s="151">
        <f t="shared" si="31"/>
        <v>578</v>
      </c>
      <c r="L42" s="151">
        <f t="shared" si="32"/>
        <v>1054</v>
      </c>
      <c r="M42" s="139"/>
      <c r="N42" s="206"/>
      <c r="O42" s="206"/>
      <c r="P42" s="206"/>
      <c r="Q42" s="139">
        <f t="shared" si="59"/>
        <v>0</v>
      </c>
      <c r="R42" s="139">
        <f t="shared" si="60"/>
        <v>0</v>
      </c>
      <c r="S42" s="139">
        <f t="shared" si="61"/>
        <v>0</v>
      </c>
      <c r="T42" s="139">
        <f t="shared" si="62"/>
        <v>0</v>
      </c>
      <c r="U42" s="139">
        <f t="shared" si="63"/>
        <v>0</v>
      </c>
      <c r="V42" s="139">
        <f t="shared" si="56"/>
        <v>0</v>
      </c>
      <c r="W42" s="139">
        <f t="shared" si="57"/>
        <v>0</v>
      </c>
      <c r="X42" s="139">
        <f t="shared" si="58"/>
        <v>0</v>
      </c>
      <c r="Y42" s="197"/>
      <c r="Z42" s="275"/>
      <c r="AA42" s="275"/>
      <c r="AB42" s="275"/>
      <c r="AC42" s="275"/>
      <c r="AD42" s="275"/>
      <c r="AE42" s="275"/>
      <c r="AF42" s="275"/>
      <c r="AG42" s="275"/>
      <c r="AH42" s="275"/>
      <c r="AI42" s="275"/>
      <c r="AJ42" s="275"/>
      <c r="AK42" s="275"/>
      <c r="AL42" s="275"/>
      <c r="AM42" s="275"/>
      <c r="AN42" s="275"/>
      <c r="AO42" s="275"/>
      <c r="AP42" s="275"/>
      <c r="AQ42" s="279"/>
      <c r="AS42" s="199" t="s">
        <v>60</v>
      </c>
      <c r="AT42" s="199" t="s">
        <v>1130</v>
      </c>
      <c r="AU42" s="199"/>
      <c r="AV42" s="199"/>
      <c r="AW42" s="199"/>
      <c r="AX42" s="199"/>
      <c r="AY42" s="199"/>
      <c r="AZ42" s="284">
        <f t="shared" si="26"/>
        <v>0</v>
      </c>
    </row>
    <row r="43" spans="1:52" ht="60.75" customHeight="1">
      <c r="A43" s="191"/>
      <c r="B43" s="129" t="s">
        <v>395</v>
      </c>
      <c r="C43" s="249" t="s">
        <v>1131</v>
      </c>
      <c r="D43" s="129" t="s">
        <v>1091</v>
      </c>
      <c r="E43" s="151">
        <v>35</v>
      </c>
      <c r="F43" s="151">
        <f t="shared" si="36"/>
        <v>35</v>
      </c>
      <c r="G43" s="151">
        <f t="shared" si="36"/>
        <v>35</v>
      </c>
      <c r="H43" s="151">
        <f t="shared" si="28"/>
        <v>105</v>
      </c>
      <c r="I43" s="151">
        <f t="shared" si="29"/>
        <v>175</v>
      </c>
      <c r="J43" s="151">
        <f t="shared" si="30"/>
        <v>315</v>
      </c>
      <c r="K43" s="151">
        <f t="shared" si="31"/>
        <v>595</v>
      </c>
      <c r="L43" s="151">
        <f t="shared" si="32"/>
        <v>1085</v>
      </c>
      <c r="M43" s="139">
        <f t="shared" ref="M43:M58" si="64">N43*(1+O43)+P43</f>
        <v>606.6</v>
      </c>
      <c r="N43" s="139">
        <v>280</v>
      </c>
      <c r="O43" s="139">
        <v>0.02</v>
      </c>
      <c r="P43" s="139">
        <v>321</v>
      </c>
      <c r="Q43" s="139">
        <f t="shared" si="59"/>
        <v>21231</v>
      </c>
      <c r="R43" s="139">
        <f t="shared" si="60"/>
        <v>21231</v>
      </c>
      <c r="S43" s="139">
        <f t="shared" si="61"/>
        <v>21231</v>
      </c>
      <c r="T43" s="139">
        <f t="shared" si="62"/>
        <v>63693</v>
      </c>
      <c r="U43" s="139">
        <f t="shared" si="63"/>
        <v>106155</v>
      </c>
      <c r="V43" s="139">
        <f t="shared" si="56"/>
        <v>191079</v>
      </c>
      <c r="W43" s="139">
        <f t="shared" si="57"/>
        <v>360927</v>
      </c>
      <c r="X43" s="139">
        <f t="shared" si="58"/>
        <v>658161</v>
      </c>
      <c r="Y43" s="129"/>
      <c r="Z43" s="276"/>
      <c r="AA43" s="276"/>
      <c r="AB43" s="276"/>
      <c r="AC43" s="276"/>
      <c r="AD43" s="276"/>
      <c r="AE43" s="276"/>
      <c r="AF43" s="276"/>
      <c r="AG43" s="276"/>
      <c r="AH43" s="276"/>
      <c r="AI43" s="276"/>
      <c r="AJ43" s="276"/>
      <c r="AK43" s="276"/>
      <c r="AL43" s="276"/>
      <c r="AM43" s="276"/>
      <c r="AN43" s="276"/>
      <c r="AO43" s="276"/>
      <c r="AP43" s="276"/>
      <c r="AS43" s="199" t="s">
        <v>395</v>
      </c>
      <c r="AT43" s="199" t="s">
        <v>1131</v>
      </c>
      <c r="AU43" s="199" t="s">
        <v>1092</v>
      </c>
      <c r="AV43" s="199">
        <v>606.6</v>
      </c>
      <c r="AW43" s="199">
        <v>280</v>
      </c>
      <c r="AX43" s="199">
        <v>0.02</v>
      </c>
      <c r="AY43" s="199">
        <v>321</v>
      </c>
      <c r="AZ43" s="284">
        <f t="shared" si="26"/>
        <v>0</v>
      </c>
    </row>
    <row r="44" spans="1:52" ht="59.25" customHeight="1">
      <c r="A44" s="191"/>
      <c r="B44" s="129" t="s">
        <v>233</v>
      </c>
      <c r="C44" s="249" t="s">
        <v>1132</v>
      </c>
      <c r="D44" s="129" t="s">
        <v>1091</v>
      </c>
      <c r="E44" s="151">
        <v>36</v>
      </c>
      <c r="F44" s="151">
        <f t="shared" si="36"/>
        <v>36</v>
      </c>
      <c r="G44" s="151">
        <f t="shared" si="36"/>
        <v>36</v>
      </c>
      <c r="H44" s="151">
        <f t="shared" si="28"/>
        <v>108</v>
      </c>
      <c r="I44" s="151">
        <f t="shared" si="29"/>
        <v>180</v>
      </c>
      <c r="J44" s="151">
        <f t="shared" si="30"/>
        <v>324</v>
      </c>
      <c r="K44" s="151">
        <f t="shared" si="31"/>
        <v>612</v>
      </c>
      <c r="L44" s="151">
        <f t="shared" si="32"/>
        <v>1116</v>
      </c>
      <c r="M44" s="139">
        <f t="shared" si="64"/>
        <v>586.20000000000005</v>
      </c>
      <c r="N44" s="139">
        <v>260</v>
      </c>
      <c r="O44" s="139">
        <v>0.02</v>
      </c>
      <c r="P44" s="139">
        <v>321</v>
      </c>
      <c r="Q44" s="139">
        <f t="shared" si="59"/>
        <v>21103.200000000001</v>
      </c>
      <c r="R44" s="139">
        <f t="shared" si="60"/>
        <v>21103.200000000001</v>
      </c>
      <c r="S44" s="139">
        <f t="shared" si="61"/>
        <v>21103.200000000001</v>
      </c>
      <c r="T44" s="139">
        <f t="shared" si="62"/>
        <v>63309.600000000006</v>
      </c>
      <c r="U44" s="139">
        <f t="shared" si="63"/>
        <v>105516.00000000001</v>
      </c>
      <c r="V44" s="139">
        <f t="shared" si="56"/>
        <v>189928.80000000002</v>
      </c>
      <c r="W44" s="139">
        <f t="shared" si="57"/>
        <v>358754.4</v>
      </c>
      <c r="X44" s="139">
        <f t="shared" si="58"/>
        <v>654199.20000000007</v>
      </c>
      <c r="Y44" s="129"/>
      <c r="Z44" s="276"/>
      <c r="AA44" s="276"/>
      <c r="AB44" s="276"/>
      <c r="AC44" s="276"/>
      <c r="AD44" s="276"/>
      <c r="AE44" s="276"/>
      <c r="AF44" s="276"/>
      <c r="AG44" s="276"/>
      <c r="AH44" s="276"/>
      <c r="AI44" s="276"/>
      <c r="AJ44" s="276"/>
      <c r="AK44" s="276"/>
      <c r="AL44" s="276"/>
      <c r="AM44" s="276"/>
      <c r="AN44" s="276"/>
      <c r="AO44" s="276"/>
      <c r="AP44" s="276"/>
      <c r="AS44" s="199" t="s">
        <v>233</v>
      </c>
      <c r="AT44" s="199" t="s">
        <v>1132</v>
      </c>
      <c r="AU44" s="199" t="s">
        <v>1092</v>
      </c>
      <c r="AV44" s="199">
        <v>586.20000000000005</v>
      </c>
      <c r="AW44" s="199">
        <v>260</v>
      </c>
      <c r="AX44" s="199">
        <v>0.02</v>
      </c>
      <c r="AY44" s="199">
        <v>321</v>
      </c>
      <c r="AZ44" s="284">
        <f t="shared" si="26"/>
        <v>0</v>
      </c>
    </row>
    <row r="45" spans="1:52" ht="62.25" customHeight="1">
      <c r="A45" s="191"/>
      <c r="B45" s="129" t="s">
        <v>233</v>
      </c>
      <c r="C45" s="249" t="s">
        <v>1133</v>
      </c>
      <c r="D45" s="129" t="s">
        <v>1091</v>
      </c>
      <c r="E45" s="151">
        <v>37</v>
      </c>
      <c r="F45" s="151">
        <f t="shared" si="36"/>
        <v>37</v>
      </c>
      <c r="G45" s="151">
        <f t="shared" si="36"/>
        <v>37</v>
      </c>
      <c r="H45" s="151">
        <f t="shared" si="28"/>
        <v>111</v>
      </c>
      <c r="I45" s="151">
        <f t="shared" si="29"/>
        <v>185</v>
      </c>
      <c r="J45" s="151">
        <f t="shared" si="30"/>
        <v>333</v>
      </c>
      <c r="K45" s="151">
        <f t="shared" si="31"/>
        <v>629</v>
      </c>
      <c r="L45" s="151">
        <f t="shared" si="32"/>
        <v>1147</v>
      </c>
      <c r="M45" s="139">
        <f t="shared" si="64"/>
        <v>611.70000000000005</v>
      </c>
      <c r="N45" s="139">
        <v>285</v>
      </c>
      <c r="O45" s="139">
        <v>0.02</v>
      </c>
      <c r="P45" s="139">
        <v>321</v>
      </c>
      <c r="Q45" s="139">
        <f t="shared" si="59"/>
        <v>22632.9</v>
      </c>
      <c r="R45" s="139">
        <f t="shared" si="60"/>
        <v>22632.9</v>
      </c>
      <c r="S45" s="139">
        <f t="shared" si="61"/>
        <v>22632.9</v>
      </c>
      <c r="T45" s="139">
        <f t="shared" si="62"/>
        <v>67898.700000000012</v>
      </c>
      <c r="U45" s="139">
        <f t="shared" si="63"/>
        <v>113164.50000000001</v>
      </c>
      <c r="V45" s="139">
        <f t="shared" si="56"/>
        <v>203696.1</v>
      </c>
      <c r="W45" s="139">
        <f t="shared" si="57"/>
        <v>384759.30000000005</v>
      </c>
      <c r="X45" s="139">
        <f t="shared" si="58"/>
        <v>701619.9</v>
      </c>
      <c r="Y45" s="129"/>
      <c r="Z45" s="276"/>
      <c r="AA45" s="276"/>
      <c r="AB45" s="276"/>
      <c r="AC45" s="276"/>
      <c r="AD45" s="276"/>
      <c r="AE45" s="276"/>
      <c r="AF45" s="276"/>
      <c r="AG45" s="276"/>
      <c r="AH45" s="276"/>
      <c r="AI45" s="276"/>
      <c r="AJ45" s="276"/>
      <c r="AK45" s="276"/>
      <c r="AL45" s="276"/>
      <c r="AM45" s="276"/>
      <c r="AN45" s="276"/>
      <c r="AO45" s="276"/>
      <c r="AP45" s="276"/>
      <c r="AS45" s="199" t="s">
        <v>233</v>
      </c>
      <c r="AT45" s="199" t="s">
        <v>1133</v>
      </c>
      <c r="AU45" s="199" t="s">
        <v>1092</v>
      </c>
      <c r="AV45" s="199">
        <v>611.70000000000005</v>
      </c>
      <c r="AW45" s="199">
        <v>285</v>
      </c>
      <c r="AX45" s="199">
        <v>0.02</v>
      </c>
      <c r="AY45" s="199">
        <v>321</v>
      </c>
      <c r="AZ45" s="284">
        <f t="shared" si="26"/>
        <v>0</v>
      </c>
    </row>
    <row r="46" spans="1:52" ht="24.75" customHeight="1">
      <c r="A46" s="191"/>
      <c r="B46" s="129" t="s">
        <v>402</v>
      </c>
      <c r="C46" s="249" t="s">
        <v>1134</v>
      </c>
      <c r="D46" s="129" t="s">
        <v>1091</v>
      </c>
      <c r="E46" s="151">
        <v>38</v>
      </c>
      <c r="F46" s="151">
        <f t="shared" si="36"/>
        <v>38</v>
      </c>
      <c r="G46" s="151">
        <f t="shared" si="36"/>
        <v>38</v>
      </c>
      <c r="H46" s="151">
        <f t="shared" si="28"/>
        <v>114</v>
      </c>
      <c r="I46" s="151">
        <f t="shared" si="29"/>
        <v>190</v>
      </c>
      <c r="J46" s="151">
        <f t="shared" si="30"/>
        <v>342</v>
      </c>
      <c r="K46" s="151">
        <f t="shared" si="31"/>
        <v>646</v>
      </c>
      <c r="L46" s="151">
        <f t="shared" si="32"/>
        <v>1178</v>
      </c>
      <c r="M46" s="139">
        <f t="shared" si="64"/>
        <v>606.6</v>
      </c>
      <c r="N46" s="139">
        <v>280</v>
      </c>
      <c r="O46" s="139">
        <v>0.02</v>
      </c>
      <c r="P46" s="139">
        <v>321</v>
      </c>
      <c r="Q46" s="139">
        <f t="shared" si="59"/>
        <v>23050.799999999999</v>
      </c>
      <c r="R46" s="139">
        <f t="shared" si="60"/>
        <v>23050.799999999999</v>
      </c>
      <c r="S46" s="139">
        <f t="shared" si="61"/>
        <v>23050.799999999999</v>
      </c>
      <c r="T46" s="139">
        <f t="shared" si="62"/>
        <v>69152.400000000009</v>
      </c>
      <c r="U46" s="139">
        <f t="shared" si="63"/>
        <v>115254</v>
      </c>
      <c r="V46" s="139">
        <f t="shared" si="56"/>
        <v>207457.2</v>
      </c>
      <c r="W46" s="139">
        <f t="shared" si="57"/>
        <v>391863.60000000003</v>
      </c>
      <c r="X46" s="139">
        <f t="shared" si="58"/>
        <v>714574.8</v>
      </c>
      <c r="Y46" s="129"/>
      <c r="Z46" s="276"/>
      <c r="AA46" s="276"/>
      <c r="AB46" s="276"/>
      <c r="AC46" s="276"/>
      <c r="AD46" s="276"/>
      <c r="AE46" s="276"/>
      <c r="AF46" s="276"/>
      <c r="AG46" s="276"/>
      <c r="AH46" s="276"/>
      <c r="AI46" s="276"/>
      <c r="AJ46" s="276"/>
      <c r="AK46" s="276"/>
      <c r="AL46" s="276"/>
      <c r="AM46" s="276"/>
      <c r="AN46" s="276"/>
      <c r="AO46" s="276"/>
      <c r="AP46" s="276"/>
      <c r="AS46" s="199" t="s">
        <v>402</v>
      </c>
      <c r="AT46" s="199" t="s">
        <v>1134</v>
      </c>
      <c r="AU46" s="199" t="s">
        <v>1092</v>
      </c>
      <c r="AV46" s="199">
        <v>606.6</v>
      </c>
      <c r="AW46" s="199">
        <v>280</v>
      </c>
      <c r="AX46" s="199">
        <v>0.02</v>
      </c>
      <c r="AY46" s="199">
        <v>321</v>
      </c>
      <c r="AZ46" s="284">
        <f t="shared" si="26"/>
        <v>0</v>
      </c>
    </row>
    <row r="47" spans="1:52" ht="30.75" customHeight="1">
      <c r="A47" s="191"/>
      <c r="B47" s="129" t="s">
        <v>233</v>
      </c>
      <c r="C47" s="249" t="s">
        <v>1135</v>
      </c>
      <c r="D47" s="129" t="s">
        <v>1091</v>
      </c>
      <c r="E47" s="151">
        <v>39</v>
      </c>
      <c r="F47" s="151">
        <f t="shared" si="36"/>
        <v>39</v>
      </c>
      <c r="G47" s="151">
        <f t="shared" si="36"/>
        <v>39</v>
      </c>
      <c r="H47" s="151">
        <f t="shared" si="28"/>
        <v>117</v>
      </c>
      <c r="I47" s="151">
        <f t="shared" si="29"/>
        <v>195</v>
      </c>
      <c r="J47" s="151">
        <f t="shared" si="30"/>
        <v>351</v>
      </c>
      <c r="K47" s="151">
        <f t="shared" si="31"/>
        <v>663</v>
      </c>
      <c r="L47" s="151">
        <f t="shared" si="32"/>
        <v>1209</v>
      </c>
      <c r="M47" s="139">
        <f t="shared" si="64"/>
        <v>586.20000000000005</v>
      </c>
      <c r="N47" s="139">
        <v>260</v>
      </c>
      <c r="O47" s="139">
        <v>0.02</v>
      </c>
      <c r="P47" s="139">
        <v>321</v>
      </c>
      <c r="Q47" s="139">
        <f t="shared" si="59"/>
        <v>22861.800000000003</v>
      </c>
      <c r="R47" s="139">
        <f t="shared" si="60"/>
        <v>22861.800000000003</v>
      </c>
      <c r="S47" s="139">
        <f t="shared" si="61"/>
        <v>22861.800000000003</v>
      </c>
      <c r="T47" s="139">
        <f t="shared" si="62"/>
        <v>68585.400000000009</v>
      </c>
      <c r="U47" s="139">
        <f t="shared" si="63"/>
        <v>114309.00000000001</v>
      </c>
      <c r="V47" s="139">
        <f t="shared" si="56"/>
        <v>205756.2</v>
      </c>
      <c r="W47" s="139">
        <f t="shared" si="57"/>
        <v>388650.60000000003</v>
      </c>
      <c r="X47" s="139">
        <f t="shared" si="58"/>
        <v>708715.8</v>
      </c>
      <c r="Y47" s="129"/>
      <c r="Z47" s="276"/>
      <c r="AA47" s="276"/>
      <c r="AB47" s="276"/>
      <c r="AC47" s="276"/>
      <c r="AD47" s="276"/>
      <c r="AE47" s="276"/>
      <c r="AF47" s="276"/>
      <c r="AG47" s="276"/>
      <c r="AH47" s="276"/>
      <c r="AI47" s="276"/>
      <c r="AJ47" s="276"/>
      <c r="AK47" s="276"/>
      <c r="AL47" s="276"/>
      <c r="AM47" s="276"/>
      <c r="AN47" s="276"/>
      <c r="AO47" s="276"/>
      <c r="AP47" s="276"/>
      <c r="AS47" s="199" t="s">
        <v>233</v>
      </c>
      <c r="AT47" s="199" t="s">
        <v>1135</v>
      </c>
      <c r="AU47" s="199" t="s">
        <v>1092</v>
      </c>
      <c r="AV47" s="199">
        <v>586.20000000000005</v>
      </c>
      <c r="AW47" s="199">
        <v>260</v>
      </c>
      <c r="AX47" s="199">
        <v>0.02</v>
      </c>
      <c r="AY47" s="199">
        <v>321</v>
      </c>
      <c r="AZ47" s="284">
        <f t="shared" si="26"/>
        <v>0</v>
      </c>
    </row>
    <row r="48" spans="1:52" ht="28.5" customHeight="1">
      <c r="A48" s="191"/>
      <c r="B48" s="129" t="s">
        <v>233</v>
      </c>
      <c r="C48" s="249" t="s">
        <v>1136</v>
      </c>
      <c r="D48" s="129" t="s">
        <v>1091</v>
      </c>
      <c r="E48" s="151">
        <v>40</v>
      </c>
      <c r="F48" s="151">
        <f t="shared" si="36"/>
        <v>40</v>
      </c>
      <c r="G48" s="151">
        <f t="shared" si="36"/>
        <v>40</v>
      </c>
      <c r="H48" s="151">
        <f t="shared" si="28"/>
        <v>120</v>
      </c>
      <c r="I48" s="151">
        <f t="shared" si="29"/>
        <v>200</v>
      </c>
      <c r="J48" s="151">
        <f t="shared" si="30"/>
        <v>360</v>
      </c>
      <c r="K48" s="151">
        <f t="shared" si="31"/>
        <v>680</v>
      </c>
      <c r="L48" s="151">
        <f t="shared" si="32"/>
        <v>1240</v>
      </c>
      <c r="M48" s="139">
        <f t="shared" si="64"/>
        <v>611.70000000000005</v>
      </c>
      <c r="N48" s="139">
        <v>285</v>
      </c>
      <c r="O48" s="139">
        <v>0.02</v>
      </c>
      <c r="P48" s="139">
        <v>321</v>
      </c>
      <c r="Q48" s="139">
        <f t="shared" si="59"/>
        <v>24468</v>
      </c>
      <c r="R48" s="139">
        <f t="shared" si="60"/>
        <v>24468</v>
      </c>
      <c r="S48" s="139">
        <f t="shared" si="61"/>
        <v>24468</v>
      </c>
      <c r="T48" s="139">
        <f t="shared" si="62"/>
        <v>73404</v>
      </c>
      <c r="U48" s="139">
        <f t="shared" si="63"/>
        <v>122340.00000000001</v>
      </c>
      <c r="V48" s="139">
        <f t="shared" si="56"/>
        <v>220212.00000000003</v>
      </c>
      <c r="W48" s="139">
        <f t="shared" si="57"/>
        <v>415956.00000000006</v>
      </c>
      <c r="X48" s="139">
        <f t="shared" si="58"/>
        <v>758508</v>
      </c>
      <c r="Y48" s="129"/>
      <c r="Z48" s="276"/>
      <c r="AA48" s="276"/>
      <c r="AB48" s="276"/>
      <c r="AC48" s="276"/>
      <c r="AD48" s="276"/>
      <c r="AE48" s="276"/>
      <c r="AF48" s="276"/>
      <c r="AG48" s="276"/>
      <c r="AH48" s="276"/>
      <c r="AI48" s="276"/>
      <c r="AJ48" s="276"/>
      <c r="AK48" s="276"/>
      <c r="AL48" s="276"/>
      <c r="AM48" s="276"/>
      <c r="AN48" s="276"/>
      <c r="AO48" s="276"/>
      <c r="AP48" s="276"/>
      <c r="AS48" s="199" t="s">
        <v>233</v>
      </c>
      <c r="AT48" s="199" t="s">
        <v>1136</v>
      </c>
      <c r="AU48" s="199" t="s">
        <v>1092</v>
      </c>
      <c r="AV48" s="199">
        <v>611.70000000000005</v>
      </c>
      <c r="AW48" s="199">
        <v>285</v>
      </c>
      <c r="AX48" s="199">
        <v>0.02</v>
      </c>
      <c r="AY48" s="199">
        <v>321</v>
      </c>
      <c r="AZ48" s="284">
        <f t="shared" si="26"/>
        <v>0</v>
      </c>
    </row>
    <row r="49" spans="1:52" ht="30.75" customHeight="1">
      <c r="A49" s="191"/>
      <c r="B49" s="129" t="s">
        <v>233</v>
      </c>
      <c r="C49" s="249" t="s">
        <v>1137</v>
      </c>
      <c r="D49" s="129" t="s">
        <v>1091</v>
      </c>
      <c r="E49" s="151">
        <v>41</v>
      </c>
      <c r="F49" s="151">
        <f t="shared" si="36"/>
        <v>41</v>
      </c>
      <c r="G49" s="151">
        <f t="shared" si="36"/>
        <v>41</v>
      </c>
      <c r="H49" s="151">
        <f t="shared" si="28"/>
        <v>123</v>
      </c>
      <c r="I49" s="151">
        <f t="shared" si="29"/>
        <v>205</v>
      </c>
      <c r="J49" s="151">
        <f t="shared" si="30"/>
        <v>369</v>
      </c>
      <c r="K49" s="151">
        <f t="shared" si="31"/>
        <v>697</v>
      </c>
      <c r="L49" s="151">
        <f t="shared" si="32"/>
        <v>1271</v>
      </c>
      <c r="M49" s="139">
        <f t="shared" si="64"/>
        <v>519.9</v>
      </c>
      <c r="N49" s="139">
        <v>195</v>
      </c>
      <c r="O49" s="139">
        <v>0.02</v>
      </c>
      <c r="P49" s="139">
        <v>321</v>
      </c>
      <c r="Q49" s="139">
        <f t="shared" si="59"/>
        <v>21315.899999999998</v>
      </c>
      <c r="R49" s="139">
        <f t="shared" si="60"/>
        <v>21315.899999999998</v>
      </c>
      <c r="S49" s="139">
        <f t="shared" si="61"/>
        <v>21315.899999999998</v>
      </c>
      <c r="T49" s="139">
        <f t="shared" si="62"/>
        <v>63947.7</v>
      </c>
      <c r="U49" s="139">
        <f t="shared" si="63"/>
        <v>106579.5</v>
      </c>
      <c r="V49" s="139">
        <f t="shared" si="56"/>
        <v>191843.1</v>
      </c>
      <c r="W49" s="139">
        <f t="shared" si="57"/>
        <v>362370.3</v>
      </c>
      <c r="X49" s="139">
        <f t="shared" si="58"/>
        <v>660792.9</v>
      </c>
      <c r="Y49" s="129"/>
      <c r="Z49" s="276"/>
      <c r="AA49" s="276"/>
      <c r="AB49" s="276"/>
      <c r="AC49" s="276"/>
      <c r="AD49" s="276"/>
      <c r="AE49" s="276"/>
      <c r="AF49" s="276"/>
      <c r="AG49" s="276"/>
      <c r="AH49" s="276"/>
      <c r="AI49" s="276"/>
      <c r="AJ49" s="276"/>
      <c r="AK49" s="276"/>
      <c r="AL49" s="276"/>
      <c r="AM49" s="276"/>
      <c r="AN49" s="276"/>
      <c r="AO49" s="276"/>
      <c r="AP49" s="276"/>
      <c r="AS49" s="199" t="s">
        <v>233</v>
      </c>
      <c r="AT49" s="199" t="s">
        <v>1137</v>
      </c>
      <c r="AU49" s="199" t="s">
        <v>1092</v>
      </c>
      <c r="AV49" s="199">
        <v>519.9</v>
      </c>
      <c r="AW49" s="199">
        <v>195</v>
      </c>
      <c r="AX49" s="199">
        <v>0.02</v>
      </c>
      <c r="AY49" s="199">
        <v>321</v>
      </c>
      <c r="AZ49" s="284">
        <f t="shared" si="26"/>
        <v>0</v>
      </c>
    </row>
    <row r="50" spans="1:52" ht="30.75" customHeight="1">
      <c r="A50" s="191" t="s">
        <v>1138</v>
      </c>
      <c r="B50" s="129" t="s">
        <v>278</v>
      </c>
      <c r="C50" s="249" t="s">
        <v>1139</v>
      </c>
      <c r="D50" s="129" t="s">
        <v>1091</v>
      </c>
      <c r="E50" s="151">
        <v>42</v>
      </c>
      <c r="F50" s="151">
        <f t="shared" ref="F50" si="65">E50</f>
        <v>42</v>
      </c>
      <c r="G50" s="151">
        <f t="shared" ref="G50" si="66">F50</f>
        <v>42</v>
      </c>
      <c r="H50" s="151">
        <f t="shared" ref="H50" si="67">SUM(E50:G50)</f>
        <v>126</v>
      </c>
      <c r="I50" s="151">
        <f t="shared" ref="I50:L51" si="68">SUM(F50:H50)</f>
        <v>210</v>
      </c>
      <c r="J50" s="151">
        <f t="shared" si="68"/>
        <v>378</v>
      </c>
      <c r="K50" s="151">
        <f t="shared" si="68"/>
        <v>714</v>
      </c>
      <c r="L50" s="151">
        <f t="shared" si="68"/>
        <v>1302</v>
      </c>
      <c r="M50" s="139">
        <f t="shared" si="64"/>
        <v>545.4</v>
      </c>
      <c r="N50" s="139">
        <v>220</v>
      </c>
      <c r="O50" s="139">
        <v>0.02</v>
      </c>
      <c r="P50" s="139">
        <v>321</v>
      </c>
      <c r="Q50" s="139">
        <f t="shared" si="59"/>
        <v>22906.799999999999</v>
      </c>
      <c r="R50" s="139">
        <f t="shared" si="60"/>
        <v>22906.799999999999</v>
      </c>
      <c r="S50" s="139">
        <f t="shared" si="61"/>
        <v>22906.799999999999</v>
      </c>
      <c r="T50" s="139">
        <f t="shared" si="62"/>
        <v>68720.399999999994</v>
      </c>
      <c r="U50" s="139">
        <f t="shared" si="63"/>
        <v>114534</v>
      </c>
      <c r="V50" s="139">
        <f t="shared" si="56"/>
        <v>206161.19999999998</v>
      </c>
      <c r="W50" s="139">
        <f t="shared" si="57"/>
        <v>389415.6</v>
      </c>
      <c r="X50" s="139">
        <f t="shared" si="58"/>
        <v>710110.79999999993</v>
      </c>
      <c r="Y50" s="129"/>
      <c r="Z50" s="276"/>
      <c r="AA50" s="276"/>
      <c r="AB50" s="276"/>
      <c r="AC50" s="276"/>
      <c r="AD50" s="276"/>
      <c r="AE50" s="276"/>
      <c r="AF50" s="276"/>
      <c r="AG50" s="276"/>
      <c r="AH50" s="276"/>
      <c r="AI50" s="276"/>
      <c r="AJ50" s="276"/>
      <c r="AK50" s="276"/>
      <c r="AL50" s="276"/>
      <c r="AM50" s="276"/>
      <c r="AN50" s="276"/>
      <c r="AO50" s="276"/>
      <c r="AP50" s="276"/>
      <c r="AS50" s="280" t="s">
        <v>233</v>
      </c>
      <c r="AT50" s="280" t="s">
        <v>1140</v>
      </c>
      <c r="AU50" s="280" t="s">
        <v>1092</v>
      </c>
      <c r="AV50" s="280">
        <v>292.54000000000002</v>
      </c>
      <c r="AW50" s="280">
        <v>195</v>
      </c>
      <c r="AX50" s="280">
        <v>0.02</v>
      </c>
      <c r="AY50" s="280">
        <v>93.64</v>
      </c>
      <c r="AZ50" s="284">
        <f t="shared" si="26"/>
        <v>-252.85999999999996</v>
      </c>
    </row>
    <row r="51" spans="1:52" ht="30.75" customHeight="1">
      <c r="A51" s="191"/>
      <c r="B51" s="129" t="s">
        <v>233</v>
      </c>
      <c r="C51" s="249" t="s">
        <v>1140</v>
      </c>
      <c r="D51" s="129" t="s">
        <v>1091</v>
      </c>
      <c r="E51" s="151">
        <v>42</v>
      </c>
      <c r="F51" s="151">
        <f>E51</f>
        <v>42</v>
      </c>
      <c r="G51" s="151">
        <f>F51</f>
        <v>42</v>
      </c>
      <c r="H51" s="151">
        <f>SUM(E51:G51)</f>
        <v>126</v>
      </c>
      <c r="I51" s="151">
        <f t="shared" si="68"/>
        <v>210</v>
      </c>
      <c r="J51" s="151">
        <f t="shared" si="68"/>
        <v>378</v>
      </c>
      <c r="K51" s="151">
        <f t="shared" si="68"/>
        <v>714</v>
      </c>
      <c r="L51" s="151">
        <f t="shared" si="68"/>
        <v>1302</v>
      </c>
      <c r="M51" s="139">
        <f t="shared" si="64"/>
        <v>292.54000000000002</v>
      </c>
      <c r="N51" s="139">
        <v>195</v>
      </c>
      <c r="O51" s="139">
        <v>0.02</v>
      </c>
      <c r="P51" s="139">
        <v>93.64</v>
      </c>
      <c r="Q51" s="139">
        <f t="shared" si="59"/>
        <v>12286.68</v>
      </c>
      <c r="R51" s="139">
        <f t="shared" si="60"/>
        <v>12286.68</v>
      </c>
      <c r="S51" s="139">
        <f t="shared" si="61"/>
        <v>12286.68</v>
      </c>
      <c r="T51" s="139">
        <f t="shared" si="62"/>
        <v>36860.04</v>
      </c>
      <c r="U51" s="139">
        <f t="shared" si="63"/>
        <v>61433.4</v>
      </c>
      <c r="V51" s="139">
        <f t="shared" si="56"/>
        <v>110580.12000000001</v>
      </c>
      <c r="W51" s="139">
        <f t="shared" si="57"/>
        <v>208873.56000000003</v>
      </c>
      <c r="X51" s="139">
        <f t="shared" si="58"/>
        <v>380887.08</v>
      </c>
      <c r="Y51" s="129"/>
      <c r="Z51" s="276"/>
      <c r="AA51" s="276"/>
      <c r="AB51" s="276"/>
      <c r="AC51" s="276"/>
      <c r="AD51" s="276"/>
      <c r="AE51" s="276"/>
      <c r="AF51" s="276"/>
      <c r="AG51" s="276"/>
      <c r="AH51" s="276"/>
      <c r="AI51" s="276"/>
      <c r="AJ51" s="276"/>
      <c r="AK51" s="276"/>
      <c r="AL51" s="276"/>
      <c r="AM51" s="276"/>
      <c r="AN51" s="276"/>
      <c r="AO51" s="276"/>
      <c r="AP51" s="276"/>
      <c r="AS51" s="280" t="s">
        <v>233</v>
      </c>
      <c r="AT51" s="280" t="s">
        <v>1140</v>
      </c>
      <c r="AU51" s="280" t="s">
        <v>1092</v>
      </c>
      <c r="AV51" s="280">
        <v>292.54000000000002</v>
      </c>
      <c r="AW51" s="280">
        <v>195</v>
      </c>
      <c r="AX51" s="280">
        <v>0.02</v>
      </c>
      <c r="AY51" s="280">
        <v>93.64</v>
      </c>
      <c r="AZ51" s="284">
        <f t="shared" si="26"/>
        <v>0</v>
      </c>
    </row>
    <row r="52" spans="1:52" ht="75" customHeight="1">
      <c r="A52" s="191" t="s">
        <v>1138</v>
      </c>
      <c r="B52" s="129" t="s">
        <v>278</v>
      </c>
      <c r="C52" s="249" t="s">
        <v>1141</v>
      </c>
      <c r="D52" s="269" t="s">
        <v>235</v>
      </c>
      <c r="E52" s="151"/>
      <c r="F52" s="151"/>
      <c r="G52" s="151"/>
      <c r="H52" s="151"/>
      <c r="I52" s="151"/>
      <c r="J52" s="151"/>
      <c r="K52" s="151"/>
      <c r="L52" s="151"/>
      <c r="M52" s="139">
        <f t="shared" si="64"/>
        <v>327.98</v>
      </c>
      <c r="N52" s="139">
        <v>267</v>
      </c>
      <c r="O52" s="139">
        <v>0.03</v>
      </c>
      <c r="P52" s="139">
        <v>52.97</v>
      </c>
      <c r="Q52" s="139">
        <f t="shared" si="59"/>
        <v>0</v>
      </c>
      <c r="R52" s="139">
        <f t="shared" si="60"/>
        <v>0</v>
      </c>
      <c r="S52" s="139">
        <f t="shared" si="61"/>
        <v>0</v>
      </c>
      <c r="T52" s="139">
        <f t="shared" si="62"/>
        <v>0</v>
      </c>
      <c r="U52" s="139">
        <f t="shared" si="63"/>
        <v>0</v>
      </c>
      <c r="V52" s="139">
        <f t="shared" si="56"/>
        <v>0</v>
      </c>
      <c r="W52" s="139">
        <f t="shared" si="57"/>
        <v>0</v>
      </c>
      <c r="X52" s="139">
        <f t="shared" si="58"/>
        <v>0</v>
      </c>
      <c r="Y52" s="129"/>
      <c r="Z52" s="276"/>
      <c r="AA52" s="276"/>
      <c r="AB52" s="276"/>
      <c r="AC52" s="276"/>
      <c r="AD52" s="276"/>
      <c r="AE52" s="276"/>
      <c r="AF52" s="276"/>
      <c r="AG52" s="276"/>
      <c r="AH52" s="276"/>
      <c r="AI52" s="276"/>
      <c r="AJ52" s="276"/>
      <c r="AK52" s="276"/>
      <c r="AL52" s="276"/>
      <c r="AM52" s="276"/>
      <c r="AN52" s="276"/>
      <c r="AO52" s="276"/>
      <c r="AP52" s="276"/>
      <c r="AS52" s="282"/>
      <c r="AT52" s="282"/>
      <c r="AU52" s="282"/>
      <c r="AV52" s="282"/>
      <c r="AW52" s="282"/>
      <c r="AX52" s="282"/>
      <c r="AY52" s="282"/>
      <c r="AZ52" s="284"/>
    </row>
    <row r="53" spans="1:52" ht="89.25" customHeight="1">
      <c r="A53" s="191" t="s">
        <v>1107</v>
      </c>
      <c r="B53" s="129" t="s">
        <v>278</v>
      </c>
      <c r="C53" s="270" t="s">
        <v>1142</v>
      </c>
      <c r="D53" s="269" t="s">
        <v>235</v>
      </c>
      <c r="E53" s="151">
        <v>59</v>
      </c>
      <c r="F53" s="151">
        <f t="shared" ref="F53:G58" si="69">E53</f>
        <v>59</v>
      </c>
      <c r="G53" s="151">
        <f t="shared" si="69"/>
        <v>59</v>
      </c>
      <c r="H53" s="151">
        <f t="shared" ref="H53:H58" si="70">SUM(E53:G53)</f>
        <v>177</v>
      </c>
      <c r="I53" s="151">
        <f t="shared" ref="I53" si="71">SUM(F53:H53)</f>
        <v>295</v>
      </c>
      <c r="J53" s="151">
        <f t="shared" ref="J53:L58" si="72">SUM(G53:I53)</f>
        <v>531</v>
      </c>
      <c r="K53" s="151">
        <f t="shared" si="72"/>
        <v>1003</v>
      </c>
      <c r="L53" s="151">
        <f t="shared" si="72"/>
        <v>1829</v>
      </c>
      <c r="M53" s="139">
        <f t="shared" si="64"/>
        <v>249.79300000000001</v>
      </c>
      <c r="N53" s="201">
        <v>191.1</v>
      </c>
      <c r="O53" s="139">
        <v>0.03</v>
      </c>
      <c r="P53" s="201">
        <v>52.96</v>
      </c>
      <c r="Q53" s="139">
        <f t="shared" si="59"/>
        <v>14737.787</v>
      </c>
      <c r="R53" s="139">
        <f t="shared" si="60"/>
        <v>14737.787</v>
      </c>
      <c r="S53" s="139">
        <f t="shared" si="61"/>
        <v>14737.787</v>
      </c>
      <c r="T53" s="139">
        <f t="shared" si="62"/>
        <v>44213.361000000004</v>
      </c>
      <c r="U53" s="139">
        <f t="shared" si="63"/>
        <v>73688.934999999998</v>
      </c>
      <c r="V53" s="139">
        <f t="shared" si="56"/>
        <v>132640.08300000001</v>
      </c>
      <c r="W53" s="139">
        <f t="shared" si="57"/>
        <v>250542.37900000002</v>
      </c>
      <c r="X53" s="139">
        <f t="shared" si="58"/>
        <v>456871.397</v>
      </c>
      <c r="Y53" s="129"/>
      <c r="Z53" s="276"/>
      <c r="AA53" s="276"/>
      <c r="AB53" s="276"/>
      <c r="AC53" s="276"/>
      <c r="AD53" s="276"/>
      <c r="AE53" s="276"/>
      <c r="AF53" s="276"/>
      <c r="AG53" s="276"/>
      <c r="AH53" s="276"/>
      <c r="AI53" s="276"/>
      <c r="AJ53" s="276"/>
      <c r="AK53" s="276"/>
      <c r="AL53" s="276"/>
      <c r="AM53" s="276"/>
      <c r="AN53" s="276"/>
      <c r="AO53" s="276"/>
      <c r="AP53" s="276"/>
      <c r="AZ53" s="284">
        <f t="shared" ref="AZ53" si="73">AV53-M53</f>
        <v>-249.79300000000001</v>
      </c>
    </row>
    <row r="54" spans="1:52" ht="95.25" customHeight="1">
      <c r="A54" s="191"/>
      <c r="B54" s="129" t="s">
        <v>406</v>
      </c>
      <c r="C54" s="249" t="s">
        <v>1143</v>
      </c>
      <c r="D54" s="129" t="s">
        <v>235</v>
      </c>
      <c r="E54" s="151">
        <v>43</v>
      </c>
      <c r="F54" s="151">
        <f t="shared" si="69"/>
        <v>43</v>
      </c>
      <c r="G54" s="151">
        <f t="shared" si="69"/>
        <v>43</v>
      </c>
      <c r="H54" s="151">
        <f t="shared" si="70"/>
        <v>129</v>
      </c>
      <c r="I54" s="151">
        <f>SUM(F54:H54)</f>
        <v>215</v>
      </c>
      <c r="J54" s="151">
        <f t="shared" si="72"/>
        <v>387</v>
      </c>
      <c r="K54" s="151">
        <f t="shared" si="72"/>
        <v>731</v>
      </c>
      <c r="L54" s="151">
        <f t="shared" si="72"/>
        <v>1333</v>
      </c>
      <c r="M54" s="139">
        <f t="shared" si="64"/>
        <v>295.834</v>
      </c>
      <c r="N54" s="139">
        <v>235.8</v>
      </c>
      <c r="O54" s="139">
        <v>0.03</v>
      </c>
      <c r="P54" s="139">
        <f>P17</f>
        <v>52.96</v>
      </c>
      <c r="Q54" s="139">
        <f t="shared" si="59"/>
        <v>12720.862000000001</v>
      </c>
      <c r="R54" s="139">
        <f t="shared" si="60"/>
        <v>12720.862000000001</v>
      </c>
      <c r="S54" s="139">
        <f t="shared" si="61"/>
        <v>12720.862000000001</v>
      </c>
      <c r="T54" s="139">
        <f t="shared" si="62"/>
        <v>38162.586000000003</v>
      </c>
      <c r="U54" s="139">
        <f t="shared" si="63"/>
        <v>63604.31</v>
      </c>
      <c r="V54" s="139">
        <f t="shared" si="56"/>
        <v>114487.758</v>
      </c>
      <c r="W54" s="139">
        <f t="shared" si="57"/>
        <v>216254.65400000001</v>
      </c>
      <c r="X54" s="139">
        <f t="shared" si="58"/>
        <v>394346.72200000001</v>
      </c>
      <c r="Y54" s="129"/>
      <c r="Z54" s="276"/>
      <c r="AA54" s="276"/>
      <c r="AB54" s="276"/>
      <c r="AC54" s="276"/>
      <c r="AD54" s="276"/>
      <c r="AE54" s="276"/>
      <c r="AF54" s="276"/>
      <c r="AG54" s="276"/>
      <c r="AH54" s="276"/>
      <c r="AI54" s="276"/>
      <c r="AJ54" s="276"/>
      <c r="AK54" s="276"/>
      <c r="AL54" s="276"/>
      <c r="AM54" s="276"/>
      <c r="AN54" s="276"/>
      <c r="AO54" s="276"/>
      <c r="AP54" s="276"/>
      <c r="AS54" s="199" t="s">
        <v>406</v>
      </c>
      <c r="AT54" s="199" t="s">
        <v>1143</v>
      </c>
      <c r="AU54" s="199" t="s">
        <v>235</v>
      </c>
      <c r="AV54" s="199">
        <v>295.834</v>
      </c>
      <c r="AW54" s="199">
        <v>235.8</v>
      </c>
      <c r="AX54" s="199">
        <v>0.03</v>
      </c>
      <c r="AY54" s="199">
        <v>52.96</v>
      </c>
      <c r="AZ54" s="284">
        <f>AV54-M54</f>
        <v>0</v>
      </c>
    </row>
    <row r="55" spans="1:52" ht="74.25" customHeight="1">
      <c r="A55" s="191"/>
      <c r="B55" s="129" t="s">
        <v>233</v>
      </c>
      <c r="C55" s="249" t="s">
        <v>1144</v>
      </c>
      <c r="D55" s="129" t="s">
        <v>235</v>
      </c>
      <c r="E55" s="151">
        <v>44</v>
      </c>
      <c r="F55" s="151">
        <f t="shared" si="69"/>
        <v>44</v>
      </c>
      <c r="G55" s="151">
        <f t="shared" si="69"/>
        <v>44</v>
      </c>
      <c r="H55" s="151">
        <f t="shared" si="70"/>
        <v>132</v>
      </c>
      <c r="I55" s="151">
        <f>SUM(F55:H55)</f>
        <v>220</v>
      </c>
      <c r="J55" s="151">
        <f t="shared" si="72"/>
        <v>396</v>
      </c>
      <c r="K55" s="151">
        <f t="shared" si="72"/>
        <v>748</v>
      </c>
      <c r="L55" s="151">
        <f t="shared" si="72"/>
        <v>1364</v>
      </c>
      <c r="M55" s="139">
        <f t="shared" si="64"/>
        <v>297.07</v>
      </c>
      <c r="N55" s="139">
        <v>237</v>
      </c>
      <c r="O55" s="139">
        <v>0.03</v>
      </c>
      <c r="P55" s="139">
        <v>52.96</v>
      </c>
      <c r="Q55" s="139">
        <f t="shared" si="59"/>
        <v>13071.08</v>
      </c>
      <c r="R55" s="139">
        <f t="shared" si="60"/>
        <v>13071.08</v>
      </c>
      <c r="S55" s="139">
        <f t="shared" si="61"/>
        <v>13071.08</v>
      </c>
      <c r="T55" s="139">
        <f t="shared" si="62"/>
        <v>39213.24</v>
      </c>
      <c r="U55" s="139">
        <f t="shared" si="63"/>
        <v>65355.4</v>
      </c>
      <c r="V55" s="139">
        <f t="shared" si="56"/>
        <v>117639.72</v>
      </c>
      <c r="W55" s="139">
        <f t="shared" si="57"/>
        <v>222208.36</v>
      </c>
      <c r="X55" s="139">
        <f t="shared" si="58"/>
        <v>405203.48</v>
      </c>
      <c r="Y55" s="129"/>
      <c r="Z55" s="276"/>
      <c r="AA55" s="276"/>
      <c r="AB55" s="276"/>
      <c r="AC55" s="276"/>
      <c r="AD55" s="276"/>
      <c r="AE55" s="276"/>
      <c r="AF55" s="276"/>
      <c r="AG55" s="276"/>
      <c r="AH55" s="276"/>
      <c r="AI55" s="276"/>
      <c r="AJ55" s="276"/>
      <c r="AK55" s="276"/>
      <c r="AL55" s="276"/>
      <c r="AM55" s="276"/>
      <c r="AN55" s="276"/>
      <c r="AO55" s="276"/>
      <c r="AP55" s="276"/>
      <c r="AS55" s="199" t="s">
        <v>233</v>
      </c>
      <c r="AT55" s="199" t="s">
        <v>1144</v>
      </c>
      <c r="AU55" s="199" t="s">
        <v>235</v>
      </c>
      <c r="AV55" s="199">
        <v>297.07</v>
      </c>
      <c r="AW55" s="199">
        <v>237</v>
      </c>
      <c r="AX55" s="199">
        <v>0.03</v>
      </c>
      <c r="AY55" s="199">
        <v>52.96</v>
      </c>
      <c r="AZ55" s="284">
        <f>AV55-M55</f>
        <v>0</v>
      </c>
    </row>
    <row r="56" spans="1:52" ht="45.75" customHeight="1">
      <c r="A56" s="191" t="s">
        <v>1145</v>
      </c>
      <c r="B56" s="129" t="s">
        <v>278</v>
      </c>
      <c r="C56" s="269" t="s">
        <v>1146</v>
      </c>
      <c r="D56" s="269" t="s">
        <v>235</v>
      </c>
      <c r="E56" s="151">
        <v>59</v>
      </c>
      <c r="F56" s="151">
        <f t="shared" si="69"/>
        <v>59</v>
      </c>
      <c r="G56" s="151">
        <f t="shared" si="69"/>
        <v>59</v>
      </c>
      <c r="H56" s="151">
        <f t="shared" si="70"/>
        <v>177</v>
      </c>
      <c r="I56" s="151">
        <f t="shared" ref="I56" si="74">SUM(F56:H56)</f>
        <v>295</v>
      </c>
      <c r="J56" s="151">
        <f t="shared" si="72"/>
        <v>531</v>
      </c>
      <c r="K56" s="151">
        <f t="shared" si="72"/>
        <v>1003</v>
      </c>
      <c r="L56" s="151">
        <f t="shared" si="72"/>
        <v>1829</v>
      </c>
      <c r="M56" s="139">
        <f t="shared" si="64"/>
        <v>290.89</v>
      </c>
      <c r="N56" s="201">
        <v>231</v>
      </c>
      <c r="O56" s="139">
        <v>0.03</v>
      </c>
      <c r="P56" s="201">
        <v>52.96</v>
      </c>
      <c r="Q56" s="139">
        <f t="shared" ref="Q56:Q71" si="75">E56*$M56</f>
        <v>17162.509999999998</v>
      </c>
      <c r="R56" s="139">
        <f t="shared" ref="R56:R71" si="76">F56*$M56</f>
        <v>17162.509999999998</v>
      </c>
      <c r="S56" s="139">
        <f t="shared" ref="S56:S71" si="77">G56*$M56</f>
        <v>17162.509999999998</v>
      </c>
      <c r="T56" s="139">
        <f t="shared" ref="T56:T71" si="78">H56*$M56</f>
        <v>51487.53</v>
      </c>
      <c r="U56" s="139">
        <f t="shared" ref="U56" si="79">I56*$M56</f>
        <v>85812.55</v>
      </c>
      <c r="V56" s="139">
        <f t="shared" si="56"/>
        <v>154462.59</v>
      </c>
      <c r="W56" s="139">
        <f t="shared" si="57"/>
        <v>291762.67</v>
      </c>
      <c r="X56" s="139">
        <f t="shared" si="58"/>
        <v>532037.80999999994</v>
      </c>
      <c r="Y56" s="129"/>
      <c r="Z56" s="276"/>
      <c r="AA56" s="276"/>
      <c r="AB56" s="276"/>
      <c r="AC56" s="276"/>
      <c r="AD56" s="276"/>
      <c r="AE56" s="276"/>
      <c r="AF56" s="276"/>
      <c r="AG56" s="276"/>
      <c r="AH56" s="276"/>
      <c r="AI56" s="276"/>
      <c r="AJ56" s="276"/>
      <c r="AK56" s="276"/>
      <c r="AL56" s="276"/>
      <c r="AM56" s="276"/>
      <c r="AN56" s="276"/>
      <c r="AO56" s="276"/>
      <c r="AP56" s="276"/>
      <c r="AZ56" s="284">
        <f>AV56-M56</f>
        <v>-290.89</v>
      </c>
    </row>
    <row r="57" spans="1:52" ht="110.25" customHeight="1">
      <c r="A57" s="191"/>
      <c r="B57" s="129" t="s">
        <v>233</v>
      </c>
      <c r="C57" s="249" t="s">
        <v>1147</v>
      </c>
      <c r="D57" s="129" t="s">
        <v>235</v>
      </c>
      <c r="E57" s="151">
        <v>45</v>
      </c>
      <c r="F57" s="151">
        <f t="shared" si="69"/>
        <v>45</v>
      </c>
      <c r="G57" s="151">
        <f t="shared" si="69"/>
        <v>45</v>
      </c>
      <c r="H57" s="151">
        <f t="shared" si="70"/>
        <v>135</v>
      </c>
      <c r="I57" s="151">
        <f>SUM(F57:H57)</f>
        <v>225</v>
      </c>
      <c r="J57" s="151">
        <f t="shared" si="72"/>
        <v>405</v>
      </c>
      <c r="K57" s="151">
        <f t="shared" si="72"/>
        <v>765</v>
      </c>
      <c r="L57" s="151">
        <f t="shared" si="72"/>
        <v>1395</v>
      </c>
      <c r="M57" s="139">
        <f t="shared" si="64"/>
        <v>284.70999999999998</v>
      </c>
      <c r="N57" s="139">
        <v>225</v>
      </c>
      <c r="O57" s="139">
        <v>0.03</v>
      </c>
      <c r="P57" s="139">
        <v>52.96</v>
      </c>
      <c r="Q57" s="139">
        <f t="shared" si="75"/>
        <v>12811.949999999999</v>
      </c>
      <c r="R57" s="139">
        <f t="shared" si="76"/>
        <v>12811.949999999999</v>
      </c>
      <c r="S57" s="139">
        <f t="shared" si="77"/>
        <v>12811.949999999999</v>
      </c>
      <c r="T57" s="139">
        <f t="shared" si="78"/>
        <v>38435.85</v>
      </c>
      <c r="U57" s="139">
        <f t="shared" ref="U57:U71" si="80">I57*$M57</f>
        <v>64059.749999999993</v>
      </c>
      <c r="V57" s="139">
        <f t="shared" si="56"/>
        <v>115307.54999999999</v>
      </c>
      <c r="W57" s="139">
        <f t="shared" si="57"/>
        <v>217803.15</v>
      </c>
      <c r="X57" s="139">
        <f t="shared" si="58"/>
        <v>397170.44999999995</v>
      </c>
      <c r="Y57" s="129"/>
      <c r="Z57" s="276"/>
      <c r="AA57" s="276"/>
      <c r="AB57" s="276"/>
      <c r="AC57" s="276"/>
      <c r="AD57" s="276"/>
      <c r="AE57" s="276"/>
      <c r="AF57" s="276"/>
      <c r="AG57" s="276"/>
      <c r="AH57" s="276"/>
      <c r="AI57" s="276"/>
      <c r="AJ57" s="276"/>
      <c r="AK57" s="276"/>
      <c r="AL57" s="276"/>
      <c r="AM57" s="276"/>
      <c r="AN57" s="276"/>
      <c r="AO57" s="276"/>
      <c r="AP57" s="276"/>
      <c r="AS57" s="199" t="s">
        <v>233</v>
      </c>
      <c r="AT57" s="199" t="s">
        <v>1147</v>
      </c>
      <c r="AU57" s="199" t="s">
        <v>235</v>
      </c>
      <c r="AV57" s="199">
        <v>284.70999999999998</v>
      </c>
      <c r="AW57" s="199">
        <v>225</v>
      </c>
      <c r="AX57" s="199">
        <v>0.03</v>
      </c>
      <c r="AY57" s="199">
        <v>52.96</v>
      </c>
      <c r="AZ57" s="284">
        <f>AV57-M57</f>
        <v>0</v>
      </c>
    </row>
    <row r="58" spans="1:52" ht="64.5" customHeight="1">
      <c r="A58" s="191"/>
      <c r="B58" s="129" t="s">
        <v>233</v>
      </c>
      <c r="C58" s="249" t="s">
        <v>1148</v>
      </c>
      <c r="D58" s="129" t="s">
        <v>235</v>
      </c>
      <c r="E58" s="151">
        <v>46</v>
      </c>
      <c r="F58" s="151">
        <f t="shared" si="69"/>
        <v>46</v>
      </c>
      <c r="G58" s="151">
        <f t="shared" si="69"/>
        <v>46</v>
      </c>
      <c r="H58" s="151">
        <f t="shared" si="70"/>
        <v>138</v>
      </c>
      <c r="I58" s="151">
        <f>SUM(F58:H58)</f>
        <v>230</v>
      </c>
      <c r="J58" s="151">
        <f t="shared" si="72"/>
        <v>414</v>
      </c>
      <c r="K58" s="151">
        <f t="shared" si="72"/>
        <v>782</v>
      </c>
      <c r="L58" s="151">
        <f t="shared" si="72"/>
        <v>1426</v>
      </c>
      <c r="M58" s="139">
        <f t="shared" si="64"/>
        <v>259.99</v>
      </c>
      <c r="N58" s="139">
        <f>8000*0.15*0.08+7*15</f>
        <v>201</v>
      </c>
      <c r="O58" s="139">
        <v>0.03</v>
      </c>
      <c r="P58" s="139">
        <v>52.96</v>
      </c>
      <c r="Q58" s="139">
        <f t="shared" si="75"/>
        <v>11959.54</v>
      </c>
      <c r="R58" s="139">
        <f t="shared" si="76"/>
        <v>11959.54</v>
      </c>
      <c r="S58" s="139">
        <f t="shared" si="77"/>
        <v>11959.54</v>
      </c>
      <c r="T58" s="139">
        <f t="shared" si="78"/>
        <v>35878.620000000003</v>
      </c>
      <c r="U58" s="139">
        <f t="shared" si="80"/>
        <v>59797.700000000004</v>
      </c>
      <c r="V58" s="139">
        <f t="shared" si="56"/>
        <v>107635.86</v>
      </c>
      <c r="W58" s="139">
        <f t="shared" si="57"/>
        <v>203312.18</v>
      </c>
      <c r="X58" s="139">
        <f t="shared" si="58"/>
        <v>370745.74</v>
      </c>
      <c r="Y58" s="129"/>
      <c r="Z58" s="276"/>
      <c r="AA58" s="276"/>
      <c r="AB58" s="276"/>
      <c r="AC58" s="276"/>
      <c r="AD58" s="276"/>
      <c r="AE58" s="276"/>
      <c r="AF58" s="276"/>
      <c r="AG58" s="276"/>
      <c r="AH58" s="276"/>
      <c r="AI58" s="276"/>
      <c r="AJ58" s="276"/>
      <c r="AK58" s="276"/>
      <c r="AL58" s="276"/>
      <c r="AM58" s="276"/>
      <c r="AN58" s="276"/>
      <c r="AO58" s="276"/>
      <c r="AP58" s="276"/>
      <c r="AS58" s="199" t="s">
        <v>233</v>
      </c>
      <c r="AT58" s="199" t="s">
        <v>1148</v>
      </c>
      <c r="AU58" s="199" t="s">
        <v>235</v>
      </c>
      <c r="AV58" s="199">
        <v>259.99</v>
      </c>
      <c r="AW58" s="199">
        <v>201</v>
      </c>
      <c r="AX58" s="199">
        <v>0.03</v>
      </c>
      <c r="AY58" s="199">
        <v>52.96</v>
      </c>
      <c r="AZ58" s="284">
        <f>AV58-M58</f>
        <v>0</v>
      </c>
    </row>
    <row r="59" spans="1:52" ht="64.5" customHeight="1">
      <c r="A59" s="191" t="s">
        <v>1138</v>
      </c>
      <c r="B59" s="129" t="s">
        <v>278</v>
      </c>
      <c r="C59" s="273" t="s">
        <v>1149</v>
      </c>
      <c r="D59" s="129"/>
      <c r="E59" s="151">
        <v>62</v>
      </c>
      <c r="F59" s="151">
        <f t="shared" ref="F59" si="81">E59</f>
        <v>62</v>
      </c>
      <c r="G59" s="151">
        <f t="shared" ref="G59" si="82">F59</f>
        <v>62</v>
      </c>
      <c r="H59" s="151">
        <f t="shared" ref="H59" si="83">SUM(E59:G59)</f>
        <v>186</v>
      </c>
      <c r="I59" s="151">
        <f t="shared" ref="I59" si="84">SUM(F59:H59)</f>
        <v>310</v>
      </c>
      <c r="J59" s="151">
        <f t="shared" ref="J59" si="85">SUM(G59:I59)</f>
        <v>558</v>
      </c>
      <c r="K59" s="151">
        <f t="shared" ref="K59" si="86">SUM(H59:J59)</f>
        <v>1054</v>
      </c>
      <c r="L59" s="151">
        <f t="shared" ref="L59" si="87">SUM(I59:K59)</f>
        <v>1922</v>
      </c>
      <c r="M59" s="139">
        <f t="shared" ref="M59" si="88">N59*(1+O59)+P59</f>
        <v>106.38000000000001</v>
      </c>
      <c r="N59" s="139">
        <v>69</v>
      </c>
      <c r="O59" s="139">
        <v>0.03</v>
      </c>
      <c r="P59" s="201">
        <v>35.31</v>
      </c>
      <c r="Q59" s="139">
        <f t="shared" si="75"/>
        <v>6595.56</v>
      </c>
      <c r="R59" s="139">
        <f t="shared" si="76"/>
        <v>6595.56</v>
      </c>
      <c r="S59" s="139">
        <f t="shared" si="77"/>
        <v>6595.56</v>
      </c>
      <c r="T59" s="139">
        <f t="shared" si="78"/>
        <v>19786.68</v>
      </c>
      <c r="U59" s="139">
        <f t="shared" si="80"/>
        <v>32977.800000000003</v>
      </c>
      <c r="V59" s="139">
        <f t="shared" si="56"/>
        <v>59360.040000000008</v>
      </c>
      <c r="W59" s="139">
        <f t="shared" si="57"/>
        <v>112124.52</v>
      </c>
      <c r="X59" s="139">
        <f t="shared" si="58"/>
        <v>204462.36000000002</v>
      </c>
      <c r="Y59" s="129"/>
      <c r="Z59" s="276"/>
      <c r="AA59" s="276"/>
      <c r="AB59" s="276"/>
      <c r="AC59" s="276"/>
      <c r="AD59" s="276"/>
      <c r="AE59" s="276"/>
      <c r="AF59" s="276"/>
      <c r="AG59" s="276"/>
      <c r="AH59" s="276"/>
      <c r="AI59" s="276"/>
      <c r="AJ59" s="276"/>
      <c r="AK59" s="276"/>
      <c r="AL59" s="276"/>
      <c r="AM59" s="276"/>
      <c r="AN59" s="276"/>
      <c r="AO59" s="276"/>
      <c r="AP59" s="276"/>
      <c r="AS59" s="283"/>
      <c r="AT59" s="283"/>
      <c r="AU59" s="283"/>
      <c r="AV59" s="283"/>
      <c r="AW59" s="283"/>
      <c r="AX59" s="283"/>
      <c r="AY59" s="283"/>
      <c r="AZ59" s="284"/>
    </row>
    <row r="60" spans="1:52" ht="64.5" customHeight="1">
      <c r="A60" s="191" t="s">
        <v>1138</v>
      </c>
      <c r="B60" s="129" t="s">
        <v>278</v>
      </c>
      <c r="C60" s="273" t="s">
        <v>1150</v>
      </c>
      <c r="D60" s="129"/>
      <c r="E60" s="151">
        <v>62</v>
      </c>
      <c r="F60" s="151">
        <f>E60</f>
        <v>62</v>
      </c>
      <c r="G60" s="151">
        <f>F60</f>
        <v>62</v>
      </c>
      <c r="H60" s="151">
        <f t="shared" ref="H60:H71" si="89">SUM(E60:G60)</f>
        <v>186</v>
      </c>
      <c r="I60" s="151">
        <f t="shared" ref="I60" si="90">SUM(F60:H60)</f>
        <v>310</v>
      </c>
      <c r="J60" s="151">
        <f t="shared" ref="J60" si="91">SUM(G60:I60)</f>
        <v>558</v>
      </c>
      <c r="K60" s="151">
        <f t="shared" ref="K60" si="92">SUM(H60:J60)</f>
        <v>1054</v>
      </c>
      <c r="L60" s="151">
        <f t="shared" ref="L60" si="93">SUM(I60:K60)</f>
        <v>1922</v>
      </c>
      <c r="M60" s="139">
        <f t="shared" ref="M60:M66" si="94">N60*(1+O60)+P60</f>
        <v>107.76600000000001</v>
      </c>
      <c r="N60" s="139">
        <v>77.2</v>
      </c>
      <c r="O60" s="139">
        <v>0.03</v>
      </c>
      <c r="P60" s="201">
        <v>28.25</v>
      </c>
      <c r="Q60" s="139">
        <f t="shared" si="75"/>
        <v>6681.4920000000002</v>
      </c>
      <c r="R60" s="139">
        <f t="shared" si="76"/>
        <v>6681.4920000000002</v>
      </c>
      <c r="S60" s="139">
        <f t="shared" si="77"/>
        <v>6681.4920000000002</v>
      </c>
      <c r="T60" s="139">
        <f t="shared" si="78"/>
        <v>20044.476000000002</v>
      </c>
      <c r="U60" s="139">
        <f t="shared" si="80"/>
        <v>33407.46</v>
      </c>
      <c r="V60" s="139">
        <f t="shared" si="56"/>
        <v>60133.428</v>
      </c>
      <c r="W60" s="139">
        <f t="shared" si="57"/>
        <v>113585.364</v>
      </c>
      <c r="X60" s="139">
        <f t="shared" si="58"/>
        <v>207126.25200000001</v>
      </c>
      <c r="Y60" s="129"/>
      <c r="Z60" s="276"/>
      <c r="AA60" s="276"/>
      <c r="AB60" s="276"/>
      <c r="AC60" s="276"/>
      <c r="AD60" s="276"/>
      <c r="AE60" s="276"/>
      <c r="AF60" s="276"/>
      <c r="AG60" s="276"/>
      <c r="AH60" s="276"/>
      <c r="AI60" s="276"/>
      <c r="AJ60" s="276"/>
      <c r="AK60" s="276"/>
      <c r="AL60" s="276"/>
      <c r="AM60" s="276"/>
      <c r="AN60" s="276"/>
      <c r="AO60" s="276"/>
      <c r="AP60" s="276"/>
      <c r="AS60" s="283"/>
      <c r="AT60" s="283"/>
      <c r="AU60" s="283"/>
      <c r="AV60" s="283"/>
      <c r="AW60" s="283"/>
      <c r="AX60" s="283"/>
      <c r="AY60" s="283"/>
      <c r="AZ60" s="284"/>
    </row>
    <row r="61" spans="1:52" ht="45.75" customHeight="1">
      <c r="A61" s="191" t="s">
        <v>1145</v>
      </c>
      <c r="B61" s="129" t="s">
        <v>278</v>
      </c>
      <c r="C61" s="274" t="s">
        <v>1151</v>
      </c>
      <c r="D61" s="269" t="s">
        <v>235</v>
      </c>
      <c r="E61" s="151">
        <v>62</v>
      </c>
      <c r="F61" s="151">
        <f t="shared" ref="F61" si="95">E61</f>
        <v>62</v>
      </c>
      <c r="G61" s="151">
        <f t="shared" ref="G61" si="96">F61</f>
        <v>62</v>
      </c>
      <c r="H61" s="151">
        <f t="shared" si="89"/>
        <v>186</v>
      </c>
      <c r="I61" s="151">
        <f t="shared" ref="I61:I71" si="97">SUM(F61:H61)</f>
        <v>310</v>
      </c>
      <c r="J61" s="151">
        <f t="shared" ref="J61:J71" si="98">SUM(G61:I61)</f>
        <v>558</v>
      </c>
      <c r="K61" s="151">
        <f t="shared" ref="K61:K71" si="99">SUM(H61:J61)</f>
        <v>1054</v>
      </c>
      <c r="L61" s="151">
        <f t="shared" ref="L61:L71" si="100">SUM(I61:K61)</f>
        <v>1922</v>
      </c>
      <c r="M61" s="139">
        <f t="shared" si="94"/>
        <v>230.20840000000001</v>
      </c>
      <c r="N61" s="139">
        <v>167.28</v>
      </c>
      <c r="O61" s="139">
        <v>0.03</v>
      </c>
      <c r="P61" s="201">
        <v>57.91</v>
      </c>
      <c r="Q61" s="139">
        <f t="shared" si="75"/>
        <v>14272.9208</v>
      </c>
      <c r="R61" s="139">
        <f t="shared" si="76"/>
        <v>14272.9208</v>
      </c>
      <c r="S61" s="139">
        <f t="shared" si="77"/>
        <v>14272.9208</v>
      </c>
      <c r="T61" s="139">
        <f t="shared" si="78"/>
        <v>42818.7624</v>
      </c>
      <c r="U61" s="139">
        <f t="shared" si="80"/>
        <v>71364.604000000007</v>
      </c>
      <c r="V61" s="139">
        <f t="shared" si="56"/>
        <v>128456.28720000001</v>
      </c>
      <c r="W61" s="139">
        <f t="shared" si="57"/>
        <v>242639.65360000002</v>
      </c>
      <c r="X61" s="139">
        <f t="shared" si="58"/>
        <v>442460.54480000003</v>
      </c>
      <c r="Y61" s="129"/>
      <c r="Z61" s="276"/>
      <c r="AA61" s="276"/>
      <c r="AB61" s="276"/>
      <c r="AC61" s="276"/>
      <c r="AD61" s="276"/>
      <c r="AE61" s="276"/>
      <c r="AF61" s="276"/>
      <c r="AG61" s="276"/>
      <c r="AH61" s="276"/>
      <c r="AI61" s="276"/>
      <c r="AJ61" s="276"/>
      <c r="AK61" s="276"/>
      <c r="AL61" s="276"/>
      <c r="AM61" s="276"/>
      <c r="AN61" s="276"/>
      <c r="AO61" s="276"/>
      <c r="AP61" s="276"/>
      <c r="AZ61" s="284">
        <f t="shared" ref="AZ61" si="101">AV61-M61</f>
        <v>-230.20840000000001</v>
      </c>
    </row>
    <row r="62" spans="1:52" ht="36.75" customHeight="1">
      <c r="A62" s="191"/>
      <c r="B62" s="129" t="s">
        <v>233</v>
      </c>
      <c r="C62" s="249" t="s">
        <v>1152</v>
      </c>
      <c r="D62" s="129" t="s">
        <v>235</v>
      </c>
      <c r="E62" s="151">
        <v>47</v>
      </c>
      <c r="F62" s="151">
        <f t="shared" ref="F62:G66" si="102">E62</f>
        <v>47</v>
      </c>
      <c r="G62" s="151">
        <f t="shared" si="102"/>
        <v>47</v>
      </c>
      <c r="H62" s="151">
        <f t="shared" si="89"/>
        <v>141</v>
      </c>
      <c r="I62" s="151">
        <f t="shared" si="97"/>
        <v>235</v>
      </c>
      <c r="J62" s="151">
        <f t="shared" si="98"/>
        <v>423</v>
      </c>
      <c r="K62" s="151">
        <f t="shared" si="99"/>
        <v>799</v>
      </c>
      <c r="L62" s="151">
        <f t="shared" si="100"/>
        <v>1457</v>
      </c>
      <c r="M62" s="139">
        <f t="shared" si="94"/>
        <v>250.3389</v>
      </c>
      <c r="N62" s="139">
        <v>191.63</v>
      </c>
      <c r="O62" s="139">
        <v>0.03</v>
      </c>
      <c r="P62" s="139">
        <v>52.96</v>
      </c>
      <c r="Q62" s="139">
        <f t="shared" si="75"/>
        <v>11765.9283</v>
      </c>
      <c r="R62" s="139">
        <f t="shared" si="76"/>
        <v>11765.9283</v>
      </c>
      <c r="S62" s="139">
        <f t="shared" si="77"/>
        <v>11765.9283</v>
      </c>
      <c r="T62" s="139">
        <f t="shared" si="78"/>
        <v>35297.784899999999</v>
      </c>
      <c r="U62" s="139">
        <f t="shared" si="80"/>
        <v>58829.641499999998</v>
      </c>
      <c r="V62" s="139">
        <f t="shared" si="56"/>
        <v>105893.3547</v>
      </c>
      <c r="W62" s="139">
        <f t="shared" si="57"/>
        <v>200020.78109999999</v>
      </c>
      <c r="X62" s="139">
        <f t="shared" si="58"/>
        <v>364743.77730000002</v>
      </c>
      <c r="Y62" s="129"/>
      <c r="Z62" s="276"/>
      <c r="AA62" s="276"/>
      <c r="AB62" s="276"/>
      <c r="AC62" s="276"/>
      <c r="AD62" s="276"/>
      <c r="AE62" s="276"/>
      <c r="AF62" s="276"/>
      <c r="AG62" s="276"/>
      <c r="AH62" s="276"/>
      <c r="AI62" s="276"/>
      <c r="AJ62" s="276"/>
      <c r="AK62" s="276"/>
      <c r="AL62" s="276"/>
      <c r="AM62" s="276"/>
      <c r="AN62" s="276"/>
      <c r="AO62" s="276"/>
      <c r="AP62" s="276"/>
      <c r="AS62" s="199" t="s">
        <v>233</v>
      </c>
      <c r="AT62" s="199" t="s">
        <v>1152</v>
      </c>
      <c r="AU62" s="199" t="s">
        <v>235</v>
      </c>
      <c r="AV62" s="199">
        <v>250.3389</v>
      </c>
      <c r="AW62" s="199">
        <v>191.63</v>
      </c>
      <c r="AX62" s="199">
        <v>0.03</v>
      </c>
      <c r="AY62" s="199">
        <v>52.96</v>
      </c>
      <c r="AZ62" s="284">
        <f t="shared" ref="AZ62:AZ69" si="103">AV62-M62</f>
        <v>0</v>
      </c>
    </row>
    <row r="63" spans="1:52" ht="48.75" customHeight="1">
      <c r="A63" s="191"/>
      <c r="B63" s="129" t="s">
        <v>233</v>
      </c>
      <c r="C63" s="249" t="s">
        <v>1153</v>
      </c>
      <c r="D63" s="129" t="s">
        <v>235</v>
      </c>
      <c r="E63" s="151">
        <v>48</v>
      </c>
      <c r="F63" s="151">
        <f t="shared" si="102"/>
        <v>48</v>
      </c>
      <c r="G63" s="151">
        <f t="shared" si="102"/>
        <v>48</v>
      </c>
      <c r="H63" s="151">
        <f t="shared" si="89"/>
        <v>144</v>
      </c>
      <c r="I63" s="151">
        <f t="shared" si="97"/>
        <v>240</v>
      </c>
      <c r="J63" s="151">
        <f t="shared" si="98"/>
        <v>432</v>
      </c>
      <c r="K63" s="151">
        <f t="shared" si="99"/>
        <v>816</v>
      </c>
      <c r="L63" s="151">
        <f t="shared" si="100"/>
        <v>1488</v>
      </c>
      <c r="M63" s="139">
        <f t="shared" si="94"/>
        <v>164.06</v>
      </c>
      <c r="N63" s="139">
        <v>125</v>
      </c>
      <c r="O63" s="139">
        <v>0.03</v>
      </c>
      <c r="P63" s="139">
        <v>35.31</v>
      </c>
      <c r="Q63" s="139">
        <f t="shared" si="75"/>
        <v>7874.88</v>
      </c>
      <c r="R63" s="139">
        <f t="shared" si="76"/>
        <v>7874.88</v>
      </c>
      <c r="S63" s="139">
        <f t="shared" si="77"/>
        <v>7874.88</v>
      </c>
      <c r="T63" s="139">
        <f t="shared" si="78"/>
        <v>23624.639999999999</v>
      </c>
      <c r="U63" s="139">
        <f t="shared" si="80"/>
        <v>39374.400000000001</v>
      </c>
      <c r="V63" s="139">
        <f t="shared" si="56"/>
        <v>70873.919999999998</v>
      </c>
      <c r="W63" s="139">
        <f t="shared" si="57"/>
        <v>133872.95999999999</v>
      </c>
      <c r="X63" s="139">
        <f t="shared" si="58"/>
        <v>244121.28</v>
      </c>
      <c r="Y63" s="129"/>
      <c r="Z63" s="276"/>
      <c r="AA63" s="276"/>
      <c r="AB63" s="276"/>
      <c r="AC63" s="276"/>
      <c r="AD63" s="276"/>
      <c r="AE63" s="276"/>
      <c r="AF63" s="276"/>
      <c r="AG63" s="276"/>
      <c r="AH63" s="276"/>
      <c r="AI63" s="276"/>
      <c r="AJ63" s="276"/>
      <c r="AK63" s="276"/>
      <c r="AL63" s="276"/>
      <c r="AM63" s="276"/>
      <c r="AN63" s="276"/>
      <c r="AO63" s="276"/>
      <c r="AP63" s="276"/>
      <c r="AS63" s="199" t="s">
        <v>233</v>
      </c>
      <c r="AT63" s="199" t="s">
        <v>1153</v>
      </c>
      <c r="AU63" s="199" t="s">
        <v>235</v>
      </c>
      <c r="AV63" s="199">
        <v>164.06</v>
      </c>
      <c r="AW63" s="199">
        <v>125</v>
      </c>
      <c r="AX63" s="199">
        <v>0.03</v>
      </c>
      <c r="AY63" s="199">
        <v>35.31</v>
      </c>
      <c r="AZ63" s="284">
        <f t="shared" si="103"/>
        <v>0</v>
      </c>
    </row>
    <row r="64" spans="1:52" ht="45.75" customHeight="1">
      <c r="A64" s="191" t="s">
        <v>1145</v>
      </c>
      <c r="B64" s="129" t="s">
        <v>278</v>
      </c>
      <c r="C64" s="271" t="s">
        <v>1154</v>
      </c>
      <c r="D64" s="269" t="s">
        <v>235</v>
      </c>
      <c r="E64" s="151">
        <v>64</v>
      </c>
      <c r="F64" s="151">
        <f t="shared" si="102"/>
        <v>64</v>
      </c>
      <c r="G64" s="151">
        <f t="shared" si="102"/>
        <v>64</v>
      </c>
      <c r="H64" s="151">
        <f t="shared" si="89"/>
        <v>192</v>
      </c>
      <c r="I64" s="151">
        <f t="shared" si="97"/>
        <v>320</v>
      </c>
      <c r="J64" s="151">
        <f t="shared" si="98"/>
        <v>576</v>
      </c>
      <c r="K64" s="151">
        <f t="shared" si="99"/>
        <v>1088</v>
      </c>
      <c r="L64" s="151">
        <f t="shared" si="100"/>
        <v>1984</v>
      </c>
      <c r="M64" s="139">
        <f t="shared" si="94"/>
        <v>907.32670000000007</v>
      </c>
      <c r="N64" s="139">
        <v>711.89</v>
      </c>
      <c r="O64" s="139">
        <v>0.03</v>
      </c>
      <c r="P64" s="201">
        <v>174.08</v>
      </c>
      <c r="Q64" s="139">
        <f t="shared" si="75"/>
        <v>58068.908800000005</v>
      </c>
      <c r="R64" s="139">
        <f t="shared" si="76"/>
        <v>58068.908800000005</v>
      </c>
      <c r="S64" s="139">
        <f t="shared" si="77"/>
        <v>58068.908800000005</v>
      </c>
      <c r="T64" s="139">
        <f t="shared" si="78"/>
        <v>174206.72640000001</v>
      </c>
      <c r="U64" s="139">
        <f t="shared" si="80"/>
        <v>290344.54399999999</v>
      </c>
      <c r="V64" s="139">
        <f t="shared" si="56"/>
        <v>522620.17920000001</v>
      </c>
      <c r="W64" s="139">
        <f t="shared" si="57"/>
        <v>987171.44960000005</v>
      </c>
      <c r="X64" s="139">
        <f t="shared" si="58"/>
        <v>1800136.1728000001</v>
      </c>
      <c r="Y64" s="129"/>
      <c r="Z64" s="276"/>
      <c r="AA64" s="276"/>
      <c r="AB64" s="276"/>
      <c r="AC64" s="276"/>
      <c r="AD64" s="276"/>
      <c r="AE64" s="276"/>
      <c r="AF64" s="276"/>
      <c r="AG64" s="276"/>
      <c r="AH64" s="276"/>
      <c r="AI64" s="276"/>
      <c r="AJ64" s="276"/>
      <c r="AK64" s="276"/>
      <c r="AL64" s="276"/>
      <c r="AM64" s="276"/>
      <c r="AN64" s="276"/>
      <c r="AO64" s="276"/>
      <c r="AP64" s="276"/>
      <c r="AZ64" s="284">
        <f t="shared" si="103"/>
        <v>-907.32670000000007</v>
      </c>
    </row>
    <row r="65" spans="1:52" ht="69.75" customHeight="1">
      <c r="A65" s="191" t="s">
        <v>1155</v>
      </c>
      <c r="B65" s="129" t="s">
        <v>278</v>
      </c>
      <c r="C65" s="271" t="s">
        <v>1156</v>
      </c>
      <c r="D65" s="269" t="s">
        <v>235</v>
      </c>
      <c r="E65" s="151">
        <v>64</v>
      </c>
      <c r="F65" s="151">
        <f t="shared" si="102"/>
        <v>64</v>
      </c>
      <c r="G65" s="151">
        <f t="shared" si="102"/>
        <v>64</v>
      </c>
      <c r="H65" s="151">
        <f t="shared" si="89"/>
        <v>192</v>
      </c>
      <c r="I65" s="151">
        <f t="shared" si="97"/>
        <v>320</v>
      </c>
      <c r="J65" s="151">
        <f t="shared" si="98"/>
        <v>576</v>
      </c>
      <c r="K65" s="151">
        <f t="shared" si="99"/>
        <v>1088</v>
      </c>
      <c r="L65" s="151">
        <f t="shared" si="100"/>
        <v>1984</v>
      </c>
      <c r="M65" s="139">
        <f t="shared" si="94"/>
        <v>882.61500000000001</v>
      </c>
      <c r="N65" s="139">
        <v>697.5</v>
      </c>
      <c r="O65" s="139">
        <v>0.03</v>
      </c>
      <c r="P65" s="201">
        <v>164.19</v>
      </c>
      <c r="Q65" s="139">
        <f t="shared" si="75"/>
        <v>56487.360000000001</v>
      </c>
      <c r="R65" s="139">
        <f t="shared" si="76"/>
        <v>56487.360000000001</v>
      </c>
      <c r="S65" s="139">
        <f t="shared" si="77"/>
        <v>56487.360000000001</v>
      </c>
      <c r="T65" s="139">
        <f t="shared" si="78"/>
        <v>169462.08000000002</v>
      </c>
      <c r="U65" s="139">
        <f t="shared" si="80"/>
        <v>282436.8</v>
      </c>
      <c r="V65" s="139">
        <f t="shared" si="56"/>
        <v>508386.24</v>
      </c>
      <c r="W65" s="139">
        <f t="shared" si="57"/>
        <v>960285.12</v>
      </c>
      <c r="X65" s="139">
        <f t="shared" si="58"/>
        <v>1751108.16</v>
      </c>
      <c r="Y65" s="129"/>
      <c r="Z65" s="276"/>
      <c r="AA65" s="276"/>
      <c r="AB65" s="276"/>
      <c r="AC65" s="276"/>
      <c r="AD65" s="276"/>
      <c r="AE65" s="276"/>
      <c r="AF65" s="276"/>
      <c r="AG65" s="276"/>
      <c r="AH65" s="276"/>
      <c r="AI65" s="276"/>
      <c r="AJ65" s="276"/>
      <c r="AK65" s="276"/>
      <c r="AL65" s="276"/>
      <c r="AM65" s="276"/>
      <c r="AN65" s="276"/>
      <c r="AO65" s="276"/>
      <c r="AP65" s="276"/>
      <c r="AZ65" s="284">
        <f t="shared" si="103"/>
        <v>-882.61500000000001</v>
      </c>
    </row>
    <row r="66" spans="1:52" ht="108.75" customHeight="1">
      <c r="A66" s="191"/>
      <c r="B66" s="129" t="s">
        <v>1157</v>
      </c>
      <c r="C66" s="249" t="s">
        <v>1158</v>
      </c>
      <c r="D66" s="129" t="s">
        <v>235</v>
      </c>
      <c r="E66" s="151">
        <v>49</v>
      </c>
      <c r="F66" s="151">
        <f t="shared" si="102"/>
        <v>49</v>
      </c>
      <c r="G66" s="151">
        <f t="shared" si="102"/>
        <v>49</v>
      </c>
      <c r="H66" s="151">
        <f t="shared" si="89"/>
        <v>147</v>
      </c>
      <c r="I66" s="151">
        <f t="shared" si="97"/>
        <v>245</v>
      </c>
      <c r="J66" s="151">
        <f t="shared" si="98"/>
        <v>441</v>
      </c>
      <c r="K66" s="151">
        <f t="shared" si="99"/>
        <v>833</v>
      </c>
      <c r="L66" s="151">
        <f t="shared" si="100"/>
        <v>1519</v>
      </c>
      <c r="M66" s="139">
        <f t="shared" si="94"/>
        <v>804.12159999999994</v>
      </c>
      <c r="N66" s="139">
        <v>636.72</v>
      </c>
      <c r="O66" s="139">
        <v>0.03</v>
      </c>
      <c r="P66" s="139">
        <f>P24</f>
        <v>148.30000000000001</v>
      </c>
      <c r="Q66" s="139">
        <f t="shared" si="75"/>
        <v>39401.958399999996</v>
      </c>
      <c r="R66" s="139">
        <f t="shared" si="76"/>
        <v>39401.958399999996</v>
      </c>
      <c r="S66" s="139">
        <f t="shared" si="77"/>
        <v>39401.958399999996</v>
      </c>
      <c r="T66" s="139">
        <f t="shared" si="78"/>
        <v>118205.87519999999</v>
      </c>
      <c r="U66" s="139">
        <f t="shared" si="80"/>
        <v>197009.79199999999</v>
      </c>
      <c r="V66" s="139">
        <f t="shared" si="56"/>
        <v>354617.62559999997</v>
      </c>
      <c r="W66" s="139">
        <f t="shared" si="57"/>
        <v>669833.29279999994</v>
      </c>
      <c r="X66" s="139">
        <f t="shared" si="58"/>
        <v>1221460.7104</v>
      </c>
      <c r="Y66" s="129"/>
      <c r="Z66" s="276"/>
      <c r="AA66" s="276"/>
      <c r="AB66" s="276"/>
      <c r="AC66" s="276"/>
      <c r="AD66" s="276"/>
      <c r="AE66" s="276"/>
      <c r="AF66" s="276"/>
      <c r="AG66" s="276"/>
      <c r="AH66" s="276"/>
      <c r="AI66" s="276"/>
      <c r="AJ66" s="276"/>
      <c r="AK66" s="276"/>
      <c r="AL66" s="276"/>
      <c r="AM66" s="276"/>
      <c r="AN66" s="276"/>
      <c r="AO66" s="276"/>
      <c r="AP66" s="276"/>
      <c r="AS66" s="199" t="s">
        <v>1157</v>
      </c>
      <c r="AT66" s="199" t="s">
        <v>1159</v>
      </c>
      <c r="AU66" s="199" t="s">
        <v>235</v>
      </c>
      <c r="AV66" s="199">
        <v>804.12159999999994</v>
      </c>
      <c r="AW66" s="199">
        <v>636.72</v>
      </c>
      <c r="AX66" s="199">
        <v>0.03</v>
      </c>
      <c r="AY66" s="199">
        <v>148.30000000000001</v>
      </c>
      <c r="AZ66" s="284">
        <f t="shared" si="103"/>
        <v>0</v>
      </c>
    </row>
    <row r="67" spans="1:52" ht="45.75" customHeight="1">
      <c r="A67" s="191" t="s">
        <v>1145</v>
      </c>
      <c r="B67" s="129" t="s">
        <v>278</v>
      </c>
      <c r="C67" s="271" t="s">
        <v>1160</v>
      </c>
      <c r="D67" s="269" t="s">
        <v>235</v>
      </c>
      <c r="E67" s="151">
        <v>63</v>
      </c>
      <c r="F67" s="151">
        <f t="shared" ref="F67" si="104">E67</f>
        <v>63</v>
      </c>
      <c r="G67" s="151">
        <f>F67</f>
        <v>63</v>
      </c>
      <c r="H67" s="151">
        <f t="shared" si="89"/>
        <v>189</v>
      </c>
      <c r="I67" s="151">
        <f t="shared" si="97"/>
        <v>315</v>
      </c>
      <c r="J67" s="151">
        <f t="shared" si="98"/>
        <v>567</v>
      </c>
      <c r="K67" s="151">
        <f t="shared" si="99"/>
        <v>1071</v>
      </c>
      <c r="L67" s="151">
        <f t="shared" si="100"/>
        <v>1953</v>
      </c>
      <c r="M67" s="139">
        <f t="shared" ref="M67" si="105">N67*(1+O67)+P67</f>
        <v>659.51940000000013</v>
      </c>
      <c r="N67" s="139">
        <v>507.98</v>
      </c>
      <c r="O67" s="139">
        <v>0.03</v>
      </c>
      <c r="P67" s="201">
        <v>136.30000000000001</v>
      </c>
      <c r="Q67" s="139">
        <f t="shared" si="75"/>
        <v>41549.722200000011</v>
      </c>
      <c r="R67" s="139">
        <f t="shared" si="76"/>
        <v>41549.722200000011</v>
      </c>
      <c r="S67" s="139">
        <f t="shared" si="77"/>
        <v>41549.722200000011</v>
      </c>
      <c r="T67" s="139">
        <f t="shared" si="78"/>
        <v>124649.16660000003</v>
      </c>
      <c r="U67" s="139">
        <f t="shared" si="80"/>
        <v>207748.61100000003</v>
      </c>
      <c r="V67" s="139">
        <f t="shared" si="56"/>
        <v>373947.49980000005</v>
      </c>
      <c r="W67" s="139">
        <f t="shared" si="57"/>
        <v>706345.27740000014</v>
      </c>
      <c r="X67" s="139">
        <f t="shared" si="58"/>
        <v>1288041.3882000002</v>
      </c>
      <c r="Y67" s="129"/>
      <c r="Z67" s="276"/>
      <c r="AA67" s="276"/>
      <c r="AB67" s="276"/>
      <c r="AC67" s="276"/>
      <c r="AD67" s="276"/>
      <c r="AE67" s="276"/>
      <c r="AF67" s="276"/>
      <c r="AG67" s="276"/>
      <c r="AH67" s="276"/>
      <c r="AI67" s="276"/>
      <c r="AJ67" s="276"/>
      <c r="AK67" s="276"/>
      <c r="AL67" s="276"/>
      <c r="AM67" s="276"/>
      <c r="AN67" s="276"/>
      <c r="AO67" s="276"/>
      <c r="AP67" s="276"/>
      <c r="AZ67" s="284">
        <f t="shared" si="103"/>
        <v>-659.51940000000013</v>
      </c>
    </row>
    <row r="68" spans="1:52" ht="79.5" customHeight="1">
      <c r="A68" s="191" t="s">
        <v>1107</v>
      </c>
      <c r="B68" s="129" t="s">
        <v>278</v>
      </c>
      <c r="C68" s="271" t="s">
        <v>1161</v>
      </c>
      <c r="D68" s="269" t="s">
        <v>235</v>
      </c>
      <c r="E68" s="151">
        <v>63</v>
      </c>
      <c r="F68" s="151">
        <f t="shared" ref="F68" si="106">E68</f>
        <v>63</v>
      </c>
      <c r="G68" s="151">
        <f t="shared" ref="G68" si="107">F68</f>
        <v>63</v>
      </c>
      <c r="H68" s="151">
        <f t="shared" si="89"/>
        <v>189</v>
      </c>
      <c r="I68" s="151">
        <f t="shared" si="97"/>
        <v>315</v>
      </c>
      <c r="J68" s="151">
        <f t="shared" si="98"/>
        <v>567</v>
      </c>
      <c r="K68" s="151">
        <f t="shared" si="99"/>
        <v>1071</v>
      </c>
      <c r="L68" s="151">
        <f t="shared" si="100"/>
        <v>1953</v>
      </c>
      <c r="M68" s="139">
        <f t="shared" ref="M68:M75" si="108">N68*(1+O68)+P68</f>
        <v>702.49279999999999</v>
      </c>
      <c r="N68" s="139">
        <v>551.76</v>
      </c>
      <c r="O68" s="139">
        <v>0.03</v>
      </c>
      <c r="P68" s="201">
        <v>134.18</v>
      </c>
      <c r="Q68" s="139">
        <f t="shared" si="75"/>
        <v>44257.046399999999</v>
      </c>
      <c r="R68" s="139">
        <f t="shared" si="76"/>
        <v>44257.046399999999</v>
      </c>
      <c r="S68" s="139">
        <f t="shared" si="77"/>
        <v>44257.046399999999</v>
      </c>
      <c r="T68" s="139">
        <f t="shared" si="78"/>
        <v>132771.13920000001</v>
      </c>
      <c r="U68" s="139">
        <f t="shared" si="80"/>
        <v>221285.23199999999</v>
      </c>
      <c r="V68" s="139">
        <f t="shared" si="56"/>
        <v>398313.41759999999</v>
      </c>
      <c r="W68" s="139">
        <f t="shared" si="57"/>
        <v>752369.78879999998</v>
      </c>
      <c r="X68" s="139">
        <f t="shared" si="58"/>
        <v>1371968.4383999999</v>
      </c>
      <c r="Y68" s="129"/>
      <c r="Z68" s="276"/>
      <c r="AA68" s="276"/>
      <c r="AB68" s="276"/>
      <c r="AC68" s="276"/>
      <c r="AD68" s="276"/>
      <c r="AE68" s="276"/>
      <c r="AF68" s="276"/>
      <c r="AG68" s="276"/>
      <c r="AH68" s="276"/>
      <c r="AI68" s="276"/>
      <c r="AJ68" s="276"/>
      <c r="AK68" s="276"/>
      <c r="AL68" s="276"/>
      <c r="AM68" s="276"/>
      <c r="AN68" s="276"/>
      <c r="AO68" s="276"/>
      <c r="AP68" s="276"/>
      <c r="AZ68" s="284">
        <f t="shared" si="103"/>
        <v>-702.49279999999999</v>
      </c>
    </row>
    <row r="69" spans="1:52" ht="84" customHeight="1">
      <c r="A69" s="191" t="s">
        <v>1107</v>
      </c>
      <c r="B69" s="129" t="s">
        <v>278</v>
      </c>
      <c r="C69" s="271" t="s">
        <v>1162</v>
      </c>
      <c r="D69" s="269" t="s">
        <v>235</v>
      </c>
      <c r="E69" s="151">
        <v>63</v>
      </c>
      <c r="F69" s="151">
        <f t="shared" ref="F69" si="109">E69</f>
        <v>63</v>
      </c>
      <c r="G69" s="151">
        <f t="shared" ref="G69" si="110">F69</f>
        <v>63</v>
      </c>
      <c r="H69" s="151">
        <f t="shared" si="89"/>
        <v>189</v>
      </c>
      <c r="I69" s="151">
        <f t="shared" si="97"/>
        <v>315</v>
      </c>
      <c r="J69" s="151">
        <f t="shared" si="98"/>
        <v>567</v>
      </c>
      <c r="K69" s="151">
        <f t="shared" si="99"/>
        <v>1071</v>
      </c>
      <c r="L69" s="151">
        <f t="shared" si="100"/>
        <v>1953</v>
      </c>
      <c r="M69" s="139">
        <f t="shared" si="108"/>
        <v>685.95010000000002</v>
      </c>
      <c r="N69" s="139">
        <v>534.66999999999996</v>
      </c>
      <c r="O69" s="139">
        <v>0.03</v>
      </c>
      <c r="P69" s="201">
        <v>135.24</v>
      </c>
      <c r="Q69" s="139">
        <f t="shared" si="75"/>
        <v>43214.856299999999</v>
      </c>
      <c r="R69" s="139">
        <f t="shared" si="76"/>
        <v>43214.856299999999</v>
      </c>
      <c r="S69" s="139">
        <f t="shared" si="77"/>
        <v>43214.856299999999</v>
      </c>
      <c r="T69" s="139">
        <f t="shared" si="78"/>
        <v>129644.5689</v>
      </c>
      <c r="U69" s="139">
        <f t="shared" si="80"/>
        <v>216074.28150000001</v>
      </c>
      <c r="V69" s="139">
        <f t="shared" si="56"/>
        <v>388933.70670000004</v>
      </c>
      <c r="W69" s="139">
        <f t="shared" si="57"/>
        <v>734652.55709999998</v>
      </c>
      <c r="X69" s="139">
        <f t="shared" si="58"/>
        <v>1339660.5453000001</v>
      </c>
      <c r="Y69" s="129"/>
      <c r="Z69" s="276"/>
      <c r="AA69" s="276"/>
      <c r="AB69" s="276"/>
      <c r="AC69" s="276"/>
      <c r="AD69" s="276"/>
      <c r="AE69" s="276"/>
      <c r="AF69" s="276"/>
      <c r="AG69" s="276"/>
      <c r="AH69" s="276"/>
      <c r="AI69" s="276"/>
      <c r="AJ69" s="276"/>
      <c r="AK69" s="276"/>
      <c r="AL69" s="276"/>
      <c r="AM69" s="276"/>
      <c r="AN69" s="276"/>
      <c r="AO69" s="276"/>
      <c r="AP69" s="276"/>
      <c r="AZ69" s="284">
        <f t="shared" si="103"/>
        <v>-685.95010000000002</v>
      </c>
    </row>
    <row r="70" spans="1:52" ht="83.25" customHeight="1">
      <c r="A70" s="191" t="s">
        <v>1163</v>
      </c>
      <c r="B70" s="129" t="s">
        <v>278</v>
      </c>
      <c r="C70" s="271" t="s">
        <v>1164</v>
      </c>
      <c r="D70" s="269" t="s">
        <v>235</v>
      </c>
      <c r="E70" s="151">
        <v>1</v>
      </c>
      <c r="F70" s="151">
        <f>E70</f>
        <v>1</v>
      </c>
      <c r="G70" s="151">
        <f>F70</f>
        <v>1</v>
      </c>
      <c r="H70" s="151">
        <f t="shared" si="89"/>
        <v>3</v>
      </c>
      <c r="I70" s="151">
        <f t="shared" si="97"/>
        <v>5</v>
      </c>
      <c r="J70" s="151">
        <f t="shared" si="98"/>
        <v>9</v>
      </c>
      <c r="K70" s="151">
        <f t="shared" si="99"/>
        <v>17</v>
      </c>
      <c r="L70" s="151">
        <f t="shared" si="100"/>
        <v>31</v>
      </c>
      <c r="M70" s="139">
        <f t="shared" si="108"/>
        <v>523.46040000000005</v>
      </c>
      <c r="N70" s="139">
        <v>404.68</v>
      </c>
      <c r="O70" s="139">
        <v>0.03</v>
      </c>
      <c r="P70" s="139">
        <v>106.64</v>
      </c>
      <c r="Q70" s="139">
        <f t="shared" si="75"/>
        <v>523.46040000000005</v>
      </c>
      <c r="R70" s="139">
        <f t="shared" si="76"/>
        <v>523.46040000000005</v>
      </c>
      <c r="S70" s="139">
        <f t="shared" si="77"/>
        <v>523.46040000000005</v>
      </c>
      <c r="T70" s="139">
        <f t="shared" si="78"/>
        <v>1570.3812000000003</v>
      </c>
      <c r="U70" s="139">
        <f t="shared" si="80"/>
        <v>2617.3020000000001</v>
      </c>
      <c r="V70" s="139">
        <f t="shared" si="56"/>
        <v>4711.1436000000003</v>
      </c>
      <c r="W70" s="139">
        <f t="shared" si="57"/>
        <v>8898.8268000000007</v>
      </c>
      <c r="X70" s="139">
        <f t="shared" si="58"/>
        <v>16227.272400000002</v>
      </c>
      <c r="Y70" s="129"/>
      <c r="Z70" s="276"/>
      <c r="AA70" s="276"/>
      <c r="AB70" s="276"/>
      <c r="AC70" s="276"/>
      <c r="AD70" s="276"/>
      <c r="AE70" s="276"/>
      <c r="AF70" s="276"/>
      <c r="AG70" s="276"/>
      <c r="AH70" s="276"/>
      <c r="AI70" s="276"/>
      <c r="AJ70" s="276"/>
      <c r="AK70" s="276"/>
      <c r="AL70" s="276"/>
      <c r="AM70" s="276"/>
      <c r="AN70" s="276"/>
      <c r="AO70" s="276"/>
      <c r="AP70" s="276"/>
      <c r="AZ70" s="284"/>
    </row>
    <row r="71" spans="1:52" ht="71.25" customHeight="1">
      <c r="A71" s="191" t="s">
        <v>1163</v>
      </c>
      <c r="B71" s="129" t="s">
        <v>278</v>
      </c>
      <c r="C71" s="271" t="s">
        <v>1165</v>
      </c>
      <c r="D71" s="269" t="s">
        <v>235</v>
      </c>
      <c r="E71" s="151">
        <v>1</v>
      </c>
      <c r="F71" s="151">
        <f>E71</f>
        <v>1</v>
      </c>
      <c r="G71" s="151">
        <f>F71</f>
        <v>1</v>
      </c>
      <c r="H71" s="151">
        <f t="shared" si="89"/>
        <v>3</v>
      </c>
      <c r="I71" s="151">
        <f t="shared" si="97"/>
        <v>5</v>
      </c>
      <c r="J71" s="151">
        <f t="shared" si="98"/>
        <v>9</v>
      </c>
      <c r="K71" s="151">
        <f t="shared" si="99"/>
        <v>17</v>
      </c>
      <c r="L71" s="151">
        <f t="shared" si="100"/>
        <v>31</v>
      </c>
      <c r="M71" s="139">
        <f t="shared" si="108"/>
        <v>520.72149999999999</v>
      </c>
      <c r="N71" s="139">
        <v>403.05</v>
      </c>
      <c r="O71" s="139">
        <v>0.03</v>
      </c>
      <c r="P71" s="139">
        <v>105.58</v>
      </c>
      <c r="Q71" s="139">
        <f t="shared" si="75"/>
        <v>520.72149999999999</v>
      </c>
      <c r="R71" s="139">
        <f t="shared" si="76"/>
        <v>520.72149999999999</v>
      </c>
      <c r="S71" s="139">
        <f t="shared" si="77"/>
        <v>520.72149999999999</v>
      </c>
      <c r="T71" s="139">
        <f t="shared" si="78"/>
        <v>1562.1644999999999</v>
      </c>
      <c r="U71" s="139">
        <f t="shared" si="80"/>
        <v>2603.6075000000001</v>
      </c>
      <c r="V71" s="139">
        <f t="shared" si="56"/>
        <v>4686.4934999999996</v>
      </c>
      <c r="W71" s="139">
        <f t="shared" si="57"/>
        <v>8852.2654999999995</v>
      </c>
      <c r="X71" s="139">
        <f t="shared" si="58"/>
        <v>16142.3665</v>
      </c>
      <c r="Y71" s="129"/>
      <c r="Z71" s="276"/>
      <c r="AA71" s="276"/>
      <c r="AB71" s="276"/>
      <c r="AC71" s="276"/>
      <c r="AD71" s="276"/>
      <c r="AE71" s="276"/>
      <c r="AF71" s="276"/>
      <c r="AG71" s="276"/>
      <c r="AH71" s="276"/>
      <c r="AI71" s="276"/>
      <c r="AJ71" s="276"/>
      <c r="AK71" s="276"/>
      <c r="AL71" s="276"/>
      <c r="AM71" s="276"/>
      <c r="AN71" s="276"/>
      <c r="AO71" s="276"/>
      <c r="AP71" s="276"/>
      <c r="AZ71" s="284"/>
    </row>
    <row r="72" spans="1:52" ht="71.25" customHeight="1">
      <c r="A72" s="191" t="s">
        <v>1166</v>
      </c>
      <c r="B72" s="129" t="s">
        <v>278</v>
      </c>
      <c r="C72" s="271" t="s">
        <v>1167</v>
      </c>
      <c r="D72" s="269" t="s">
        <v>235</v>
      </c>
      <c r="E72" s="151"/>
      <c r="F72" s="151"/>
      <c r="G72" s="151"/>
      <c r="H72" s="151"/>
      <c r="I72" s="151"/>
      <c r="J72" s="151"/>
      <c r="K72" s="151"/>
      <c r="L72" s="151"/>
      <c r="M72" s="139">
        <f t="shared" si="108"/>
        <v>530.57860000000005</v>
      </c>
      <c r="N72" s="139">
        <v>412.62</v>
      </c>
      <c r="O72" s="139">
        <v>0.03</v>
      </c>
      <c r="P72" s="139">
        <v>105.58</v>
      </c>
      <c r="Q72" s="139">
        <f t="shared" ref="Q72" si="111">E72*$M72</f>
        <v>0</v>
      </c>
      <c r="R72" s="139">
        <f t="shared" ref="R72" si="112">F72*$M72</f>
        <v>0</v>
      </c>
      <c r="S72" s="139">
        <f t="shared" ref="S72" si="113">G72*$M72</f>
        <v>0</v>
      </c>
      <c r="T72" s="139">
        <f t="shared" ref="T72" si="114">H72*$M72</f>
        <v>0</v>
      </c>
      <c r="U72" s="139">
        <f t="shared" ref="U72" si="115">I72*$M72</f>
        <v>0</v>
      </c>
      <c r="V72" s="139">
        <f t="shared" ref="V72:V103" si="116">J72*$M72</f>
        <v>0</v>
      </c>
      <c r="W72" s="139">
        <f t="shared" ref="W72:W103" si="117">K72*$M72</f>
        <v>0</v>
      </c>
      <c r="X72" s="139">
        <f t="shared" ref="X72:X103" si="118">L72*$M72</f>
        <v>0</v>
      </c>
      <c r="Y72" s="129"/>
      <c r="Z72" s="276"/>
      <c r="AA72" s="276"/>
      <c r="AB72" s="276"/>
      <c r="AC72" s="276"/>
      <c r="AD72" s="276"/>
      <c r="AE72" s="276"/>
      <c r="AF72" s="276"/>
      <c r="AG72" s="276"/>
      <c r="AH72" s="276"/>
      <c r="AI72" s="276"/>
      <c r="AJ72" s="276"/>
      <c r="AK72" s="276"/>
      <c r="AL72" s="276"/>
      <c r="AM72" s="276"/>
      <c r="AN72" s="276"/>
      <c r="AO72" s="276"/>
      <c r="AP72" s="276"/>
      <c r="AZ72" s="284"/>
    </row>
    <row r="73" spans="1:52" ht="94.5" customHeight="1">
      <c r="A73" s="191"/>
      <c r="B73" s="129" t="s">
        <v>233</v>
      </c>
      <c r="C73" s="249" t="s">
        <v>1168</v>
      </c>
      <c r="D73" s="129" t="s">
        <v>235</v>
      </c>
      <c r="E73" s="151">
        <v>50</v>
      </c>
      <c r="F73" s="151">
        <f>E73</f>
        <v>50</v>
      </c>
      <c r="G73" s="151">
        <f>F73</f>
        <v>50</v>
      </c>
      <c r="H73" s="151">
        <f>SUM(E73:G73)</f>
        <v>150</v>
      </c>
      <c r="I73" s="151">
        <f t="shared" ref="I73" si="119">SUM(F73:H73)</f>
        <v>250</v>
      </c>
      <c r="J73" s="151">
        <f t="shared" ref="J73" si="120">SUM(G73:I73)</f>
        <v>450</v>
      </c>
      <c r="K73" s="151">
        <f t="shared" ref="K73" si="121">SUM(H73:J73)</f>
        <v>850</v>
      </c>
      <c r="L73" s="151">
        <f t="shared" ref="L73" si="122">SUM(I73:K73)</f>
        <v>1550</v>
      </c>
      <c r="M73" s="139">
        <f t="shared" si="108"/>
        <v>429.79219999999998</v>
      </c>
      <c r="N73" s="139">
        <v>325.74</v>
      </c>
      <c r="O73" s="139">
        <v>0.03</v>
      </c>
      <c r="P73" s="139">
        <v>94.28</v>
      </c>
      <c r="Q73" s="139">
        <f t="shared" ref="Q73:Q87" si="123">E73*$M73</f>
        <v>21489.61</v>
      </c>
      <c r="R73" s="139">
        <f t="shared" ref="R73:R87" si="124">F73*$M73</f>
        <v>21489.61</v>
      </c>
      <c r="S73" s="139">
        <f t="shared" ref="S73:S87" si="125">G73*$M73</f>
        <v>21489.61</v>
      </c>
      <c r="T73" s="139">
        <f t="shared" ref="T73:T87" si="126">H73*$M73</f>
        <v>64468.829999999994</v>
      </c>
      <c r="U73" s="139">
        <f t="shared" ref="U73:U87" si="127">I73*$M73</f>
        <v>107448.04999999999</v>
      </c>
      <c r="V73" s="139">
        <f t="shared" si="116"/>
        <v>193406.49</v>
      </c>
      <c r="W73" s="139">
        <f t="shared" si="117"/>
        <v>365323.37</v>
      </c>
      <c r="X73" s="139">
        <f t="shared" si="118"/>
        <v>666177.90999999992</v>
      </c>
      <c r="Y73" s="129"/>
      <c r="Z73" s="276"/>
      <c r="AA73" s="276"/>
      <c r="AB73" s="276"/>
      <c r="AC73" s="276"/>
      <c r="AD73" s="276"/>
      <c r="AE73" s="276"/>
      <c r="AF73" s="276"/>
      <c r="AG73" s="276"/>
      <c r="AH73" s="276"/>
      <c r="AI73" s="276"/>
      <c r="AJ73" s="276"/>
      <c r="AK73" s="276"/>
      <c r="AL73" s="276"/>
      <c r="AM73" s="276"/>
      <c r="AN73" s="276"/>
      <c r="AO73" s="276"/>
      <c r="AP73" s="276"/>
      <c r="AS73" s="199" t="s">
        <v>233</v>
      </c>
      <c r="AT73" s="199" t="s">
        <v>1168</v>
      </c>
      <c r="AU73" s="199" t="s">
        <v>235</v>
      </c>
      <c r="AV73" s="199">
        <v>429.79219999999998</v>
      </c>
      <c r="AW73" s="199">
        <v>325.74</v>
      </c>
      <c r="AX73" s="199">
        <v>0.03</v>
      </c>
      <c r="AY73" s="199">
        <v>94.28</v>
      </c>
      <c r="AZ73" s="284">
        <f t="shared" ref="AZ73" si="128">AV73-M73</f>
        <v>0</v>
      </c>
    </row>
    <row r="74" spans="1:52" ht="94.5" customHeight="1">
      <c r="A74" s="191"/>
      <c r="B74" s="129" t="s">
        <v>233</v>
      </c>
      <c r="C74" s="249" t="s">
        <v>1169</v>
      </c>
      <c r="D74" s="129" t="s">
        <v>235</v>
      </c>
      <c r="E74" s="151">
        <v>51</v>
      </c>
      <c r="F74" s="151">
        <f>E74</f>
        <v>51</v>
      </c>
      <c r="G74" s="151">
        <f>F74</f>
        <v>51</v>
      </c>
      <c r="H74" s="151">
        <f>SUM(E74:G74)</f>
        <v>153</v>
      </c>
      <c r="I74" s="151">
        <f t="shared" ref="I74:L75" si="129">SUM(F74:H74)</f>
        <v>255</v>
      </c>
      <c r="J74" s="151">
        <f t="shared" si="129"/>
        <v>459</v>
      </c>
      <c r="K74" s="151">
        <f t="shared" si="129"/>
        <v>867</v>
      </c>
      <c r="L74" s="151">
        <f t="shared" si="129"/>
        <v>1581</v>
      </c>
      <c r="M74" s="139">
        <f t="shared" si="108"/>
        <v>498.42290000000003</v>
      </c>
      <c r="N74" s="139">
        <v>382.43</v>
      </c>
      <c r="O74" s="139">
        <v>0.03</v>
      </c>
      <c r="P74" s="139">
        <v>104.52</v>
      </c>
      <c r="Q74" s="139">
        <f t="shared" si="123"/>
        <v>25419.567900000002</v>
      </c>
      <c r="R74" s="139">
        <f t="shared" si="124"/>
        <v>25419.567900000002</v>
      </c>
      <c r="S74" s="139">
        <f t="shared" si="125"/>
        <v>25419.567900000002</v>
      </c>
      <c r="T74" s="139">
        <f t="shared" si="126"/>
        <v>76258.703699999998</v>
      </c>
      <c r="U74" s="139">
        <f t="shared" si="127"/>
        <v>127097.8395</v>
      </c>
      <c r="V74" s="139">
        <f t="shared" si="116"/>
        <v>228776.11110000001</v>
      </c>
      <c r="W74" s="139">
        <f t="shared" si="117"/>
        <v>432132.65429999999</v>
      </c>
      <c r="X74" s="139">
        <f t="shared" si="118"/>
        <v>788006.60490000003</v>
      </c>
      <c r="Y74" s="129"/>
      <c r="Z74" s="276"/>
      <c r="AA74" s="276"/>
      <c r="AB74" s="276"/>
      <c r="AC74" s="276"/>
      <c r="AD74" s="276"/>
      <c r="AE74" s="276"/>
      <c r="AF74" s="276"/>
      <c r="AG74" s="276"/>
      <c r="AH74" s="276"/>
      <c r="AI74" s="276"/>
      <c r="AJ74" s="276"/>
      <c r="AK74" s="276"/>
      <c r="AL74" s="276"/>
      <c r="AM74" s="276"/>
      <c r="AN74" s="276"/>
      <c r="AO74" s="276"/>
      <c r="AP74" s="276"/>
      <c r="AS74" s="199" t="s">
        <v>233</v>
      </c>
      <c r="AT74" s="199" t="s">
        <v>1170</v>
      </c>
      <c r="AU74" s="199" t="s">
        <v>235</v>
      </c>
      <c r="AV74" s="199">
        <v>498.42290000000003</v>
      </c>
      <c r="AW74" s="199">
        <v>382.43</v>
      </c>
      <c r="AX74" s="199">
        <v>0.03</v>
      </c>
      <c r="AY74" s="199">
        <v>104.52</v>
      </c>
      <c r="AZ74" s="284">
        <f>AV74-M74</f>
        <v>0</v>
      </c>
    </row>
    <row r="75" spans="1:52" ht="81.75" customHeight="1">
      <c r="A75" s="285" t="s">
        <v>1155</v>
      </c>
      <c r="B75" s="192" t="s">
        <v>278</v>
      </c>
      <c r="C75" s="270" t="s">
        <v>1171</v>
      </c>
      <c r="D75" s="269" t="s">
        <v>235</v>
      </c>
      <c r="E75" s="151">
        <v>60</v>
      </c>
      <c r="F75" s="151">
        <f t="shared" ref="F75" si="130">E75</f>
        <v>60</v>
      </c>
      <c r="G75" s="151">
        <f t="shared" ref="G75:G83" si="131">F75</f>
        <v>60</v>
      </c>
      <c r="H75" s="151">
        <f>SUM(E75:G75)</f>
        <v>180</v>
      </c>
      <c r="I75" s="151">
        <f t="shared" si="129"/>
        <v>300</v>
      </c>
      <c r="J75" s="151">
        <f t="shared" si="129"/>
        <v>540</v>
      </c>
      <c r="K75" s="151">
        <f t="shared" si="129"/>
        <v>1020</v>
      </c>
      <c r="L75" s="151">
        <f t="shared" si="129"/>
        <v>1860</v>
      </c>
      <c r="M75" s="139">
        <f t="shared" si="108"/>
        <v>462.47139999999996</v>
      </c>
      <c r="N75" s="201">
        <v>354.38</v>
      </c>
      <c r="O75" s="139">
        <v>0.03</v>
      </c>
      <c r="P75" s="201">
        <v>97.46</v>
      </c>
      <c r="Q75" s="288">
        <f t="shared" si="123"/>
        <v>27748.283999999996</v>
      </c>
      <c r="R75" s="288">
        <f t="shared" si="124"/>
        <v>27748.283999999996</v>
      </c>
      <c r="S75" s="288">
        <f t="shared" si="125"/>
        <v>27748.283999999996</v>
      </c>
      <c r="T75" s="288">
        <f t="shared" si="126"/>
        <v>83244.851999999999</v>
      </c>
      <c r="U75" s="288">
        <f t="shared" si="127"/>
        <v>138741.41999999998</v>
      </c>
      <c r="V75" s="288">
        <f t="shared" si="116"/>
        <v>249734.55599999998</v>
      </c>
      <c r="W75" s="288">
        <f t="shared" si="117"/>
        <v>471720.82799999998</v>
      </c>
      <c r="X75" s="288">
        <f t="shared" si="118"/>
        <v>860196.80399999989</v>
      </c>
      <c r="Y75" s="192"/>
      <c r="Z75" s="289"/>
      <c r="AA75" s="289"/>
      <c r="AB75" s="289"/>
      <c r="AC75" s="289"/>
      <c r="AD75" s="289"/>
      <c r="AE75" s="289"/>
      <c r="AF75" s="289"/>
      <c r="AG75" s="289"/>
      <c r="AH75" s="289"/>
      <c r="AI75" s="289"/>
      <c r="AJ75" s="289"/>
      <c r="AK75" s="289"/>
      <c r="AL75" s="289"/>
      <c r="AM75" s="289"/>
      <c r="AN75" s="289"/>
      <c r="AO75" s="289"/>
      <c r="AP75" s="289"/>
      <c r="AQ75" s="291"/>
      <c r="AZ75" s="293">
        <f>AV75-M75</f>
        <v>-462.47139999999996</v>
      </c>
    </row>
    <row r="76" spans="1:52" ht="45.75" customHeight="1">
      <c r="A76" s="285" t="s">
        <v>1145</v>
      </c>
      <c r="B76" s="192" t="s">
        <v>278</v>
      </c>
      <c r="C76" s="268" t="s">
        <v>1172</v>
      </c>
      <c r="D76" s="269" t="s">
        <v>235</v>
      </c>
      <c r="E76" s="151">
        <v>60</v>
      </c>
      <c r="F76" s="151">
        <f t="shared" ref="F76:F83" si="132">E76</f>
        <v>60</v>
      </c>
      <c r="G76" s="151">
        <f t="shared" si="131"/>
        <v>60</v>
      </c>
      <c r="H76" s="151">
        <f t="shared" ref="H76" si="133">SUM(E76:G76)</f>
        <v>180</v>
      </c>
      <c r="I76" s="151">
        <f t="shared" ref="I76" si="134">SUM(F76:H76)</f>
        <v>300</v>
      </c>
      <c r="J76" s="151">
        <f t="shared" ref="J76" si="135">SUM(G76:I76)</f>
        <v>540</v>
      </c>
      <c r="K76" s="151">
        <f t="shared" ref="K76" si="136">SUM(H76:J76)</f>
        <v>1020</v>
      </c>
      <c r="L76" s="151">
        <f t="shared" ref="L76" si="137">SUM(I76:K76)</f>
        <v>1860</v>
      </c>
      <c r="M76" s="139">
        <f t="shared" ref="M76" si="138">N76*(1+O76)+P76</f>
        <v>433.53110000000004</v>
      </c>
      <c r="N76" s="201">
        <v>329.37</v>
      </c>
      <c r="O76" s="139">
        <v>0.03</v>
      </c>
      <c r="P76" s="201">
        <v>94.28</v>
      </c>
      <c r="Q76" s="288">
        <f t="shared" si="123"/>
        <v>26011.866000000002</v>
      </c>
      <c r="R76" s="288">
        <f t="shared" si="124"/>
        <v>26011.866000000002</v>
      </c>
      <c r="S76" s="288">
        <f t="shared" si="125"/>
        <v>26011.866000000002</v>
      </c>
      <c r="T76" s="288">
        <f t="shared" si="126"/>
        <v>78035.598000000013</v>
      </c>
      <c r="U76" s="288">
        <f t="shared" si="127"/>
        <v>130059.33000000002</v>
      </c>
      <c r="V76" s="288">
        <f t="shared" si="116"/>
        <v>234106.79400000002</v>
      </c>
      <c r="W76" s="288">
        <f t="shared" si="117"/>
        <v>442201.72200000007</v>
      </c>
      <c r="X76" s="288">
        <f t="shared" si="118"/>
        <v>806367.84600000002</v>
      </c>
      <c r="Y76" s="192"/>
      <c r="Z76" s="289"/>
      <c r="AA76" s="289"/>
      <c r="AB76" s="289"/>
      <c r="AC76" s="289"/>
      <c r="AD76" s="289"/>
      <c r="AE76" s="289"/>
      <c r="AF76" s="289"/>
      <c r="AG76" s="289"/>
      <c r="AH76" s="289"/>
      <c r="AI76" s="289"/>
      <c r="AJ76" s="289"/>
      <c r="AK76" s="289"/>
      <c r="AL76" s="289"/>
      <c r="AM76" s="289"/>
      <c r="AN76" s="289"/>
      <c r="AO76" s="289"/>
      <c r="AP76" s="289"/>
      <c r="AQ76" s="291"/>
      <c r="AZ76" s="293">
        <f>AV76-M76</f>
        <v>-433.53110000000004</v>
      </c>
    </row>
    <row r="77" spans="1:52" ht="45.75" customHeight="1">
      <c r="A77" s="191" t="s">
        <v>1145</v>
      </c>
      <c r="B77" s="129" t="s">
        <v>278</v>
      </c>
      <c r="C77" s="274" t="s">
        <v>1173</v>
      </c>
      <c r="D77" s="269" t="s">
        <v>235</v>
      </c>
      <c r="E77" s="151">
        <v>61</v>
      </c>
      <c r="F77" s="151">
        <f t="shared" si="132"/>
        <v>61</v>
      </c>
      <c r="G77" s="151">
        <f t="shared" si="131"/>
        <v>61</v>
      </c>
      <c r="H77" s="151">
        <f t="shared" ref="H77:L81" si="139">SUM(E77:G77)</f>
        <v>183</v>
      </c>
      <c r="I77" s="151">
        <f t="shared" si="139"/>
        <v>305</v>
      </c>
      <c r="J77" s="151">
        <f t="shared" si="139"/>
        <v>549</v>
      </c>
      <c r="K77" s="151">
        <f t="shared" si="139"/>
        <v>1037</v>
      </c>
      <c r="L77" s="151">
        <f t="shared" si="139"/>
        <v>1891</v>
      </c>
      <c r="M77" s="139">
        <f t="shared" ref="M77:M83" si="140">N77*(1+O77)+P77</f>
        <v>405.64320000000004</v>
      </c>
      <c r="N77" s="139">
        <v>307.44</v>
      </c>
      <c r="O77" s="139">
        <v>0.03</v>
      </c>
      <c r="P77" s="201">
        <v>88.98</v>
      </c>
      <c r="Q77" s="139">
        <f t="shared" si="123"/>
        <v>24744.235200000003</v>
      </c>
      <c r="R77" s="139">
        <f t="shared" si="124"/>
        <v>24744.235200000003</v>
      </c>
      <c r="S77" s="139">
        <f t="shared" si="125"/>
        <v>24744.235200000003</v>
      </c>
      <c r="T77" s="139">
        <f t="shared" si="126"/>
        <v>74232.705600000001</v>
      </c>
      <c r="U77" s="139">
        <f t="shared" si="127"/>
        <v>123721.17600000001</v>
      </c>
      <c r="V77" s="139">
        <f t="shared" si="116"/>
        <v>222698.11680000002</v>
      </c>
      <c r="W77" s="139">
        <f t="shared" si="117"/>
        <v>420651.99840000004</v>
      </c>
      <c r="X77" s="139">
        <f t="shared" si="118"/>
        <v>767071.29120000009</v>
      </c>
      <c r="Y77" s="129"/>
      <c r="Z77" s="276"/>
      <c r="AA77" s="276"/>
      <c r="AB77" s="276"/>
      <c r="AC77" s="276"/>
      <c r="AD77" s="276"/>
      <c r="AE77" s="276"/>
      <c r="AF77" s="276"/>
      <c r="AG77" s="276"/>
      <c r="AH77" s="276"/>
      <c r="AI77" s="276"/>
      <c r="AJ77" s="276"/>
      <c r="AK77" s="276"/>
      <c r="AL77" s="276"/>
      <c r="AM77" s="276"/>
      <c r="AN77" s="276"/>
      <c r="AO77" s="276"/>
      <c r="AP77" s="276"/>
      <c r="AZ77" s="284">
        <f>AV77-M77</f>
        <v>-405.64320000000004</v>
      </c>
    </row>
    <row r="78" spans="1:52" ht="90" customHeight="1">
      <c r="A78" s="191" t="s">
        <v>1174</v>
      </c>
      <c r="B78" s="129" t="s">
        <v>278</v>
      </c>
      <c r="C78" s="286" t="s">
        <v>1175</v>
      </c>
      <c r="D78" s="269" t="s">
        <v>235</v>
      </c>
      <c r="E78" s="151">
        <v>61</v>
      </c>
      <c r="F78" s="151">
        <f t="shared" si="132"/>
        <v>61</v>
      </c>
      <c r="G78" s="151">
        <f t="shared" si="131"/>
        <v>61</v>
      </c>
      <c r="H78" s="151">
        <f t="shared" si="139"/>
        <v>183</v>
      </c>
      <c r="I78" s="151">
        <f t="shared" si="139"/>
        <v>305</v>
      </c>
      <c r="J78" s="151">
        <f t="shared" si="139"/>
        <v>549</v>
      </c>
      <c r="K78" s="151">
        <f t="shared" si="139"/>
        <v>1037</v>
      </c>
      <c r="L78" s="151">
        <f t="shared" si="139"/>
        <v>1891</v>
      </c>
      <c r="M78" s="139">
        <f t="shared" si="140"/>
        <v>387.8775</v>
      </c>
      <c r="N78" s="139">
        <v>292.25</v>
      </c>
      <c r="O78" s="139">
        <v>0.03</v>
      </c>
      <c r="P78" s="201">
        <v>86.86</v>
      </c>
      <c r="Q78" s="139">
        <f t="shared" si="123"/>
        <v>23660.5275</v>
      </c>
      <c r="R78" s="139">
        <f t="shared" si="124"/>
        <v>23660.5275</v>
      </c>
      <c r="S78" s="139">
        <f t="shared" si="125"/>
        <v>23660.5275</v>
      </c>
      <c r="T78" s="139">
        <f t="shared" si="126"/>
        <v>70981.582500000004</v>
      </c>
      <c r="U78" s="139">
        <f t="shared" si="127"/>
        <v>118302.6375</v>
      </c>
      <c r="V78" s="139">
        <f t="shared" si="116"/>
        <v>212944.7475</v>
      </c>
      <c r="W78" s="139">
        <f t="shared" si="117"/>
        <v>402228.96749999997</v>
      </c>
      <c r="X78" s="139">
        <f t="shared" si="118"/>
        <v>733476.35250000004</v>
      </c>
      <c r="Y78" s="129"/>
      <c r="Z78" s="276"/>
      <c r="AA78" s="276"/>
      <c r="AB78" s="276"/>
      <c r="AC78" s="276"/>
      <c r="AD78" s="276"/>
      <c r="AE78" s="276"/>
      <c r="AF78" s="276"/>
      <c r="AG78" s="276"/>
      <c r="AH78" s="276"/>
      <c r="AI78" s="276"/>
      <c r="AJ78" s="276"/>
      <c r="AK78" s="276"/>
      <c r="AL78" s="276"/>
      <c r="AM78" s="276"/>
      <c r="AN78" s="276"/>
      <c r="AO78" s="276"/>
      <c r="AP78" s="276"/>
      <c r="AZ78" s="284">
        <f>AV78-M78</f>
        <v>-387.8775</v>
      </c>
    </row>
    <row r="79" spans="1:52" ht="90" customHeight="1">
      <c r="A79" s="191" t="s">
        <v>1174</v>
      </c>
      <c r="B79" s="129" t="s">
        <v>278</v>
      </c>
      <c r="C79" s="286" t="s">
        <v>1176</v>
      </c>
      <c r="D79" s="269" t="s">
        <v>235</v>
      </c>
      <c r="E79" s="151">
        <v>61</v>
      </c>
      <c r="F79" s="151">
        <f t="shared" si="132"/>
        <v>61</v>
      </c>
      <c r="G79" s="151">
        <f t="shared" si="131"/>
        <v>61</v>
      </c>
      <c r="H79" s="151">
        <f t="shared" si="139"/>
        <v>183</v>
      </c>
      <c r="I79" s="151">
        <f t="shared" si="139"/>
        <v>305</v>
      </c>
      <c r="J79" s="151">
        <f t="shared" si="139"/>
        <v>549</v>
      </c>
      <c r="K79" s="151">
        <f t="shared" si="139"/>
        <v>1037</v>
      </c>
      <c r="L79" s="151">
        <f t="shared" si="139"/>
        <v>1891</v>
      </c>
      <c r="M79" s="139">
        <f t="shared" si="140"/>
        <v>129.11500000000001</v>
      </c>
      <c r="N79" s="139">
        <v>94.5</v>
      </c>
      <c r="O79" s="139">
        <v>0.03</v>
      </c>
      <c r="P79" s="201">
        <v>31.78</v>
      </c>
      <c r="Q79" s="139">
        <f t="shared" si="123"/>
        <v>7876.0150000000003</v>
      </c>
      <c r="R79" s="139">
        <f t="shared" si="124"/>
        <v>7876.0150000000003</v>
      </c>
      <c r="S79" s="139">
        <f t="shared" si="125"/>
        <v>7876.0150000000003</v>
      </c>
      <c r="T79" s="139">
        <f t="shared" si="126"/>
        <v>23628.045000000002</v>
      </c>
      <c r="U79" s="139">
        <f t="shared" si="127"/>
        <v>39380.075000000004</v>
      </c>
      <c r="V79" s="139">
        <f t="shared" si="116"/>
        <v>70884.135000000009</v>
      </c>
      <c r="W79" s="139">
        <f t="shared" si="117"/>
        <v>133892.255</v>
      </c>
      <c r="X79" s="139">
        <f t="shared" si="118"/>
        <v>244156.46500000003</v>
      </c>
      <c r="Y79" s="129"/>
      <c r="Z79" s="276"/>
      <c r="AA79" s="276"/>
      <c r="AB79" s="276"/>
      <c r="AC79" s="276"/>
      <c r="AD79" s="276"/>
      <c r="AE79" s="276"/>
      <c r="AF79" s="276"/>
      <c r="AG79" s="276"/>
      <c r="AH79" s="276"/>
      <c r="AI79" s="276"/>
      <c r="AJ79" s="276"/>
      <c r="AK79" s="276"/>
      <c r="AL79" s="276"/>
      <c r="AM79" s="276"/>
      <c r="AN79" s="276"/>
      <c r="AO79" s="276"/>
      <c r="AP79" s="276"/>
      <c r="AZ79" s="284"/>
    </row>
    <row r="80" spans="1:52" ht="69.75" customHeight="1">
      <c r="A80" s="191" t="s">
        <v>1163</v>
      </c>
      <c r="B80" s="129" t="s">
        <v>278</v>
      </c>
      <c r="C80" s="271" t="s">
        <v>1177</v>
      </c>
      <c r="D80" s="269" t="s">
        <v>235</v>
      </c>
      <c r="E80" s="151">
        <v>1</v>
      </c>
      <c r="F80" s="151">
        <f t="shared" si="132"/>
        <v>1</v>
      </c>
      <c r="G80" s="151">
        <f t="shared" si="131"/>
        <v>1</v>
      </c>
      <c r="H80" s="151">
        <f t="shared" si="139"/>
        <v>3</v>
      </c>
      <c r="I80" s="151">
        <f t="shared" si="139"/>
        <v>5</v>
      </c>
      <c r="J80" s="151">
        <f t="shared" si="139"/>
        <v>9</v>
      </c>
      <c r="K80" s="151">
        <f t="shared" si="139"/>
        <v>17</v>
      </c>
      <c r="L80" s="151">
        <f t="shared" si="139"/>
        <v>31</v>
      </c>
      <c r="M80" s="139">
        <f t="shared" si="140"/>
        <v>125.40700000000001</v>
      </c>
      <c r="N80" s="139">
        <v>90.9</v>
      </c>
      <c r="O80" s="139">
        <v>0.03</v>
      </c>
      <c r="P80" s="139">
        <v>31.78</v>
      </c>
      <c r="Q80" s="139">
        <f t="shared" si="123"/>
        <v>125.40700000000001</v>
      </c>
      <c r="R80" s="139">
        <f t="shared" si="124"/>
        <v>125.40700000000001</v>
      </c>
      <c r="S80" s="139">
        <f t="shared" si="125"/>
        <v>125.40700000000001</v>
      </c>
      <c r="T80" s="139">
        <f t="shared" si="126"/>
        <v>376.221</v>
      </c>
      <c r="U80" s="139">
        <f t="shared" si="127"/>
        <v>627.03500000000008</v>
      </c>
      <c r="V80" s="139">
        <f t="shared" si="116"/>
        <v>1128.663</v>
      </c>
      <c r="W80" s="139">
        <f t="shared" si="117"/>
        <v>2131.9190000000003</v>
      </c>
      <c r="X80" s="139">
        <f t="shared" si="118"/>
        <v>3887.6170000000002</v>
      </c>
      <c r="Y80" s="129"/>
      <c r="Z80" s="276"/>
      <c r="AA80" s="276"/>
      <c r="AB80" s="276"/>
      <c r="AC80" s="276"/>
      <c r="AD80" s="276"/>
      <c r="AE80" s="276"/>
      <c r="AF80" s="276"/>
      <c r="AG80" s="276"/>
      <c r="AH80" s="276"/>
      <c r="AI80" s="276"/>
      <c r="AJ80" s="276"/>
      <c r="AK80" s="276"/>
      <c r="AL80" s="276"/>
      <c r="AM80" s="276"/>
      <c r="AN80" s="276"/>
      <c r="AO80" s="276"/>
      <c r="AP80" s="276"/>
      <c r="AZ80" s="284"/>
    </row>
    <row r="81" spans="1:52" ht="66" customHeight="1">
      <c r="A81" s="191" t="s">
        <v>1163</v>
      </c>
      <c r="B81" s="129" t="s">
        <v>278</v>
      </c>
      <c r="C81" s="271" t="s">
        <v>1178</v>
      </c>
      <c r="D81" s="269" t="s">
        <v>235</v>
      </c>
      <c r="E81" s="151">
        <v>1</v>
      </c>
      <c r="F81" s="151">
        <f t="shared" si="132"/>
        <v>1</v>
      </c>
      <c r="G81" s="151">
        <f t="shared" si="131"/>
        <v>1</v>
      </c>
      <c r="H81" s="151">
        <f t="shared" si="139"/>
        <v>3</v>
      </c>
      <c r="I81" s="151">
        <f t="shared" si="139"/>
        <v>5</v>
      </c>
      <c r="J81" s="151">
        <f t="shared" si="139"/>
        <v>9</v>
      </c>
      <c r="K81" s="151">
        <f t="shared" si="139"/>
        <v>17</v>
      </c>
      <c r="L81" s="151">
        <f t="shared" si="139"/>
        <v>31</v>
      </c>
      <c r="M81" s="139">
        <f t="shared" si="140"/>
        <v>114.283</v>
      </c>
      <c r="N81" s="139">
        <v>80.099999999999994</v>
      </c>
      <c r="O81" s="139">
        <v>0.03</v>
      </c>
      <c r="P81" s="139">
        <v>31.78</v>
      </c>
      <c r="Q81" s="139">
        <f t="shared" si="123"/>
        <v>114.283</v>
      </c>
      <c r="R81" s="139">
        <f t="shared" si="124"/>
        <v>114.283</v>
      </c>
      <c r="S81" s="139">
        <f t="shared" si="125"/>
        <v>114.283</v>
      </c>
      <c r="T81" s="139">
        <f t="shared" si="126"/>
        <v>342.84899999999999</v>
      </c>
      <c r="U81" s="139">
        <f t="shared" si="127"/>
        <v>571.41499999999996</v>
      </c>
      <c r="V81" s="139">
        <f t="shared" si="116"/>
        <v>1028.547</v>
      </c>
      <c r="W81" s="139">
        <f t="shared" si="117"/>
        <v>1942.8109999999999</v>
      </c>
      <c r="X81" s="139">
        <f t="shared" si="118"/>
        <v>3542.7730000000001</v>
      </c>
      <c r="Y81" s="129"/>
      <c r="Z81" s="276"/>
      <c r="AA81" s="276"/>
      <c r="AB81" s="276"/>
      <c r="AC81" s="276"/>
      <c r="AD81" s="276"/>
      <c r="AE81" s="276"/>
      <c r="AF81" s="276"/>
      <c r="AG81" s="276"/>
      <c r="AH81" s="276"/>
      <c r="AI81" s="276"/>
      <c r="AJ81" s="276"/>
      <c r="AK81" s="276"/>
      <c r="AL81" s="276"/>
      <c r="AM81" s="276"/>
      <c r="AN81" s="276"/>
      <c r="AO81" s="276"/>
      <c r="AP81" s="276"/>
      <c r="AZ81" s="284"/>
    </row>
    <row r="82" spans="1:52" ht="95.25" customHeight="1">
      <c r="A82" s="191"/>
      <c r="B82" s="129">
        <v>7</v>
      </c>
      <c r="C82" s="249" t="s">
        <v>1179</v>
      </c>
      <c r="D82" s="129" t="s">
        <v>235</v>
      </c>
      <c r="E82" s="151">
        <v>52</v>
      </c>
      <c r="F82" s="151">
        <f t="shared" si="132"/>
        <v>52</v>
      </c>
      <c r="G82" s="151">
        <f t="shared" si="131"/>
        <v>52</v>
      </c>
      <c r="H82" s="151">
        <f>SUM(E82:G82)</f>
        <v>156</v>
      </c>
      <c r="I82" s="151">
        <f t="shared" ref="I82" si="141">SUM(F82:H82)</f>
        <v>260</v>
      </c>
      <c r="J82" s="151">
        <f t="shared" ref="J82" si="142">SUM(G82:I82)</f>
        <v>468</v>
      </c>
      <c r="K82" s="151">
        <f t="shared" ref="K82" si="143">SUM(H82:J82)</f>
        <v>884</v>
      </c>
      <c r="L82" s="151">
        <f t="shared" ref="L82" si="144">SUM(I82:K82)</f>
        <v>1612</v>
      </c>
      <c r="M82" s="139">
        <f t="shared" si="140"/>
        <v>74.5</v>
      </c>
      <c r="N82" s="139">
        <v>50</v>
      </c>
      <c r="O82" s="139">
        <v>0.03</v>
      </c>
      <c r="P82" s="139">
        <v>23</v>
      </c>
      <c r="Q82" s="139">
        <f t="shared" si="123"/>
        <v>3874</v>
      </c>
      <c r="R82" s="139">
        <f t="shared" si="124"/>
        <v>3874</v>
      </c>
      <c r="S82" s="139">
        <f t="shared" si="125"/>
        <v>3874</v>
      </c>
      <c r="T82" s="139">
        <f t="shared" si="126"/>
        <v>11622</v>
      </c>
      <c r="U82" s="139">
        <f t="shared" si="127"/>
        <v>19370</v>
      </c>
      <c r="V82" s="139">
        <f t="shared" si="116"/>
        <v>34866</v>
      </c>
      <c r="W82" s="139">
        <f t="shared" si="117"/>
        <v>65858</v>
      </c>
      <c r="X82" s="139">
        <f t="shared" si="118"/>
        <v>120094</v>
      </c>
      <c r="Y82" s="129"/>
      <c r="Z82" s="276"/>
      <c r="AA82" s="276"/>
      <c r="AB82" s="276"/>
      <c r="AC82" s="276"/>
      <c r="AD82" s="276"/>
      <c r="AE82" s="276"/>
      <c r="AF82" s="276"/>
      <c r="AG82" s="276"/>
      <c r="AH82" s="276"/>
      <c r="AI82" s="276"/>
      <c r="AJ82" s="276"/>
      <c r="AK82" s="276"/>
      <c r="AL82" s="276"/>
      <c r="AM82" s="276"/>
      <c r="AN82" s="276"/>
      <c r="AO82" s="276"/>
      <c r="AP82" s="276"/>
      <c r="AS82" s="199">
        <v>7</v>
      </c>
      <c r="AT82" s="199" t="s">
        <v>1179</v>
      </c>
      <c r="AU82" s="199" t="s">
        <v>235</v>
      </c>
      <c r="AV82" s="199">
        <v>74.5</v>
      </c>
      <c r="AW82" s="199">
        <v>50</v>
      </c>
      <c r="AX82" s="199">
        <v>0.03</v>
      </c>
      <c r="AY82" s="199">
        <v>23</v>
      </c>
      <c r="AZ82" s="284">
        <f t="shared" ref="AZ82" si="145">AV82-M82</f>
        <v>0</v>
      </c>
    </row>
    <row r="83" spans="1:52" ht="69.75" customHeight="1">
      <c r="A83" s="191" t="s">
        <v>606</v>
      </c>
      <c r="B83" s="129" t="s">
        <v>278</v>
      </c>
      <c r="C83" s="271" t="s">
        <v>1180</v>
      </c>
      <c r="D83" s="269" t="s">
        <v>235</v>
      </c>
      <c r="E83" s="151">
        <v>1</v>
      </c>
      <c r="F83" s="151">
        <f t="shared" si="132"/>
        <v>1</v>
      </c>
      <c r="G83" s="151">
        <f t="shared" si="131"/>
        <v>1</v>
      </c>
      <c r="H83" s="151">
        <f>SUM(E83:G83)</f>
        <v>3</v>
      </c>
      <c r="I83" s="151">
        <f t="shared" ref="I83:I110" si="146">SUM(F83:H83)</f>
        <v>5</v>
      </c>
      <c r="J83" s="151">
        <f t="shared" ref="J83:J110" si="147">SUM(G83:I83)</f>
        <v>9</v>
      </c>
      <c r="K83" s="151">
        <f t="shared" ref="K83:K110" si="148">SUM(H83:J83)</f>
        <v>17</v>
      </c>
      <c r="L83" s="151">
        <f t="shared" ref="L83:L110" si="149">SUM(I83:K83)</f>
        <v>31</v>
      </c>
      <c r="M83" s="139">
        <f t="shared" si="140"/>
        <v>133.666</v>
      </c>
      <c r="N83" s="139">
        <v>109.2</v>
      </c>
      <c r="O83" s="139">
        <v>0.03</v>
      </c>
      <c r="P83" s="139">
        <v>21.19</v>
      </c>
      <c r="Q83" s="139">
        <f t="shared" si="123"/>
        <v>133.666</v>
      </c>
      <c r="R83" s="139">
        <f t="shared" si="124"/>
        <v>133.666</v>
      </c>
      <c r="S83" s="139">
        <f t="shared" si="125"/>
        <v>133.666</v>
      </c>
      <c r="T83" s="139">
        <f t="shared" si="126"/>
        <v>400.99799999999999</v>
      </c>
      <c r="U83" s="139">
        <f t="shared" si="127"/>
        <v>668.32999999999993</v>
      </c>
      <c r="V83" s="139">
        <f t="shared" si="116"/>
        <v>1202.9939999999999</v>
      </c>
      <c r="W83" s="139">
        <f t="shared" si="117"/>
        <v>2272.3220000000001</v>
      </c>
      <c r="X83" s="139">
        <f t="shared" si="118"/>
        <v>4143.6459999999997</v>
      </c>
      <c r="Y83" s="129"/>
      <c r="Z83" s="276"/>
      <c r="AA83" s="276"/>
      <c r="AB83" s="276"/>
      <c r="AC83" s="276"/>
      <c r="AD83" s="276"/>
      <c r="AE83" s="276"/>
      <c r="AF83" s="276"/>
      <c r="AG83" s="276"/>
      <c r="AH83" s="276"/>
      <c r="AI83" s="276"/>
      <c r="AJ83" s="276"/>
      <c r="AK83" s="276"/>
      <c r="AL83" s="276"/>
      <c r="AM83" s="276"/>
      <c r="AN83" s="276"/>
      <c r="AO83" s="276"/>
      <c r="AP83" s="276"/>
      <c r="AZ83" s="284"/>
    </row>
    <row r="84" spans="1:52" ht="84" customHeight="1">
      <c r="A84" s="191" t="s">
        <v>1166</v>
      </c>
      <c r="B84" s="129" t="s">
        <v>278</v>
      </c>
      <c r="C84" s="273" t="s">
        <v>1181</v>
      </c>
      <c r="D84" s="269" t="s">
        <v>235</v>
      </c>
      <c r="E84" s="151">
        <v>1</v>
      </c>
      <c r="F84" s="151">
        <f t="shared" ref="F84" si="150">E84</f>
        <v>1</v>
      </c>
      <c r="G84" s="151">
        <f t="shared" ref="G84" si="151">F84</f>
        <v>1</v>
      </c>
      <c r="H84" s="151">
        <f t="shared" ref="H84" si="152">SUM(E84:G84)</f>
        <v>3</v>
      </c>
      <c r="I84" s="151">
        <f t="shared" si="146"/>
        <v>5</v>
      </c>
      <c r="J84" s="151">
        <f t="shared" si="147"/>
        <v>9</v>
      </c>
      <c r="K84" s="151">
        <f t="shared" si="148"/>
        <v>17</v>
      </c>
      <c r="L84" s="151">
        <f t="shared" si="149"/>
        <v>31</v>
      </c>
      <c r="M84" s="139">
        <f t="shared" ref="M84" si="153">N84*(1+O84)+P84</f>
        <v>336.36</v>
      </c>
      <c r="N84" s="139">
        <v>258</v>
      </c>
      <c r="O84" s="139">
        <v>0.03</v>
      </c>
      <c r="P84" s="139">
        <v>70.62</v>
      </c>
      <c r="Q84" s="139">
        <f t="shared" si="123"/>
        <v>336.36</v>
      </c>
      <c r="R84" s="139">
        <f t="shared" si="124"/>
        <v>336.36</v>
      </c>
      <c r="S84" s="139">
        <f t="shared" si="125"/>
        <v>336.36</v>
      </c>
      <c r="T84" s="139">
        <f t="shared" si="126"/>
        <v>1009.08</v>
      </c>
      <c r="U84" s="139">
        <f t="shared" si="127"/>
        <v>1681.8000000000002</v>
      </c>
      <c r="V84" s="139">
        <f t="shared" si="116"/>
        <v>3027.2400000000002</v>
      </c>
      <c r="W84" s="139">
        <f t="shared" si="117"/>
        <v>5718.12</v>
      </c>
      <c r="X84" s="139">
        <f t="shared" si="118"/>
        <v>10427.16</v>
      </c>
      <c r="Y84" s="129"/>
      <c r="Z84" s="276"/>
      <c r="AA84" s="276"/>
      <c r="AB84" s="276"/>
      <c r="AC84" s="276"/>
      <c r="AD84" s="276"/>
      <c r="AE84" s="276"/>
      <c r="AF84" s="276"/>
      <c r="AG84" s="276"/>
      <c r="AH84" s="276"/>
      <c r="AI84" s="276"/>
      <c r="AJ84" s="276"/>
      <c r="AK84" s="276"/>
      <c r="AL84" s="276"/>
      <c r="AM84" s="276"/>
      <c r="AN84" s="276"/>
      <c r="AO84" s="276"/>
      <c r="AP84" s="276"/>
      <c r="AZ84" s="284"/>
    </row>
    <row r="85" spans="1:52" ht="96" customHeight="1">
      <c r="A85" s="191"/>
      <c r="B85" s="129">
        <v>8</v>
      </c>
      <c r="C85" s="249" t="s">
        <v>1182</v>
      </c>
      <c r="D85" s="129" t="s">
        <v>235</v>
      </c>
      <c r="E85" s="151">
        <v>53</v>
      </c>
      <c r="F85" s="151">
        <f t="shared" ref="F85:G88" si="154">E85</f>
        <v>53</v>
      </c>
      <c r="G85" s="151">
        <f t="shared" si="154"/>
        <v>53</v>
      </c>
      <c r="H85" s="151">
        <f>SUM(E85:G85)</f>
        <v>159</v>
      </c>
      <c r="I85" s="151">
        <f t="shared" si="146"/>
        <v>265</v>
      </c>
      <c r="J85" s="151">
        <f t="shared" si="147"/>
        <v>477</v>
      </c>
      <c r="K85" s="151">
        <f t="shared" si="148"/>
        <v>901</v>
      </c>
      <c r="L85" s="151">
        <f t="shared" si="149"/>
        <v>1643</v>
      </c>
      <c r="M85" s="139">
        <f>N85*(1+O85)+P85</f>
        <v>246.08500000000001</v>
      </c>
      <c r="N85" s="139">
        <v>187.5</v>
      </c>
      <c r="O85" s="139">
        <v>0.03</v>
      </c>
      <c r="P85" s="139">
        <f>P54</f>
        <v>52.96</v>
      </c>
      <c r="Q85" s="139">
        <f t="shared" si="123"/>
        <v>13042.505000000001</v>
      </c>
      <c r="R85" s="139">
        <f t="shared" si="124"/>
        <v>13042.505000000001</v>
      </c>
      <c r="S85" s="139">
        <f t="shared" si="125"/>
        <v>13042.505000000001</v>
      </c>
      <c r="T85" s="139">
        <f t="shared" si="126"/>
        <v>39127.514999999999</v>
      </c>
      <c r="U85" s="139">
        <f t="shared" si="127"/>
        <v>65212.525000000001</v>
      </c>
      <c r="V85" s="139">
        <f t="shared" si="116"/>
        <v>117382.545</v>
      </c>
      <c r="W85" s="139">
        <f t="shared" si="117"/>
        <v>221722.58500000002</v>
      </c>
      <c r="X85" s="139">
        <f t="shared" si="118"/>
        <v>404317.65500000003</v>
      </c>
      <c r="Y85" s="129"/>
      <c r="Z85" s="276"/>
      <c r="AA85" s="276"/>
      <c r="AB85" s="276"/>
      <c r="AC85" s="276"/>
      <c r="AD85" s="276"/>
      <c r="AE85" s="276"/>
      <c r="AF85" s="276"/>
      <c r="AG85" s="276"/>
      <c r="AH85" s="276"/>
      <c r="AI85" s="276"/>
      <c r="AJ85" s="276"/>
      <c r="AK85" s="276"/>
      <c r="AL85" s="276"/>
      <c r="AM85" s="276"/>
      <c r="AN85" s="276"/>
      <c r="AO85" s="276"/>
      <c r="AP85" s="276"/>
      <c r="AS85" s="199">
        <v>8</v>
      </c>
      <c r="AT85" s="199" t="s">
        <v>1182</v>
      </c>
      <c r="AU85" s="199" t="s">
        <v>235</v>
      </c>
      <c r="AV85" s="199">
        <v>246.08500000000001</v>
      </c>
      <c r="AW85" s="199">
        <v>187.5</v>
      </c>
      <c r="AX85" s="199">
        <v>0.03</v>
      </c>
      <c r="AY85" s="199">
        <v>52.96</v>
      </c>
      <c r="AZ85" s="284">
        <f>AV85-M85</f>
        <v>0</v>
      </c>
    </row>
    <row r="86" spans="1:52" ht="96.75" customHeight="1">
      <c r="A86" s="191"/>
      <c r="B86" s="129">
        <v>9</v>
      </c>
      <c r="C86" s="249" t="s">
        <v>1183</v>
      </c>
      <c r="D86" s="129" t="s">
        <v>235</v>
      </c>
      <c r="E86" s="151">
        <v>54</v>
      </c>
      <c r="F86" s="151">
        <f t="shared" si="154"/>
        <v>54</v>
      </c>
      <c r="G86" s="151">
        <f t="shared" si="154"/>
        <v>54</v>
      </c>
      <c r="H86" s="151">
        <f>SUM(E86:G86)</f>
        <v>162</v>
      </c>
      <c r="I86" s="151">
        <f t="shared" si="146"/>
        <v>270</v>
      </c>
      <c r="J86" s="151">
        <f t="shared" si="147"/>
        <v>486</v>
      </c>
      <c r="K86" s="151">
        <f t="shared" si="148"/>
        <v>918</v>
      </c>
      <c r="L86" s="151">
        <f t="shared" si="149"/>
        <v>1674</v>
      </c>
      <c r="M86" s="139">
        <f>N86*(1+O86)+P86</f>
        <v>209.00500000000002</v>
      </c>
      <c r="N86" s="139">
        <v>151.5</v>
      </c>
      <c r="O86" s="139">
        <v>0.03</v>
      </c>
      <c r="P86" s="139">
        <f>P54</f>
        <v>52.96</v>
      </c>
      <c r="Q86" s="139">
        <f t="shared" si="123"/>
        <v>11286.27</v>
      </c>
      <c r="R86" s="139">
        <f t="shared" si="124"/>
        <v>11286.27</v>
      </c>
      <c r="S86" s="139">
        <f t="shared" si="125"/>
        <v>11286.27</v>
      </c>
      <c r="T86" s="139">
        <f t="shared" si="126"/>
        <v>33858.810000000005</v>
      </c>
      <c r="U86" s="139">
        <f t="shared" si="127"/>
        <v>56431.350000000006</v>
      </c>
      <c r="V86" s="139">
        <f t="shared" si="116"/>
        <v>101576.43000000001</v>
      </c>
      <c r="W86" s="139">
        <f t="shared" si="117"/>
        <v>191866.59000000003</v>
      </c>
      <c r="X86" s="139">
        <f t="shared" si="118"/>
        <v>349874.37000000005</v>
      </c>
      <c r="Y86" s="129"/>
      <c r="Z86" s="276"/>
      <c r="AA86" s="276"/>
      <c r="AB86" s="276"/>
      <c r="AC86" s="276"/>
      <c r="AD86" s="276"/>
      <c r="AE86" s="276"/>
      <c r="AF86" s="276"/>
      <c r="AG86" s="276"/>
      <c r="AH86" s="276"/>
      <c r="AI86" s="276"/>
      <c r="AJ86" s="276"/>
      <c r="AK86" s="276"/>
      <c r="AL86" s="276"/>
      <c r="AM86" s="276"/>
      <c r="AN86" s="276"/>
      <c r="AO86" s="276"/>
      <c r="AP86" s="276"/>
      <c r="AS86" s="199">
        <v>9</v>
      </c>
      <c r="AT86" s="199" t="s">
        <v>1183</v>
      </c>
      <c r="AU86" s="199" t="s">
        <v>235</v>
      </c>
      <c r="AV86" s="199">
        <v>209.005</v>
      </c>
      <c r="AW86" s="199">
        <v>151.5</v>
      </c>
      <c r="AX86" s="199">
        <v>0.03</v>
      </c>
      <c r="AY86" s="199">
        <v>52.96</v>
      </c>
      <c r="AZ86" s="284">
        <f>AV86-M86</f>
        <v>0</v>
      </c>
    </row>
    <row r="87" spans="1:52" ht="91.5" customHeight="1">
      <c r="A87" s="191"/>
      <c r="B87" s="129" t="s">
        <v>233</v>
      </c>
      <c r="C87" s="249" t="s">
        <v>1184</v>
      </c>
      <c r="D87" s="129" t="s">
        <v>235</v>
      </c>
      <c r="E87" s="151">
        <v>55</v>
      </c>
      <c r="F87" s="151">
        <f t="shared" si="154"/>
        <v>55</v>
      </c>
      <c r="G87" s="151">
        <f t="shared" si="154"/>
        <v>55</v>
      </c>
      <c r="H87" s="151">
        <f>SUM(E87:G87)</f>
        <v>165</v>
      </c>
      <c r="I87" s="151">
        <f t="shared" si="146"/>
        <v>275</v>
      </c>
      <c r="J87" s="151">
        <f t="shared" si="147"/>
        <v>495</v>
      </c>
      <c r="K87" s="151">
        <f t="shared" si="148"/>
        <v>935</v>
      </c>
      <c r="L87" s="151">
        <f t="shared" si="149"/>
        <v>1705</v>
      </c>
      <c r="M87" s="139">
        <f>N87*(1+O87)+P87</f>
        <v>252.26500000000001</v>
      </c>
      <c r="N87" s="139">
        <v>193.5</v>
      </c>
      <c r="O87" s="139">
        <v>0.03</v>
      </c>
      <c r="P87" s="139">
        <v>52.96</v>
      </c>
      <c r="Q87" s="139">
        <f t="shared" si="123"/>
        <v>13874.575000000001</v>
      </c>
      <c r="R87" s="139">
        <f t="shared" si="124"/>
        <v>13874.575000000001</v>
      </c>
      <c r="S87" s="139">
        <f t="shared" si="125"/>
        <v>13874.575000000001</v>
      </c>
      <c r="T87" s="139">
        <f t="shared" si="126"/>
        <v>41623.725000000006</v>
      </c>
      <c r="U87" s="139">
        <f t="shared" si="127"/>
        <v>69372.875</v>
      </c>
      <c r="V87" s="139">
        <f t="shared" si="116"/>
        <v>124871.175</v>
      </c>
      <c r="W87" s="139">
        <f t="shared" si="117"/>
        <v>235867.77500000002</v>
      </c>
      <c r="X87" s="139">
        <f t="shared" si="118"/>
        <v>430111.82500000001</v>
      </c>
      <c r="Y87" s="129"/>
      <c r="Z87" s="276"/>
      <c r="AA87" s="276"/>
      <c r="AB87" s="276"/>
      <c r="AC87" s="276"/>
      <c r="AD87" s="276"/>
      <c r="AE87" s="276"/>
      <c r="AF87" s="276"/>
      <c r="AG87" s="276"/>
      <c r="AH87" s="276"/>
      <c r="AI87" s="276"/>
      <c r="AJ87" s="276"/>
      <c r="AK87" s="276"/>
      <c r="AL87" s="276"/>
      <c r="AM87" s="276"/>
      <c r="AN87" s="276"/>
      <c r="AO87" s="276"/>
      <c r="AP87" s="276"/>
      <c r="AS87" s="199" t="s">
        <v>233</v>
      </c>
      <c r="AT87" s="199" t="s">
        <v>1184</v>
      </c>
      <c r="AU87" s="199" t="s">
        <v>235</v>
      </c>
      <c r="AV87" s="199">
        <v>252.26499999999999</v>
      </c>
      <c r="AW87" s="199">
        <v>193.5</v>
      </c>
      <c r="AX87" s="199">
        <v>0.03</v>
      </c>
      <c r="AY87" s="199">
        <v>52.96</v>
      </c>
      <c r="AZ87" s="284">
        <f>AV87-M87</f>
        <v>0</v>
      </c>
    </row>
    <row r="88" spans="1:52" ht="92.25" customHeight="1">
      <c r="A88" s="191" t="s">
        <v>297</v>
      </c>
      <c r="B88" s="129" t="s">
        <v>278</v>
      </c>
      <c r="C88" s="271" t="s">
        <v>1185</v>
      </c>
      <c r="D88" s="269" t="s">
        <v>235</v>
      </c>
      <c r="E88" s="151">
        <v>1</v>
      </c>
      <c r="F88" s="151">
        <f t="shared" si="154"/>
        <v>1</v>
      </c>
      <c r="G88" s="151">
        <f t="shared" si="154"/>
        <v>1</v>
      </c>
      <c r="H88" s="151">
        <f>SUM(E88:G88)</f>
        <v>3</v>
      </c>
      <c r="I88" s="151">
        <f t="shared" si="146"/>
        <v>5</v>
      </c>
      <c r="J88" s="151">
        <f t="shared" si="147"/>
        <v>9</v>
      </c>
      <c r="K88" s="151">
        <f t="shared" si="148"/>
        <v>17</v>
      </c>
      <c r="L88" s="151">
        <f t="shared" si="149"/>
        <v>31</v>
      </c>
      <c r="M88" s="139">
        <f>N88*(1+O88)+P88</f>
        <v>333.06400000000002</v>
      </c>
      <c r="N88" s="139">
        <v>254.8</v>
      </c>
      <c r="O88" s="139">
        <v>0.03</v>
      </c>
      <c r="P88" s="139">
        <v>70.62</v>
      </c>
      <c r="Q88" s="139">
        <f t="shared" ref="Q88:Q103" si="155">E88*$M88</f>
        <v>333.06400000000002</v>
      </c>
      <c r="R88" s="139">
        <f t="shared" ref="R88:R103" si="156">F88*$M88</f>
        <v>333.06400000000002</v>
      </c>
      <c r="S88" s="139">
        <f t="shared" ref="S88:S103" si="157">G88*$M88</f>
        <v>333.06400000000002</v>
      </c>
      <c r="T88" s="139">
        <f t="shared" ref="T88:T103" si="158">H88*$M88</f>
        <v>999.19200000000001</v>
      </c>
      <c r="U88" s="139">
        <f t="shared" ref="U88" si="159">I88*$M88</f>
        <v>1665.3200000000002</v>
      </c>
      <c r="V88" s="139">
        <f t="shared" si="116"/>
        <v>2997.576</v>
      </c>
      <c r="W88" s="139">
        <f t="shared" si="117"/>
        <v>5662.0880000000006</v>
      </c>
      <c r="X88" s="139">
        <f t="shared" si="118"/>
        <v>10324.984</v>
      </c>
      <c r="Y88" s="129"/>
      <c r="Z88" s="276"/>
      <c r="AA88" s="276"/>
      <c r="AB88" s="276"/>
      <c r="AC88" s="276"/>
      <c r="AD88" s="276"/>
      <c r="AE88" s="276"/>
      <c r="AF88" s="276"/>
      <c r="AG88" s="276"/>
      <c r="AH88" s="276"/>
      <c r="AI88" s="276"/>
      <c r="AJ88" s="276"/>
      <c r="AK88" s="276"/>
      <c r="AL88" s="276"/>
      <c r="AM88" s="276"/>
      <c r="AN88" s="276"/>
      <c r="AO88" s="276"/>
      <c r="AP88" s="276"/>
      <c r="AZ88" s="284"/>
    </row>
    <row r="89" spans="1:52" ht="84" customHeight="1">
      <c r="A89" s="191" t="s">
        <v>1166</v>
      </c>
      <c r="B89" s="129" t="s">
        <v>278</v>
      </c>
      <c r="C89" s="273" t="s">
        <v>1186</v>
      </c>
      <c r="D89" s="269" t="s">
        <v>235</v>
      </c>
      <c r="E89" s="151">
        <v>1</v>
      </c>
      <c r="F89" s="151">
        <f t="shared" ref="F89" si="160">E89</f>
        <v>1</v>
      </c>
      <c r="G89" s="151">
        <f t="shared" ref="G89" si="161">F89</f>
        <v>1</v>
      </c>
      <c r="H89" s="151">
        <f t="shared" ref="H89" si="162">SUM(E89:G89)</f>
        <v>3</v>
      </c>
      <c r="I89" s="151">
        <f t="shared" si="146"/>
        <v>5</v>
      </c>
      <c r="J89" s="151">
        <f t="shared" si="147"/>
        <v>9</v>
      </c>
      <c r="K89" s="151">
        <f t="shared" si="148"/>
        <v>17</v>
      </c>
      <c r="L89" s="151">
        <f t="shared" si="149"/>
        <v>31</v>
      </c>
      <c r="M89" s="139">
        <f t="shared" ref="M89" si="163">N89*(1+O89)+P89</f>
        <v>126.98</v>
      </c>
      <c r="N89" s="139">
        <v>89</v>
      </c>
      <c r="O89" s="139">
        <v>0.03</v>
      </c>
      <c r="P89" s="139">
        <v>35.31</v>
      </c>
      <c r="Q89" s="139">
        <f t="shared" si="155"/>
        <v>126.98</v>
      </c>
      <c r="R89" s="139">
        <f t="shared" si="156"/>
        <v>126.98</v>
      </c>
      <c r="S89" s="139">
        <f t="shared" si="157"/>
        <v>126.98</v>
      </c>
      <c r="T89" s="139">
        <f t="shared" si="158"/>
        <v>380.94</v>
      </c>
      <c r="U89" s="139">
        <f t="shared" ref="U89:U103" si="164">I89*$M89</f>
        <v>634.9</v>
      </c>
      <c r="V89" s="139">
        <f t="shared" si="116"/>
        <v>1142.82</v>
      </c>
      <c r="W89" s="139">
        <f t="shared" si="117"/>
        <v>2158.66</v>
      </c>
      <c r="X89" s="139">
        <f t="shared" si="118"/>
        <v>3936.38</v>
      </c>
      <c r="Y89" s="129"/>
      <c r="Z89" s="276"/>
      <c r="AA89" s="276"/>
      <c r="AB89" s="276"/>
      <c r="AC89" s="276"/>
      <c r="AD89" s="276"/>
      <c r="AE89" s="276"/>
      <c r="AF89" s="276"/>
      <c r="AG89" s="276"/>
      <c r="AH89" s="276"/>
      <c r="AI89" s="276"/>
      <c r="AJ89" s="276"/>
      <c r="AK89" s="276"/>
      <c r="AL89" s="276"/>
      <c r="AM89" s="276"/>
      <c r="AN89" s="276"/>
      <c r="AO89" s="276"/>
      <c r="AP89" s="276"/>
      <c r="AZ89" s="284"/>
    </row>
    <row r="90" spans="1:52" ht="91.5" customHeight="1">
      <c r="A90" s="191"/>
      <c r="B90" s="129">
        <v>10</v>
      </c>
      <c r="C90" s="249" t="s">
        <v>1187</v>
      </c>
      <c r="D90" s="129" t="s">
        <v>235</v>
      </c>
      <c r="E90" s="151">
        <v>56</v>
      </c>
      <c r="F90" s="151">
        <f t="shared" ref="F90:G93" si="165">E90</f>
        <v>56</v>
      </c>
      <c r="G90" s="151">
        <f t="shared" si="165"/>
        <v>56</v>
      </c>
      <c r="H90" s="151">
        <f>SUM(E90:G90)</f>
        <v>168</v>
      </c>
      <c r="I90" s="151">
        <f t="shared" si="146"/>
        <v>280</v>
      </c>
      <c r="J90" s="151">
        <f t="shared" si="147"/>
        <v>504</v>
      </c>
      <c r="K90" s="151">
        <f t="shared" si="148"/>
        <v>952</v>
      </c>
      <c r="L90" s="151">
        <f t="shared" si="149"/>
        <v>1736</v>
      </c>
      <c r="M90" s="139">
        <f>N90*(1+O90)+P90</f>
        <v>139.34</v>
      </c>
      <c r="N90" s="139">
        <v>101</v>
      </c>
      <c r="O90" s="139">
        <v>0.03</v>
      </c>
      <c r="P90" s="139">
        <v>35.31</v>
      </c>
      <c r="Q90" s="139">
        <f t="shared" si="155"/>
        <v>7803.04</v>
      </c>
      <c r="R90" s="139">
        <f t="shared" si="156"/>
        <v>7803.04</v>
      </c>
      <c r="S90" s="139">
        <f t="shared" si="157"/>
        <v>7803.04</v>
      </c>
      <c r="T90" s="139">
        <f t="shared" si="158"/>
        <v>23409.119999999999</v>
      </c>
      <c r="U90" s="139">
        <f t="shared" si="164"/>
        <v>39015.200000000004</v>
      </c>
      <c r="V90" s="139">
        <f t="shared" si="116"/>
        <v>70227.360000000001</v>
      </c>
      <c r="W90" s="139">
        <f t="shared" si="117"/>
        <v>132651.68</v>
      </c>
      <c r="X90" s="139">
        <f t="shared" si="118"/>
        <v>241894.24000000002</v>
      </c>
      <c r="Y90" s="129"/>
      <c r="Z90" s="276"/>
      <c r="AA90" s="276"/>
      <c r="AB90" s="276"/>
      <c r="AC90" s="276"/>
      <c r="AD90" s="276"/>
      <c r="AE90" s="276"/>
      <c r="AF90" s="276"/>
      <c r="AG90" s="276"/>
      <c r="AH90" s="276"/>
      <c r="AI90" s="276"/>
      <c r="AJ90" s="276"/>
      <c r="AK90" s="276"/>
      <c r="AL90" s="276"/>
      <c r="AM90" s="276"/>
      <c r="AN90" s="276"/>
      <c r="AO90" s="276"/>
      <c r="AP90" s="276"/>
      <c r="AS90" s="199">
        <v>10</v>
      </c>
      <c r="AT90" s="199" t="s">
        <v>1188</v>
      </c>
      <c r="AU90" s="199" t="s">
        <v>235</v>
      </c>
      <c r="AV90" s="199">
        <v>139.34</v>
      </c>
      <c r="AW90" s="199">
        <v>101</v>
      </c>
      <c r="AX90" s="199">
        <v>0.03</v>
      </c>
      <c r="AY90" s="199">
        <v>35.31</v>
      </c>
      <c r="AZ90" s="284">
        <f>AV90-M90</f>
        <v>0</v>
      </c>
    </row>
    <row r="91" spans="1:52" ht="91.5" customHeight="1">
      <c r="A91" s="191"/>
      <c r="B91" s="129">
        <v>11</v>
      </c>
      <c r="C91" s="249" t="s">
        <v>1189</v>
      </c>
      <c r="D91" s="129" t="s">
        <v>235</v>
      </c>
      <c r="E91" s="151">
        <v>57</v>
      </c>
      <c r="F91" s="151">
        <f t="shared" si="165"/>
        <v>57</v>
      </c>
      <c r="G91" s="151">
        <f t="shared" si="165"/>
        <v>57</v>
      </c>
      <c r="H91" s="151">
        <f>SUM(E91:G91)</f>
        <v>171</v>
      </c>
      <c r="I91" s="151">
        <f t="shared" si="146"/>
        <v>285</v>
      </c>
      <c r="J91" s="151">
        <f t="shared" si="147"/>
        <v>513</v>
      </c>
      <c r="K91" s="151">
        <f t="shared" si="148"/>
        <v>969</v>
      </c>
      <c r="L91" s="151">
        <f t="shared" si="149"/>
        <v>1767</v>
      </c>
      <c r="M91" s="139">
        <f>N91*(1+O91)+P91</f>
        <v>144.97049999999999</v>
      </c>
      <c r="N91" s="139">
        <v>102.35</v>
      </c>
      <c r="O91" s="139">
        <v>0.03</v>
      </c>
      <c r="P91" s="139">
        <v>39.549999999999997</v>
      </c>
      <c r="Q91" s="139">
        <f t="shared" si="155"/>
        <v>8263.3184999999994</v>
      </c>
      <c r="R91" s="139">
        <f t="shared" si="156"/>
        <v>8263.3184999999994</v>
      </c>
      <c r="S91" s="139">
        <f t="shared" si="157"/>
        <v>8263.3184999999994</v>
      </c>
      <c r="T91" s="139">
        <f t="shared" si="158"/>
        <v>24789.955499999996</v>
      </c>
      <c r="U91" s="139">
        <f t="shared" si="164"/>
        <v>41316.592499999999</v>
      </c>
      <c r="V91" s="139">
        <f t="shared" si="116"/>
        <v>74369.866499999989</v>
      </c>
      <c r="W91" s="139">
        <f t="shared" si="117"/>
        <v>140476.41449999998</v>
      </c>
      <c r="X91" s="139">
        <f t="shared" si="118"/>
        <v>256162.87349999999</v>
      </c>
      <c r="Y91" s="129"/>
      <c r="Z91" s="276"/>
      <c r="AA91" s="276"/>
      <c r="AB91" s="276"/>
      <c r="AC91" s="276"/>
      <c r="AD91" s="276"/>
      <c r="AE91" s="276"/>
      <c r="AF91" s="276"/>
      <c r="AG91" s="276"/>
      <c r="AH91" s="276"/>
      <c r="AI91" s="276"/>
      <c r="AJ91" s="276"/>
      <c r="AK91" s="276"/>
      <c r="AL91" s="276"/>
      <c r="AM91" s="276"/>
      <c r="AN91" s="276"/>
      <c r="AO91" s="276"/>
      <c r="AP91" s="276"/>
      <c r="AS91" s="199">
        <v>11</v>
      </c>
      <c r="AT91" s="199" t="s">
        <v>1190</v>
      </c>
      <c r="AU91" s="199" t="s">
        <v>235</v>
      </c>
      <c r="AV91" s="199">
        <v>144.97049999999999</v>
      </c>
      <c r="AW91" s="199">
        <v>102.35</v>
      </c>
      <c r="AX91" s="199">
        <v>0.03</v>
      </c>
      <c r="AY91" s="199">
        <v>39.549999999999997</v>
      </c>
      <c r="AZ91" s="284">
        <f>AV91-M91</f>
        <v>0</v>
      </c>
    </row>
    <row r="92" spans="1:52" ht="73.5" customHeight="1">
      <c r="A92" s="191" t="s">
        <v>1163</v>
      </c>
      <c r="B92" s="129" t="s">
        <v>278</v>
      </c>
      <c r="C92" s="271" t="s">
        <v>1191</v>
      </c>
      <c r="D92" s="269" t="s">
        <v>235</v>
      </c>
      <c r="E92" s="151">
        <v>1</v>
      </c>
      <c r="F92" s="151">
        <f t="shared" si="165"/>
        <v>1</v>
      </c>
      <c r="G92" s="151">
        <f t="shared" si="165"/>
        <v>1</v>
      </c>
      <c r="H92" s="151">
        <f t="shared" ref="H92" si="166">SUM(E92:G92)</f>
        <v>3</v>
      </c>
      <c r="I92" s="151">
        <f t="shared" si="146"/>
        <v>5</v>
      </c>
      <c r="J92" s="151">
        <f t="shared" si="147"/>
        <v>9</v>
      </c>
      <c r="K92" s="151">
        <f t="shared" si="148"/>
        <v>17</v>
      </c>
      <c r="L92" s="151">
        <f t="shared" si="149"/>
        <v>31</v>
      </c>
      <c r="M92" s="139">
        <f t="shared" ref="M92" si="167">N92*(1+O92)+P92</f>
        <v>103.8686</v>
      </c>
      <c r="N92" s="139">
        <v>68.62</v>
      </c>
      <c r="O92" s="139">
        <v>0.03</v>
      </c>
      <c r="P92" s="139">
        <v>33.19</v>
      </c>
      <c r="Q92" s="139">
        <f t="shared" si="155"/>
        <v>103.8686</v>
      </c>
      <c r="R92" s="139">
        <f t="shared" si="156"/>
        <v>103.8686</v>
      </c>
      <c r="S92" s="139">
        <f t="shared" si="157"/>
        <v>103.8686</v>
      </c>
      <c r="T92" s="139">
        <f t="shared" si="158"/>
        <v>311.60579999999999</v>
      </c>
      <c r="U92" s="139">
        <f t="shared" si="164"/>
        <v>519.34299999999996</v>
      </c>
      <c r="V92" s="139">
        <f t="shared" si="116"/>
        <v>934.81740000000002</v>
      </c>
      <c r="W92" s="139">
        <f t="shared" si="117"/>
        <v>1765.7662</v>
      </c>
      <c r="X92" s="139">
        <f t="shared" si="118"/>
        <v>3219.9266000000002</v>
      </c>
      <c r="Y92" s="129"/>
      <c r="Z92" s="276"/>
      <c r="AA92" s="276"/>
      <c r="AB92" s="276"/>
      <c r="AC92" s="276"/>
      <c r="AD92" s="276"/>
      <c r="AE92" s="276"/>
      <c r="AF92" s="276"/>
      <c r="AG92" s="276"/>
      <c r="AH92" s="276"/>
      <c r="AI92" s="276"/>
      <c r="AJ92" s="276"/>
      <c r="AK92" s="276"/>
      <c r="AL92" s="276"/>
      <c r="AM92" s="276"/>
      <c r="AN92" s="276"/>
      <c r="AO92" s="276"/>
      <c r="AP92" s="276"/>
      <c r="AZ92" s="284"/>
    </row>
    <row r="93" spans="1:52" ht="73.5" customHeight="1">
      <c r="A93" s="191" t="s">
        <v>1166</v>
      </c>
      <c r="B93" s="129" t="s">
        <v>278</v>
      </c>
      <c r="C93" s="271" t="s">
        <v>1192</v>
      </c>
      <c r="D93" s="269" t="s">
        <v>235</v>
      </c>
      <c r="E93" s="151">
        <v>1</v>
      </c>
      <c r="F93" s="151">
        <f t="shared" si="165"/>
        <v>1</v>
      </c>
      <c r="G93" s="151">
        <f t="shared" si="165"/>
        <v>1</v>
      </c>
      <c r="H93" s="151">
        <f>SUM(E93:G93)</f>
        <v>3</v>
      </c>
      <c r="I93" s="151">
        <f t="shared" si="146"/>
        <v>5</v>
      </c>
      <c r="J93" s="151">
        <f t="shared" si="147"/>
        <v>9</v>
      </c>
      <c r="K93" s="151">
        <f t="shared" si="148"/>
        <v>17</v>
      </c>
      <c r="L93" s="151">
        <f t="shared" si="149"/>
        <v>31</v>
      </c>
      <c r="M93" s="139">
        <f>N93*(1+O93)+P93</f>
        <v>184.90359999999998</v>
      </c>
      <c r="N93" s="139">
        <v>141.12</v>
      </c>
      <c r="O93" s="139">
        <v>0.03</v>
      </c>
      <c r="P93" s="139">
        <v>39.549999999999997</v>
      </c>
      <c r="Q93" s="139">
        <f t="shared" si="155"/>
        <v>184.90359999999998</v>
      </c>
      <c r="R93" s="139">
        <f t="shared" si="156"/>
        <v>184.90359999999998</v>
      </c>
      <c r="S93" s="139">
        <f t="shared" si="157"/>
        <v>184.90359999999998</v>
      </c>
      <c r="T93" s="139">
        <f t="shared" si="158"/>
        <v>554.71079999999995</v>
      </c>
      <c r="U93" s="139">
        <f t="shared" si="164"/>
        <v>924.51799999999992</v>
      </c>
      <c r="V93" s="139">
        <f t="shared" si="116"/>
        <v>1664.1324</v>
      </c>
      <c r="W93" s="139">
        <f t="shared" si="117"/>
        <v>3143.3611999999998</v>
      </c>
      <c r="X93" s="139">
        <f t="shared" si="118"/>
        <v>5732.0115999999998</v>
      </c>
      <c r="Y93" s="129"/>
      <c r="Z93" s="276"/>
      <c r="AA93" s="276"/>
      <c r="AB93" s="276"/>
      <c r="AC93" s="276"/>
      <c r="AD93" s="276"/>
      <c r="AE93" s="276"/>
      <c r="AF93" s="276"/>
      <c r="AG93" s="276"/>
      <c r="AH93" s="276"/>
      <c r="AI93" s="276"/>
      <c r="AJ93" s="276"/>
      <c r="AK93" s="276"/>
      <c r="AL93" s="276"/>
      <c r="AM93" s="276"/>
      <c r="AN93" s="276"/>
      <c r="AO93" s="276"/>
      <c r="AP93" s="276"/>
      <c r="AZ93" s="284"/>
    </row>
    <row r="94" spans="1:52" ht="75.75" customHeight="1">
      <c r="A94" s="191" t="s">
        <v>1163</v>
      </c>
      <c r="B94" s="129" t="s">
        <v>278</v>
      </c>
      <c r="C94" s="271" t="s">
        <v>1193</v>
      </c>
      <c r="D94" s="269" t="s">
        <v>235</v>
      </c>
      <c r="E94" s="151">
        <v>1</v>
      </c>
      <c r="F94" s="151">
        <v>1</v>
      </c>
      <c r="G94" s="151">
        <v>1</v>
      </c>
      <c r="H94" s="151">
        <f>SUM(E94:G94)</f>
        <v>3</v>
      </c>
      <c r="I94" s="151">
        <f t="shared" si="146"/>
        <v>5</v>
      </c>
      <c r="J94" s="151">
        <f t="shared" si="147"/>
        <v>9</v>
      </c>
      <c r="K94" s="151">
        <f t="shared" si="148"/>
        <v>17</v>
      </c>
      <c r="L94" s="151">
        <f t="shared" si="149"/>
        <v>31</v>
      </c>
      <c r="M94" s="139">
        <f>N94*(1+O94)+P94</f>
        <v>215.86900000000003</v>
      </c>
      <c r="N94" s="139">
        <v>151.30000000000001</v>
      </c>
      <c r="O94" s="139">
        <v>0.03</v>
      </c>
      <c r="P94" s="139">
        <v>60.03</v>
      </c>
      <c r="Q94" s="139">
        <f t="shared" si="155"/>
        <v>215.86900000000003</v>
      </c>
      <c r="R94" s="139">
        <f t="shared" si="156"/>
        <v>215.86900000000003</v>
      </c>
      <c r="S94" s="139">
        <f t="shared" si="157"/>
        <v>215.86900000000003</v>
      </c>
      <c r="T94" s="139">
        <f t="shared" si="158"/>
        <v>647.60700000000008</v>
      </c>
      <c r="U94" s="139">
        <f t="shared" si="164"/>
        <v>1079.3450000000003</v>
      </c>
      <c r="V94" s="139">
        <f t="shared" si="116"/>
        <v>1942.8210000000004</v>
      </c>
      <c r="W94" s="139">
        <f t="shared" si="117"/>
        <v>3669.7730000000006</v>
      </c>
      <c r="X94" s="139">
        <f t="shared" si="118"/>
        <v>6691.9390000000012</v>
      </c>
      <c r="Y94" s="129"/>
      <c r="Z94" s="276"/>
      <c r="AA94" s="276"/>
      <c r="AB94" s="276"/>
      <c r="AC94" s="276"/>
      <c r="AD94" s="276"/>
      <c r="AE94" s="276"/>
      <c r="AF94" s="276"/>
      <c r="AG94" s="276"/>
      <c r="AH94" s="276"/>
      <c r="AI94" s="276"/>
      <c r="AJ94" s="276"/>
      <c r="AK94" s="276"/>
      <c r="AL94" s="276"/>
      <c r="AM94" s="276"/>
      <c r="AN94" s="276"/>
      <c r="AO94" s="276"/>
      <c r="AP94" s="276"/>
      <c r="AZ94" s="284"/>
    </row>
    <row r="95" spans="1:52" ht="93" customHeight="1">
      <c r="A95" s="191" t="s">
        <v>297</v>
      </c>
      <c r="B95" s="129" t="s">
        <v>278</v>
      </c>
      <c r="C95" s="271" t="s">
        <v>1194</v>
      </c>
      <c r="D95" s="269" t="s">
        <v>235</v>
      </c>
      <c r="E95" s="151">
        <v>1</v>
      </c>
      <c r="F95" s="151">
        <f t="shared" ref="F95" si="168">E95</f>
        <v>1</v>
      </c>
      <c r="G95" s="151">
        <f t="shared" ref="G95" si="169">F95</f>
        <v>1</v>
      </c>
      <c r="H95" s="151">
        <f t="shared" ref="H95" si="170">SUM(E95:G95)</f>
        <v>3</v>
      </c>
      <c r="I95" s="151">
        <f t="shared" si="146"/>
        <v>5</v>
      </c>
      <c r="J95" s="151">
        <f t="shared" si="147"/>
        <v>9</v>
      </c>
      <c r="K95" s="151">
        <f t="shared" si="148"/>
        <v>17</v>
      </c>
      <c r="L95" s="151">
        <f t="shared" si="149"/>
        <v>31</v>
      </c>
      <c r="M95" s="139">
        <f t="shared" ref="M95" si="171">N95*(1+O95)+P95</f>
        <v>623.19599999999991</v>
      </c>
      <c r="N95" s="139">
        <v>502.2</v>
      </c>
      <c r="O95" s="139">
        <v>0.03</v>
      </c>
      <c r="P95" s="139">
        <v>105.93</v>
      </c>
      <c r="Q95" s="139">
        <f t="shared" si="155"/>
        <v>623.19599999999991</v>
      </c>
      <c r="R95" s="139">
        <f t="shared" si="156"/>
        <v>623.19599999999991</v>
      </c>
      <c r="S95" s="139">
        <f t="shared" si="157"/>
        <v>623.19599999999991</v>
      </c>
      <c r="T95" s="139">
        <f t="shared" si="158"/>
        <v>1869.5879999999997</v>
      </c>
      <c r="U95" s="139">
        <f t="shared" si="164"/>
        <v>3115.9799999999996</v>
      </c>
      <c r="V95" s="139">
        <f t="shared" si="116"/>
        <v>5608.7639999999992</v>
      </c>
      <c r="W95" s="139">
        <f t="shared" si="117"/>
        <v>10594.331999999999</v>
      </c>
      <c r="X95" s="139">
        <f t="shared" si="118"/>
        <v>19319.075999999997</v>
      </c>
      <c r="Y95" s="129"/>
      <c r="Z95" s="276"/>
      <c r="AA95" s="276"/>
      <c r="AB95" s="276"/>
      <c r="AC95" s="276"/>
      <c r="AD95" s="276"/>
      <c r="AE95" s="276"/>
      <c r="AF95" s="276"/>
      <c r="AG95" s="276"/>
      <c r="AH95" s="276"/>
      <c r="AI95" s="276"/>
      <c r="AJ95" s="276"/>
      <c r="AK95" s="276"/>
      <c r="AL95" s="276"/>
      <c r="AM95" s="276"/>
      <c r="AN95" s="276"/>
      <c r="AO95" s="276"/>
      <c r="AP95" s="276"/>
      <c r="AZ95" s="284"/>
    </row>
    <row r="96" spans="1:52" ht="22.5" customHeight="1">
      <c r="A96" s="191"/>
      <c r="B96" s="129">
        <v>12</v>
      </c>
      <c r="C96" s="249" t="s">
        <v>1195</v>
      </c>
      <c r="D96" s="129" t="s">
        <v>270</v>
      </c>
      <c r="E96" s="151">
        <v>58</v>
      </c>
      <c r="F96" s="151">
        <f>E96</f>
        <v>58</v>
      </c>
      <c r="G96" s="151">
        <f>F96</f>
        <v>58</v>
      </c>
      <c r="H96" s="151">
        <f>SUM(E96:G96)</f>
        <v>174</v>
      </c>
      <c r="I96" s="151">
        <f t="shared" si="146"/>
        <v>290</v>
      </c>
      <c r="J96" s="151">
        <f t="shared" si="147"/>
        <v>522</v>
      </c>
      <c r="K96" s="151">
        <f t="shared" si="148"/>
        <v>986</v>
      </c>
      <c r="L96" s="151">
        <f t="shared" si="149"/>
        <v>1798</v>
      </c>
      <c r="M96" s="139">
        <f t="shared" ref="M96:M103" si="172">N96*(1+O96)+P96</f>
        <v>551.5</v>
      </c>
      <c r="N96" s="139">
        <v>450</v>
      </c>
      <c r="O96" s="139">
        <v>0.01</v>
      </c>
      <c r="P96" s="139">
        <f>P35</f>
        <v>97</v>
      </c>
      <c r="Q96" s="139">
        <f t="shared" si="155"/>
        <v>31987</v>
      </c>
      <c r="R96" s="139">
        <f t="shared" si="156"/>
        <v>31987</v>
      </c>
      <c r="S96" s="139">
        <f t="shared" si="157"/>
        <v>31987</v>
      </c>
      <c r="T96" s="139">
        <f t="shared" si="158"/>
        <v>95961</v>
      </c>
      <c r="U96" s="139">
        <f t="shared" si="164"/>
        <v>159935</v>
      </c>
      <c r="V96" s="139">
        <f t="shared" si="116"/>
        <v>287883</v>
      </c>
      <c r="W96" s="139">
        <f t="shared" si="117"/>
        <v>543779</v>
      </c>
      <c r="X96" s="139">
        <f t="shared" si="118"/>
        <v>991597</v>
      </c>
      <c r="Y96" s="129"/>
      <c r="Z96" s="276"/>
      <c r="AA96" s="276"/>
      <c r="AB96" s="276"/>
      <c r="AC96" s="276"/>
      <c r="AD96" s="276"/>
      <c r="AE96" s="276"/>
      <c r="AF96" s="276"/>
      <c r="AG96" s="276"/>
      <c r="AH96" s="276"/>
      <c r="AI96" s="276"/>
      <c r="AJ96" s="276"/>
      <c r="AK96" s="276"/>
      <c r="AL96" s="276"/>
      <c r="AM96" s="276"/>
      <c r="AN96" s="276"/>
      <c r="AO96" s="276"/>
      <c r="AP96" s="276"/>
      <c r="AS96" s="199">
        <v>12</v>
      </c>
      <c r="AT96" s="199" t="s">
        <v>1195</v>
      </c>
      <c r="AU96" s="199" t="s">
        <v>270</v>
      </c>
      <c r="AV96" s="199">
        <v>551.5</v>
      </c>
      <c r="AW96" s="199">
        <v>450</v>
      </c>
      <c r="AX96" s="199">
        <v>0.01</v>
      </c>
      <c r="AY96" s="199">
        <v>97</v>
      </c>
      <c r="AZ96" s="284">
        <f t="shared" ref="AZ96" si="173">AV96-M96</f>
        <v>0</v>
      </c>
    </row>
    <row r="97" spans="1:52" ht="81" customHeight="1">
      <c r="A97" s="191" t="s">
        <v>1163</v>
      </c>
      <c r="B97" s="129">
        <v>13</v>
      </c>
      <c r="C97" s="272" t="s">
        <v>1123</v>
      </c>
      <c r="D97" s="252" t="s">
        <v>482</v>
      </c>
      <c r="E97" s="151">
        <v>65</v>
      </c>
      <c r="F97" s="151">
        <f>E97</f>
        <v>65</v>
      </c>
      <c r="G97" s="151">
        <f>F97</f>
        <v>65</v>
      </c>
      <c r="H97" s="151">
        <f>SUM(E97:G97)</f>
        <v>195</v>
      </c>
      <c r="I97" s="151">
        <f t="shared" si="146"/>
        <v>325</v>
      </c>
      <c r="J97" s="151">
        <f t="shared" si="147"/>
        <v>585</v>
      </c>
      <c r="K97" s="151">
        <f t="shared" si="148"/>
        <v>1105</v>
      </c>
      <c r="L97" s="151">
        <f t="shared" si="149"/>
        <v>2015</v>
      </c>
      <c r="M97" s="139">
        <f t="shared" si="172"/>
        <v>272.5</v>
      </c>
      <c r="N97" s="139">
        <v>250</v>
      </c>
      <c r="O97" s="139">
        <v>0.01</v>
      </c>
      <c r="P97" s="139">
        <v>20</v>
      </c>
      <c r="Q97" s="139">
        <f t="shared" si="155"/>
        <v>17712.5</v>
      </c>
      <c r="R97" s="139">
        <f t="shared" si="156"/>
        <v>17712.5</v>
      </c>
      <c r="S97" s="139">
        <f t="shared" si="157"/>
        <v>17712.5</v>
      </c>
      <c r="T97" s="139">
        <f t="shared" si="158"/>
        <v>53137.5</v>
      </c>
      <c r="U97" s="139">
        <f t="shared" si="164"/>
        <v>88562.5</v>
      </c>
      <c r="V97" s="139">
        <f t="shared" si="116"/>
        <v>159412.5</v>
      </c>
      <c r="W97" s="139">
        <f t="shared" si="117"/>
        <v>301112.5</v>
      </c>
      <c r="X97" s="139">
        <f t="shared" si="118"/>
        <v>549087.5</v>
      </c>
      <c r="Y97" s="129"/>
      <c r="Z97" s="276"/>
      <c r="AA97" s="276"/>
      <c r="AB97" s="276"/>
      <c r="AC97" s="276"/>
      <c r="AD97" s="276"/>
      <c r="AE97" s="276"/>
      <c r="AF97" s="276"/>
      <c r="AG97" s="276"/>
      <c r="AH97" s="276"/>
      <c r="AI97" s="276"/>
      <c r="AJ97" s="276"/>
      <c r="AK97" s="276"/>
      <c r="AL97" s="276"/>
      <c r="AM97" s="276"/>
      <c r="AN97" s="276"/>
      <c r="AO97" s="276"/>
      <c r="AP97" s="276"/>
      <c r="AS97" s="199">
        <v>13</v>
      </c>
      <c r="AT97" s="199" t="s">
        <v>1123</v>
      </c>
      <c r="AU97" s="199" t="s">
        <v>482</v>
      </c>
      <c r="AV97" s="199">
        <v>272.5</v>
      </c>
      <c r="AW97" s="199">
        <v>250</v>
      </c>
      <c r="AX97" s="199">
        <v>0.01</v>
      </c>
      <c r="AY97" s="199">
        <v>20</v>
      </c>
      <c r="AZ97" s="284">
        <f t="shared" ref="AZ97:AZ102" si="174">AV97-M97</f>
        <v>0</v>
      </c>
    </row>
    <row r="98" spans="1:52" ht="19.5" customHeight="1">
      <c r="A98" s="191"/>
      <c r="B98" s="129">
        <v>14</v>
      </c>
      <c r="C98" s="272" t="s">
        <v>1124</v>
      </c>
      <c r="D98" s="252" t="s">
        <v>482</v>
      </c>
      <c r="E98" s="151">
        <v>66</v>
      </c>
      <c r="F98" s="151">
        <f t="shared" ref="F98" si="175">E98</f>
        <v>66</v>
      </c>
      <c r="G98" s="151">
        <f t="shared" ref="G98:G110" si="176">F98</f>
        <v>66</v>
      </c>
      <c r="H98" s="151">
        <f t="shared" ref="H98" si="177">SUM(E98:G98)</f>
        <v>198</v>
      </c>
      <c r="I98" s="151">
        <f t="shared" si="146"/>
        <v>330</v>
      </c>
      <c r="J98" s="151">
        <f t="shared" si="147"/>
        <v>594</v>
      </c>
      <c r="K98" s="151">
        <f t="shared" si="148"/>
        <v>1122</v>
      </c>
      <c r="L98" s="151">
        <f t="shared" si="149"/>
        <v>2046</v>
      </c>
      <c r="M98" s="139">
        <f t="shared" si="172"/>
        <v>39.64</v>
      </c>
      <c r="N98" s="139">
        <f>'附件4-8甲供材料清单'!K209</f>
        <v>20</v>
      </c>
      <c r="O98" s="139">
        <v>0.01</v>
      </c>
      <c r="P98" s="139">
        <v>19.440000000000001</v>
      </c>
      <c r="Q98" s="139">
        <f t="shared" si="155"/>
        <v>2616.2400000000002</v>
      </c>
      <c r="R98" s="139">
        <f t="shared" si="156"/>
        <v>2616.2400000000002</v>
      </c>
      <c r="S98" s="139">
        <f t="shared" si="157"/>
        <v>2616.2400000000002</v>
      </c>
      <c r="T98" s="139">
        <f t="shared" si="158"/>
        <v>7848.72</v>
      </c>
      <c r="U98" s="139">
        <f t="shared" si="164"/>
        <v>13081.2</v>
      </c>
      <c r="V98" s="139">
        <f t="shared" si="116"/>
        <v>23546.16</v>
      </c>
      <c r="W98" s="139">
        <f t="shared" si="117"/>
        <v>44476.08</v>
      </c>
      <c r="X98" s="139">
        <f t="shared" si="118"/>
        <v>81103.44</v>
      </c>
      <c r="Y98" s="129" t="s">
        <v>244</v>
      </c>
      <c r="Z98" s="277">
        <f t="shared" ref="Z98" si="178">E98*$N98*(1+$O98)</f>
        <v>1333.2</v>
      </c>
      <c r="AA98" s="277">
        <f t="shared" ref="AA98" si="179">F98*$N98*(1+$O98)</f>
        <v>1333.2</v>
      </c>
      <c r="AB98" s="277">
        <f t="shared" ref="AB98:AG101" si="180">G98*$N98*(1+$O98)</f>
        <v>1333.2</v>
      </c>
      <c r="AC98" s="277">
        <f t="shared" si="180"/>
        <v>3999.6</v>
      </c>
      <c r="AD98" s="277">
        <f t="shared" si="180"/>
        <v>6666</v>
      </c>
      <c r="AE98" s="277">
        <f t="shared" si="180"/>
        <v>11998.8</v>
      </c>
      <c r="AF98" s="277">
        <f t="shared" si="180"/>
        <v>22664.400000000001</v>
      </c>
      <c r="AG98" s="277">
        <f t="shared" si="180"/>
        <v>41329.199999999997</v>
      </c>
      <c r="AH98" s="277"/>
      <c r="AI98" s="277">
        <f t="shared" ref="AI98" si="181">Q98</f>
        <v>2616.2400000000002</v>
      </c>
      <c r="AJ98" s="277">
        <f t="shared" ref="AJ98" si="182">R98</f>
        <v>2616.2400000000002</v>
      </c>
      <c r="AK98" s="277">
        <f t="shared" ref="AK98:AP101" si="183">S98</f>
        <v>2616.2400000000002</v>
      </c>
      <c r="AL98" s="277">
        <f t="shared" si="183"/>
        <v>7848.72</v>
      </c>
      <c r="AM98" s="277">
        <f t="shared" si="183"/>
        <v>13081.2</v>
      </c>
      <c r="AN98" s="277">
        <f t="shared" si="183"/>
        <v>23546.16</v>
      </c>
      <c r="AO98" s="277">
        <f t="shared" si="183"/>
        <v>44476.08</v>
      </c>
      <c r="AP98" s="277">
        <f t="shared" si="183"/>
        <v>81103.44</v>
      </c>
      <c r="AQ98" s="281"/>
      <c r="AR98" s="265"/>
      <c r="AS98" s="199">
        <v>14</v>
      </c>
      <c r="AT98" s="199" t="s">
        <v>1124</v>
      </c>
      <c r="AU98" s="199" t="s">
        <v>482</v>
      </c>
      <c r="AV98" s="199">
        <v>54.79</v>
      </c>
      <c r="AW98" s="199">
        <v>35</v>
      </c>
      <c r="AX98" s="199">
        <v>0.01</v>
      </c>
      <c r="AY98" s="199">
        <v>19.440000000000001</v>
      </c>
      <c r="AZ98" s="284">
        <f t="shared" si="174"/>
        <v>15.149999999999999</v>
      </c>
    </row>
    <row r="99" spans="1:52" ht="21" customHeight="1">
      <c r="A99" s="191"/>
      <c r="B99" s="129">
        <v>15</v>
      </c>
      <c r="C99" s="272" t="s">
        <v>1125</v>
      </c>
      <c r="D99" s="129" t="s">
        <v>235</v>
      </c>
      <c r="E99" s="151">
        <v>67</v>
      </c>
      <c r="F99" s="151">
        <f t="shared" ref="F99:F110" si="184">E99</f>
        <v>67</v>
      </c>
      <c r="G99" s="151">
        <f t="shared" si="176"/>
        <v>67</v>
      </c>
      <c r="H99" s="151">
        <f t="shared" ref="H99:H110" si="185">SUM(E99:G99)</f>
        <v>201</v>
      </c>
      <c r="I99" s="151">
        <f t="shared" si="146"/>
        <v>335</v>
      </c>
      <c r="J99" s="151">
        <f t="shared" si="147"/>
        <v>603</v>
      </c>
      <c r="K99" s="151">
        <f t="shared" si="148"/>
        <v>1139</v>
      </c>
      <c r="L99" s="151">
        <f t="shared" si="149"/>
        <v>2077</v>
      </c>
      <c r="M99" s="139">
        <f t="shared" si="172"/>
        <v>2.5351999999999997</v>
      </c>
      <c r="N99" s="139">
        <f>'附件4-8甲供材料清单'!K110</f>
        <v>1.47</v>
      </c>
      <c r="O99" s="139">
        <v>0.16</v>
      </c>
      <c r="P99" s="139">
        <v>0.83</v>
      </c>
      <c r="Q99" s="139">
        <f t="shared" si="155"/>
        <v>169.85839999999999</v>
      </c>
      <c r="R99" s="139">
        <f t="shared" si="156"/>
        <v>169.85839999999999</v>
      </c>
      <c r="S99" s="139">
        <f t="shared" si="157"/>
        <v>169.85839999999999</v>
      </c>
      <c r="T99" s="139">
        <f t="shared" si="158"/>
        <v>509.57519999999994</v>
      </c>
      <c r="U99" s="139">
        <f t="shared" si="164"/>
        <v>849.29199999999992</v>
      </c>
      <c r="V99" s="139">
        <f t="shared" si="116"/>
        <v>1528.7255999999998</v>
      </c>
      <c r="W99" s="139">
        <f t="shared" si="117"/>
        <v>2887.5927999999994</v>
      </c>
      <c r="X99" s="139">
        <f t="shared" si="118"/>
        <v>5265.6103999999996</v>
      </c>
      <c r="Y99" s="129" t="s">
        <v>244</v>
      </c>
      <c r="Z99" s="277">
        <f t="shared" ref="Z99:AA101" si="186">E99*$N99*(1+$O99)</f>
        <v>114.24839999999999</v>
      </c>
      <c r="AA99" s="277">
        <f t="shared" si="186"/>
        <v>114.24839999999999</v>
      </c>
      <c r="AB99" s="277">
        <f t="shared" si="180"/>
        <v>114.24839999999999</v>
      </c>
      <c r="AC99" s="277">
        <f t="shared" si="180"/>
        <v>342.74519999999995</v>
      </c>
      <c r="AD99" s="277">
        <f t="shared" si="180"/>
        <v>571.24199999999996</v>
      </c>
      <c r="AE99" s="277">
        <f t="shared" si="180"/>
        <v>1028.2356</v>
      </c>
      <c r="AF99" s="277">
        <f t="shared" si="180"/>
        <v>1942.2227999999998</v>
      </c>
      <c r="AG99" s="277">
        <f t="shared" si="180"/>
        <v>3541.7003999999997</v>
      </c>
      <c r="AH99" s="277"/>
      <c r="AI99" s="277">
        <f t="shared" ref="AI99:AJ101" si="187">Q99</f>
        <v>169.85839999999999</v>
      </c>
      <c r="AJ99" s="277">
        <f t="shared" si="187"/>
        <v>169.85839999999999</v>
      </c>
      <c r="AK99" s="277">
        <f t="shared" si="183"/>
        <v>169.85839999999999</v>
      </c>
      <c r="AL99" s="277">
        <f t="shared" si="183"/>
        <v>509.57519999999994</v>
      </c>
      <c r="AM99" s="277">
        <f t="shared" si="183"/>
        <v>849.29199999999992</v>
      </c>
      <c r="AN99" s="277">
        <f t="shared" si="183"/>
        <v>1528.7255999999998</v>
      </c>
      <c r="AO99" s="277">
        <f t="shared" si="183"/>
        <v>2887.5927999999994</v>
      </c>
      <c r="AP99" s="277">
        <f t="shared" si="183"/>
        <v>5265.6103999999996</v>
      </c>
      <c r="AQ99" s="281"/>
      <c r="AR99" s="265"/>
      <c r="AS99" s="199">
        <v>15</v>
      </c>
      <c r="AT99" s="199" t="s">
        <v>1126</v>
      </c>
      <c r="AU99" s="199" t="s">
        <v>235</v>
      </c>
      <c r="AV99" s="199">
        <v>2.6402960000000002</v>
      </c>
      <c r="AW99" s="199">
        <v>1.5606</v>
      </c>
      <c r="AX99" s="199">
        <v>0.16</v>
      </c>
      <c r="AY99" s="199">
        <v>0.83</v>
      </c>
      <c r="AZ99" s="284">
        <f t="shared" si="174"/>
        <v>0.10509600000000052</v>
      </c>
    </row>
    <row r="100" spans="1:52" ht="32.25" customHeight="1">
      <c r="A100" s="191"/>
      <c r="B100" s="129">
        <v>16</v>
      </c>
      <c r="C100" s="272" t="s">
        <v>1127</v>
      </c>
      <c r="D100" s="129" t="s">
        <v>235</v>
      </c>
      <c r="E100" s="151">
        <v>68</v>
      </c>
      <c r="F100" s="151">
        <f t="shared" si="184"/>
        <v>68</v>
      </c>
      <c r="G100" s="151">
        <f t="shared" si="176"/>
        <v>68</v>
      </c>
      <c r="H100" s="151">
        <f t="shared" si="185"/>
        <v>204</v>
      </c>
      <c r="I100" s="151">
        <f t="shared" si="146"/>
        <v>340</v>
      </c>
      <c r="J100" s="151">
        <f t="shared" si="147"/>
        <v>612</v>
      </c>
      <c r="K100" s="151">
        <f t="shared" si="148"/>
        <v>1156</v>
      </c>
      <c r="L100" s="151">
        <f t="shared" si="149"/>
        <v>2108</v>
      </c>
      <c r="M100" s="139">
        <f t="shared" si="172"/>
        <v>7.0295000000000005</v>
      </c>
      <c r="N100" s="139">
        <f>'附件4-8甲供材料清单'!K116</f>
        <v>1.19</v>
      </c>
      <c r="O100" s="139">
        <v>0.05</v>
      </c>
      <c r="P100" s="139">
        <v>5.78</v>
      </c>
      <c r="Q100" s="139">
        <f t="shared" si="155"/>
        <v>478.00600000000003</v>
      </c>
      <c r="R100" s="139">
        <f t="shared" si="156"/>
        <v>478.00600000000003</v>
      </c>
      <c r="S100" s="139">
        <f t="shared" si="157"/>
        <v>478.00600000000003</v>
      </c>
      <c r="T100" s="139">
        <f t="shared" si="158"/>
        <v>1434.018</v>
      </c>
      <c r="U100" s="139">
        <f t="shared" si="164"/>
        <v>2390.0300000000002</v>
      </c>
      <c r="V100" s="139">
        <f t="shared" si="116"/>
        <v>4302.0540000000001</v>
      </c>
      <c r="W100" s="139">
        <f t="shared" si="117"/>
        <v>8126.1020000000008</v>
      </c>
      <c r="X100" s="139">
        <f t="shared" si="118"/>
        <v>14818.186000000002</v>
      </c>
      <c r="Y100" s="129" t="s">
        <v>244</v>
      </c>
      <c r="Z100" s="277">
        <f t="shared" si="186"/>
        <v>84.966000000000008</v>
      </c>
      <c r="AA100" s="277">
        <f t="shared" si="186"/>
        <v>84.966000000000008</v>
      </c>
      <c r="AB100" s="277">
        <f t="shared" si="180"/>
        <v>84.966000000000008</v>
      </c>
      <c r="AC100" s="277">
        <f t="shared" si="180"/>
        <v>254.898</v>
      </c>
      <c r="AD100" s="277">
        <f t="shared" si="180"/>
        <v>424.83</v>
      </c>
      <c r="AE100" s="277">
        <f t="shared" si="180"/>
        <v>764.69399999999996</v>
      </c>
      <c r="AF100" s="277">
        <f t="shared" si="180"/>
        <v>1444.422</v>
      </c>
      <c r="AG100" s="277">
        <f t="shared" si="180"/>
        <v>2633.9459999999999</v>
      </c>
      <c r="AH100" s="277"/>
      <c r="AI100" s="277">
        <f t="shared" si="187"/>
        <v>478.00600000000003</v>
      </c>
      <c r="AJ100" s="277">
        <f t="shared" si="187"/>
        <v>478.00600000000003</v>
      </c>
      <c r="AK100" s="277">
        <f t="shared" si="183"/>
        <v>478.00600000000003</v>
      </c>
      <c r="AL100" s="277">
        <f t="shared" si="183"/>
        <v>1434.018</v>
      </c>
      <c r="AM100" s="277">
        <f t="shared" si="183"/>
        <v>2390.0300000000002</v>
      </c>
      <c r="AN100" s="277">
        <f t="shared" si="183"/>
        <v>4302.0540000000001</v>
      </c>
      <c r="AO100" s="277">
        <f t="shared" si="183"/>
        <v>8126.1020000000008</v>
      </c>
      <c r="AP100" s="277">
        <f t="shared" si="183"/>
        <v>14818.186000000002</v>
      </c>
      <c r="AQ100" s="281"/>
      <c r="AR100" s="265"/>
      <c r="AS100" s="199">
        <v>16</v>
      </c>
      <c r="AT100" s="199" t="s">
        <v>1127</v>
      </c>
      <c r="AU100" s="199" t="s">
        <v>235</v>
      </c>
      <c r="AV100" s="199">
        <v>6.9874999999999998</v>
      </c>
      <c r="AW100" s="199">
        <v>1.1499999999999999</v>
      </c>
      <c r="AX100" s="199">
        <v>0.05</v>
      </c>
      <c r="AY100" s="199">
        <v>5.78</v>
      </c>
      <c r="AZ100" s="284">
        <f t="shared" si="174"/>
        <v>-4.2000000000000703E-2</v>
      </c>
    </row>
    <row r="101" spans="1:52" ht="24.75" customHeight="1">
      <c r="A101" s="191"/>
      <c r="B101" s="129">
        <v>17</v>
      </c>
      <c r="C101" s="272" t="s">
        <v>1128</v>
      </c>
      <c r="D101" s="129" t="s">
        <v>320</v>
      </c>
      <c r="E101" s="151">
        <v>69</v>
      </c>
      <c r="F101" s="151">
        <f t="shared" si="184"/>
        <v>69</v>
      </c>
      <c r="G101" s="151">
        <f t="shared" si="176"/>
        <v>69</v>
      </c>
      <c r="H101" s="151">
        <f t="shared" si="185"/>
        <v>207</v>
      </c>
      <c r="I101" s="151">
        <f t="shared" si="146"/>
        <v>345</v>
      </c>
      <c r="J101" s="151">
        <f t="shared" si="147"/>
        <v>621</v>
      </c>
      <c r="K101" s="151">
        <f t="shared" si="148"/>
        <v>1173</v>
      </c>
      <c r="L101" s="151">
        <f t="shared" si="149"/>
        <v>2139</v>
      </c>
      <c r="M101" s="139">
        <f t="shared" si="172"/>
        <v>12.4772</v>
      </c>
      <c r="N101" s="139">
        <f>'附件4-8甲供材料清单'!K93</f>
        <v>5.72</v>
      </c>
      <c r="O101" s="139">
        <v>0.01</v>
      </c>
      <c r="P101" s="139">
        <v>6.7</v>
      </c>
      <c r="Q101" s="139">
        <f t="shared" si="155"/>
        <v>860.92679999999996</v>
      </c>
      <c r="R101" s="139">
        <f t="shared" si="156"/>
        <v>860.92679999999996</v>
      </c>
      <c r="S101" s="139">
        <f t="shared" si="157"/>
        <v>860.92679999999996</v>
      </c>
      <c r="T101" s="139">
        <f t="shared" si="158"/>
        <v>2582.7804000000001</v>
      </c>
      <c r="U101" s="139">
        <f t="shared" si="164"/>
        <v>4304.634</v>
      </c>
      <c r="V101" s="139">
        <f t="shared" si="116"/>
        <v>7748.3411999999998</v>
      </c>
      <c r="W101" s="139">
        <f t="shared" si="117"/>
        <v>14635.7556</v>
      </c>
      <c r="X101" s="139">
        <f t="shared" si="118"/>
        <v>26688.730800000001</v>
      </c>
      <c r="Y101" s="129" t="s">
        <v>244</v>
      </c>
      <c r="Z101" s="277">
        <f t="shared" si="186"/>
        <v>398.6268</v>
      </c>
      <c r="AA101" s="277">
        <f t="shared" si="186"/>
        <v>398.6268</v>
      </c>
      <c r="AB101" s="277">
        <f t="shared" si="180"/>
        <v>398.6268</v>
      </c>
      <c r="AC101" s="277">
        <f t="shared" si="180"/>
        <v>1195.8804</v>
      </c>
      <c r="AD101" s="277">
        <f t="shared" si="180"/>
        <v>1993.1339999999998</v>
      </c>
      <c r="AE101" s="277">
        <f t="shared" si="180"/>
        <v>3587.6412</v>
      </c>
      <c r="AF101" s="277">
        <f t="shared" si="180"/>
        <v>6776.6555999999991</v>
      </c>
      <c r="AG101" s="277">
        <f t="shared" si="180"/>
        <v>12357.4308</v>
      </c>
      <c r="AH101" s="277"/>
      <c r="AI101" s="277">
        <f t="shared" si="187"/>
        <v>860.92679999999996</v>
      </c>
      <c r="AJ101" s="277">
        <f t="shared" si="187"/>
        <v>860.92679999999996</v>
      </c>
      <c r="AK101" s="277">
        <f t="shared" si="183"/>
        <v>860.92679999999996</v>
      </c>
      <c r="AL101" s="277">
        <f t="shared" si="183"/>
        <v>2582.7804000000001</v>
      </c>
      <c r="AM101" s="277">
        <f t="shared" si="183"/>
        <v>4304.634</v>
      </c>
      <c r="AN101" s="277">
        <f t="shared" si="183"/>
        <v>7748.3411999999998</v>
      </c>
      <c r="AO101" s="277">
        <f t="shared" si="183"/>
        <v>14635.7556</v>
      </c>
      <c r="AP101" s="277">
        <f t="shared" si="183"/>
        <v>26688.730800000001</v>
      </c>
      <c r="AQ101" s="281"/>
      <c r="AR101" s="265"/>
      <c r="AS101" s="199">
        <v>17</v>
      </c>
      <c r="AT101" s="199" t="s">
        <v>1128</v>
      </c>
      <c r="AU101" s="199" t="s">
        <v>320</v>
      </c>
      <c r="AV101" s="199">
        <v>12.042899999999999</v>
      </c>
      <c r="AW101" s="199" t="s">
        <v>457</v>
      </c>
      <c r="AX101" s="199">
        <v>0.01</v>
      </c>
      <c r="AY101" s="199">
        <v>6.7</v>
      </c>
      <c r="AZ101" s="284">
        <f t="shared" si="174"/>
        <v>-0.43430000000000035</v>
      </c>
    </row>
    <row r="102" spans="1:52" ht="23.25" customHeight="1">
      <c r="A102" s="191"/>
      <c r="B102" s="129">
        <v>18</v>
      </c>
      <c r="C102" s="249" t="s">
        <v>1129</v>
      </c>
      <c r="D102" s="129" t="s">
        <v>1091</v>
      </c>
      <c r="E102" s="151">
        <v>70</v>
      </c>
      <c r="F102" s="151">
        <f t="shared" si="184"/>
        <v>70</v>
      </c>
      <c r="G102" s="151">
        <f t="shared" si="176"/>
        <v>70</v>
      </c>
      <c r="H102" s="151">
        <f t="shared" si="185"/>
        <v>210</v>
      </c>
      <c r="I102" s="151">
        <f t="shared" si="146"/>
        <v>350</v>
      </c>
      <c r="J102" s="151">
        <f t="shared" si="147"/>
        <v>630</v>
      </c>
      <c r="K102" s="151">
        <f t="shared" si="148"/>
        <v>1190</v>
      </c>
      <c r="L102" s="151">
        <f t="shared" si="149"/>
        <v>2170</v>
      </c>
      <c r="M102" s="139">
        <f t="shared" si="172"/>
        <v>35</v>
      </c>
      <c r="N102" s="139"/>
      <c r="O102" s="139"/>
      <c r="P102" s="139">
        <v>35</v>
      </c>
      <c r="Q102" s="139">
        <f t="shared" si="155"/>
        <v>2450</v>
      </c>
      <c r="R102" s="139">
        <f t="shared" si="156"/>
        <v>2450</v>
      </c>
      <c r="S102" s="139">
        <f t="shared" si="157"/>
        <v>2450</v>
      </c>
      <c r="T102" s="139">
        <f t="shared" si="158"/>
        <v>7350</v>
      </c>
      <c r="U102" s="139">
        <f t="shared" si="164"/>
        <v>12250</v>
      </c>
      <c r="V102" s="139">
        <f t="shared" si="116"/>
        <v>22050</v>
      </c>
      <c r="W102" s="139">
        <f t="shared" si="117"/>
        <v>41650</v>
      </c>
      <c r="X102" s="139">
        <f t="shared" si="118"/>
        <v>75950</v>
      </c>
      <c r="Y102" s="129"/>
      <c r="Z102" s="278"/>
      <c r="AA102" s="278"/>
      <c r="AB102" s="278"/>
      <c r="AC102" s="278"/>
      <c r="AD102" s="278"/>
      <c r="AE102" s="278"/>
      <c r="AF102" s="278"/>
      <c r="AG102" s="278"/>
      <c r="AH102" s="278"/>
      <c r="AI102" s="278"/>
      <c r="AJ102" s="278"/>
      <c r="AK102" s="278"/>
      <c r="AL102" s="278"/>
      <c r="AM102" s="278"/>
      <c r="AN102" s="278"/>
      <c r="AO102" s="278"/>
      <c r="AP102" s="278"/>
      <c r="AS102" s="199">
        <v>18</v>
      </c>
      <c r="AT102" s="199" t="s">
        <v>1129</v>
      </c>
      <c r="AU102" s="199" t="s">
        <v>1092</v>
      </c>
      <c r="AV102" s="199">
        <v>35</v>
      </c>
      <c r="AW102" s="199"/>
      <c r="AX102" s="199"/>
      <c r="AY102" s="199">
        <v>35</v>
      </c>
      <c r="AZ102" s="284">
        <f t="shared" si="174"/>
        <v>0</v>
      </c>
    </row>
    <row r="103" spans="1:52" ht="23.25" customHeight="1">
      <c r="A103" s="191"/>
      <c r="B103" s="129"/>
      <c r="C103" s="197" t="s">
        <v>523</v>
      </c>
      <c r="D103" s="129"/>
      <c r="E103" s="151">
        <v>71</v>
      </c>
      <c r="F103" s="151">
        <f t="shared" si="184"/>
        <v>71</v>
      </c>
      <c r="G103" s="151">
        <f t="shared" si="176"/>
        <v>71</v>
      </c>
      <c r="H103" s="151">
        <f t="shared" si="185"/>
        <v>213</v>
      </c>
      <c r="I103" s="151">
        <f t="shared" si="146"/>
        <v>355</v>
      </c>
      <c r="J103" s="151">
        <f t="shared" si="147"/>
        <v>639</v>
      </c>
      <c r="K103" s="151">
        <f t="shared" si="148"/>
        <v>1207</v>
      </c>
      <c r="L103" s="151">
        <f t="shared" si="149"/>
        <v>2201</v>
      </c>
      <c r="M103" s="139">
        <f t="shared" si="172"/>
        <v>0</v>
      </c>
      <c r="N103" s="139"/>
      <c r="O103" s="139"/>
      <c r="P103" s="139"/>
      <c r="Q103" s="139">
        <f t="shared" si="155"/>
        <v>0</v>
      </c>
      <c r="R103" s="139">
        <f t="shared" si="156"/>
        <v>0</v>
      </c>
      <c r="S103" s="139">
        <f t="shared" si="157"/>
        <v>0</v>
      </c>
      <c r="T103" s="139">
        <f t="shared" si="158"/>
        <v>0</v>
      </c>
      <c r="U103" s="139">
        <f t="shared" si="164"/>
        <v>0</v>
      </c>
      <c r="V103" s="139">
        <f t="shared" si="116"/>
        <v>0</v>
      </c>
      <c r="W103" s="139">
        <f t="shared" si="117"/>
        <v>0</v>
      </c>
      <c r="X103" s="139">
        <f t="shared" si="118"/>
        <v>0</v>
      </c>
      <c r="Y103" s="129"/>
      <c r="Z103" s="278"/>
      <c r="AA103" s="278"/>
      <c r="AB103" s="278"/>
      <c r="AC103" s="278"/>
      <c r="AD103" s="278"/>
      <c r="AE103" s="278"/>
      <c r="AF103" s="278"/>
      <c r="AG103" s="278"/>
      <c r="AH103" s="278"/>
      <c r="AI103" s="278"/>
      <c r="AJ103" s="278"/>
      <c r="AK103" s="278"/>
      <c r="AL103" s="278"/>
      <c r="AM103" s="278"/>
      <c r="AN103" s="278"/>
      <c r="AO103" s="278"/>
      <c r="AP103" s="278"/>
    </row>
    <row r="104" spans="1:52" ht="18.75" customHeight="1">
      <c r="B104" s="165">
        <v>1</v>
      </c>
      <c r="C104" s="251"/>
      <c r="D104" s="165"/>
      <c r="E104" s="151">
        <v>72</v>
      </c>
      <c r="F104" s="151">
        <f t="shared" si="184"/>
        <v>72</v>
      </c>
      <c r="G104" s="151">
        <f t="shared" si="176"/>
        <v>72</v>
      </c>
      <c r="H104" s="151">
        <f t="shared" si="185"/>
        <v>216</v>
      </c>
      <c r="I104" s="151">
        <f t="shared" si="146"/>
        <v>360</v>
      </c>
      <c r="J104" s="151">
        <f t="shared" si="147"/>
        <v>648</v>
      </c>
      <c r="K104" s="151">
        <f t="shared" si="148"/>
        <v>1224</v>
      </c>
      <c r="L104" s="151">
        <f t="shared" si="149"/>
        <v>2232</v>
      </c>
      <c r="M104" s="151">
        <f t="shared" ref="M104" si="188">N104*(1+O104)+P104</f>
        <v>0</v>
      </c>
      <c r="N104" s="151"/>
      <c r="O104" s="151"/>
      <c r="P104" s="287"/>
      <c r="Q104" s="151">
        <f t="shared" ref="Q104" si="189">E104*$M104</f>
        <v>0</v>
      </c>
      <c r="R104" s="151">
        <f t="shared" ref="R104" si="190">F104*$M104</f>
        <v>0</v>
      </c>
      <c r="S104" s="151">
        <f t="shared" ref="S104" si="191">G104*$M104</f>
        <v>0</v>
      </c>
      <c r="T104" s="151">
        <f t="shared" ref="T104" si="192">H104*$M104</f>
        <v>0</v>
      </c>
      <c r="U104" s="151">
        <f t="shared" ref="U104" si="193">I104*$M104</f>
        <v>0</v>
      </c>
      <c r="V104" s="151">
        <f t="shared" ref="V104:V111" si="194">J104*$M104</f>
        <v>0</v>
      </c>
      <c r="W104" s="151">
        <f t="shared" ref="W104:W111" si="195">K104*$M104</f>
        <v>0</v>
      </c>
      <c r="X104" s="151">
        <f t="shared" ref="X104:X111" si="196">L104*$M104</f>
        <v>0</v>
      </c>
      <c r="Y104" s="165"/>
    </row>
    <row r="105" spans="1:52" ht="18.75" customHeight="1">
      <c r="B105" s="165">
        <v>2</v>
      </c>
      <c r="C105" s="251"/>
      <c r="D105" s="165"/>
      <c r="E105" s="151">
        <v>73</v>
      </c>
      <c r="F105" s="151">
        <f t="shared" si="184"/>
        <v>73</v>
      </c>
      <c r="G105" s="151">
        <f t="shared" si="176"/>
        <v>73</v>
      </c>
      <c r="H105" s="151">
        <f t="shared" si="185"/>
        <v>219</v>
      </c>
      <c r="I105" s="151">
        <f t="shared" si="146"/>
        <v>365</v>
      </c>
      <c r="J105" s="151">
        <f t="shared" si="147"/>
        <v>657</v>
      </c>
      <c r="K105" s="151">
        <f t="shared" si="148"/>
        <v>1241</v>
      </c>
      <c r="L105" s="151">
        <f t="shared" si="149"/>
        <v>2263</v>
      </c>
      <c r="M105" s="151">
        <f t="shared" ref="M105:M111" si="197">N105*(1+O105)+P105</f>
        <v>0</v>
      </c>
      <c r="N105" s="151"/>
      <c r="O105" s="151"/>
      <c r="P105" s="287"/>
      <c r="Q105" s="151">
        <f t="shared" ref="Q105:U111" si="198">E105*$M105</f>
        <v>0</v>
      </c>
      <c r="R105" s="151">
        <f t="shared" si="198"/>
        <v>0</v>
      </c>
      <c r="S105" s="151">
        <f t="shared" si="198"/>
        <v>0</v>
      </c>
      <c r="T105" s="151">
        <f t="shared" si="198"/>
        <v>0</v>
      </c>
      <c r="U105" s="151">
        <f t="shared" si="198"/>
        <v>0</v>
      </c>
      <c r="V105" s="151">
        <f t="shared" si="194"/>
        <v>0</v>
      </c>
      <c r="W105" s="151">
        <f t="shared" si="195"/>
        <v>0</v>
      </c>
      <c r="X105" s="151">
        <f t="shared" si="196"/>
        <v>0</v>
      </c>
      <c r="Y105" s="165"/>
    </row>
    <row r="106" spans="1:52" ht="18.75" customHeight="1">
      <c r="B106" s="165">
        <v>3</v>
      </c>
      <c r="C106" s="251"/>
      <c r="D106" s="165"/>
      <c r="E106" s="151">
        <v>74</v>
      </c>
      <c r="F106" s="151">
        <f t="shared" si="184"/>
        <v>74</v>
      </c>
      <c r="G106" s="151">
        <f t="shared" si="176"/>
        <v>74</v>
      </c>
      <c r="H106" s="151">
        <f t="shared" si="185"/>
        <v>222</v>
      </c>
      <c r="I106" s="151">
        <f t="shared" si="146"/>
        <v>370</v>
      </c>
      <c r="J106" s="151">
        <f t="shared" si="147"/>
        <v>666</v>
      </c>
      <c r="K106" s="151">
        <f t="shared" si="148"/>
        <v>1258</v>
      </c>
      <c r="L106" s="151">
        <f t="shared" si="149"/>
        <v>2294</v>
      </c>
      <c r="M106" s="151">
        <f t="shared" si="197"/>
        <v>0</v>
      </c>
      <c r="N106" s="151"/>
      <c r="O106" s="151"/>
      <c r="P106" s="287"/>
      <c r="Q106" s="151">
        <f t="shared" si="198"/>
        <v>0</v>
      </c>
      <c r="R106" s="151">
        <f t="shared" si="198"/>
        <v>0</v>
      </c>
      <c r="S106" s="151">
        <f t="shared" si="198"/>
        <v>0</v>
      </c>
      <c r="T106" s="151">
        <f t="shared" si="198"/>
        <v>0</v>
      </c>
      <c r="U106" s="151">
        <f t="shared" si="198"/>
        <v>0</v>
      </c>
      <c r="V106" s="151">
        <f t="shared" si="194"/>
        <v>0</v>
      </c>
      <c r="W106" s="151">
        <f t="shared" si="195"/>
        <v>0</v>
      </c>
      <c r="X106" s="151">
        <f t="shared" si="196"/>
        <v>0</v>
      </c>
      <c r="Y106" s="165"/>
    </row>
    <row r="107" spans="1:52" ht="18.75" customHeight="1">
      <c r="B107" s="165">
        <v>4</v>
      </c>
      <c r="C107" s="251"/>
      <c r="D107" s="165"/>
      <c r="E107" s="151">
        <v>75</v>
      </c>
      <c r="F107" s="151">
        <f t="shared" si="184"/>
        <v>75</v>
      </c>
      <c r="G107" s="151">
        <f t="shared" si="176"/>
        <v>75</v>
      </c>
      <c r="H107" s="151">
        <f t="shared" si="185"/>
        <v>225</v>
      </c>
      <c r="I107" s="151">
        <f t="shared" si="146"/>
        <v>375</v>
      </c>
      <c r="J107" s="151">
        <f t="shared" si="147"/>
        <v>675</v>
      </c>
      <c r="K107" s="151">
        <f t="shared" si="148"/>
        <v>1275</v>
      </c>
      <c r="L107" s="151">
        <f t="shared" si="149"/>
        <v>2325</v>
      </c>
      <c r="M107" s="151">
        <f t="shared" si="197"/>
        <v>0</v>
      </c>
      <c r="N107" s="151"/>
      <c r="O107" s="151"/>
      <c r="P107" s="151"/>
      <c r="Q107" s="151">
        <f t="shared" si="198"/>
        <v>0</v>
      </c>
      <c r="R107" s="151">
        <f t="shared" si="198"/>
        <v>0</v>
      </c>
      <c r="S107" s="151">
        <f t="shared" si="198"/>
        <v>0</v>
      </c>
      <c r="T107" s="151">
        <f t="shared" si="198"/>
        <v>0</v>
      </c>
      <c r="U107" s="151">
        <f t="shared" si="198"/>
        <v>0</v>
      </c>
      <c r="V107" s="151">
        <f t="shared" si="194"/>
        <v>0</v>
      </c>
      <c r="W107" s="151">
        <f t="shared" si="195"/>
        <v>0</v>
      </c>
      <c r="X107" s="151">
        <f t="shared" si="196"/>
        <v>0</v>
      </c>
      <c r="Y107" s="165"/>
    </row>
    <row r="108" spans="1:52" ht="18.75" customHeight="1">
      <c r="B108" s="165">
        <v>5</v>
      </c>
      <c r="C108" s="251"/>
      <c r="D108" s="165"/>
      <c r="E108" s="151">
        <v>76</v>
      </c>
      <c r="F108" s="151">
        <f t="shared" si="184"/>
        <v>76</v>
      </c>
      <c r="G108" s="151">
        <f t="shared" si="176"/>
        <v>76</v>
      </c>
      <c r="H108" s="151">
        <f t="shared" si="185"/>
        <v>228</v>
      </c>
      <c r="I108" s="151">
        <f t="shared" si="146"/>
        <v>380</v>
      </c>
      <c r="J108" s="151">
        <f t="shared" si="147"/>
        <v>684</v>
      </c>
      <c r="K108" s="151">
        <f t="shared" si="148"/>
        <v>1292</v>
      </c>
      <c r="L108" s="151">
        <f t="shared" si="149"/>
        <v>2356</v>
      </c>
      <c r="M108" s="151">
        <f t="shared" si="197"/>
        <v>0</v>
      </c>
      <c r="N108" s="151"/>
      <c r="O108" s="151"/>
      <c r="P108" s="151"/>
      <c r="Q108" s="151">
        <f t="shared" si="198"/>
        <v>0</v>
      </c>
      <c r="R108" s="151">
        <f t="shared" si="198"/>
        <v>0</v>
      </c>
      <c r="S108" s="151">
        <f t="shared" si="198"/>
        <v>0</v>
      </c>
      <c r="T108" s="151">
        <f t="shared" si="198"/>
        <v>0</v>
      </c>
      <c r="U108" s="151">
        <f t="shared" si="198"/>
        <v>0</v>
      </c>
      <c r="V108" s="151">
        <f t="shared" si="194"/>
        <v>0</v>
      </c>
      <c r="W108" s="151">
        <f t="shared" si="195"/>
        <v>0</v>
      </c>
      <c r="X108" s="151">
        <f t="shared" si="196"/>
        <v>0</v>
      </c>
      <c r="Y108" s="165"/>
    </row>
    <row r="109" spans="1:52" ht="18.75" customHeight="1">
      <c r="B109" s="165">
        <v>6</v>
      </c>
      <c r="C109" s="251"/>
      <c r="D109" s="165"/>
      <c r="E109" s="151">
        <v>77</v>
      </c>
      <c r="F109" s="151">
        <f t="shared" si="184"/>
        <v>77</v>
      </c>
      <c r="G109" s="151">
        <f t="shared" si="176"/>
        <v>77</v>
      </c>
      <c r="H109" s="151">
        <f t="shared" si="185"/>
        <v>231</v>
      </c>
      <c r="I109" s="151">
        <f t="shared" si="146"/>
        <v>385</v>
      </c>
      <c r="J109" s="151">
        <f t="shared" si="147"/>
        <v>693</v>
      </c>
      <c r="K109" s="151">
        <f t="shared" si="148"/>
        <v>1309</v>
      </c>
      <c r="L109" s="151">
        <f t="shared" si="149"/>
        <v>2387</v>
      </c>
      <c r="M109" s="151">
        <f t="shared" si="197"/>
        <v>0</v>
      </c>
      <c r="N109" s="151"/>
      <c r="O109" s="151"/>
      <c r="P109" s="151"/>
      <c r="Q109" s="151">
        <f t="shared" si="198"/>
        <v>0</v>
      </c>
      <c r="R109" s="151">
        <f t="shared" si="198"/>
        <v>0</v>
      </c>
      <c r="S109" s="151">
        <f t="shared" si="198"/>
        <v>0</v>
      </c>
      <c r="T109" s="151">
        <f t="shared" si="198"/>
        <v>0</v>
      </c>
      <c r="U109" s="151">
        <f t="shared" si="198"/>
        <v>0</v>
      </c>
      <c r="V109" s="151">
        <f t="shared" si="194"/>
        <v>0</v>
      </c>
      <c r="W109" s="151">
        <f t="shared" si="195"/>
        <v>0</v>
      </c>
      <c r="X109" s="151">
        <f t="shared" si="196"/>
        <v>0</v>
      </c>
      <c r="Y109" s="165"/>
    </row>
    <row r="110" spans="1:52" ht="18.75" customHeight="1">
      <c r="B110" s="165">
        <v>7</v>
      </c>
      <c r="C110" s="251"/>
      <c r="D110" s="165"/>
      <c r="E110" s="151">
        <v>78</v>
      </c>
      <c r="F110" s="151">
        <f t="shared" si="184"/>
        <v>78</v>
      </c>
      <c r="G110" s="151">
        <f t="shared" si="176"/>
        <v>78</v>
      </c>
      <c r="H110" s="151">
        <f t="shared" si="185"/>
        <v>234</v>
      </c>
      <c r="I110" s="151">
        <f t="shared" si="146"/>
        <v>390</v>
      </c>
      <c r="J110" s="151">
        <f t="shared" si="147"/>
        <v>702</v>
      </c>
      <c r="K110" s="151">
        <f t="shared" si="148"/>
        <v>1326</v>
      </c>
      <c r="L110" s="151">
        <f t="shared" si="149"/>
        <v>2418</v>
      </c>
      <c r="M110" s="151">
        <f t="shared" si="197"/>
        <v>0</v>
      </c>
      <c r="N110" s="151"/>
      <c r="O110" s="151"/>
      <c r="P110" s="151"/>
      <c r="Q110" s="151">
        <f t="shared" si="198"/>
        <v>0</v>
      </c>
      <c r="R110" s="151">
        <f t="shared" si="198"/>
        <v>0</v>
      </c>
      <c r="S110" s="151">
        <f t="shared" si="198"/>
        <v>0</v>
      </c>
      <c r="T110" s="151">
        <f t="shared" si="198"/>
        <v>0</v>
      </c>
      <c r="U110" s="151">
        <f t="shared" si="198"/>
        <v>0</v>
      </c>
      <c r="V110" s="151">
        <f t="shared" si="194"/>
        <v>0</v>
      </c>
      <c r="W110" s="151">
        <f t="shared" si="195"/>
        <v>0</v>
      </c>
      <c r="X110" s="151">
        <f t="shared" si="196"/>
        <v>0</v>
      </c>
      <c r="Y110" s="165"/>
    </row>
    <row r="111" spans="1:52" ht="18.75" customHeight="1">
      <c r="A111" s="191"/>
      <c r="B111" s="129"/>
      <c r="C111" s="249"/>
      <c r="D111" s="129"/>
      <c r="E111" s="139"/>
      <c r="F111" s="139"/>
      <c r="G111" s="139"/>
      <c r="H111" s="139"/>
      <c r="I111" s="139"/>
      <c r="J111" s="139"/>
      <c r="K111" s="139"/>
      <c r="L111" s="139"/>
      <c r="M111" s="139">
        <f t="shared" si="197"/>
        <v>0</v>
      </c>
      <c r="N111" s="139"/>
      <c r="O111" s="139"/>
      <c r="P111" s="139"/>
      <c r="Q111" s="139">
        <f t="shared" si="198"/>
        <v>0</v>
      </c>
      <c r="R111" s="139">
        <f t="shared" si="198"/>
        <v>0</v>
      </c>
      <c r="S111" s="139">
        <f t="shared" si="198"/>
        <v>0</v>
      </c>
      <c r="T111" s="139">
        <f t="shared" si="198"/>
        <v>0</v>
      </c>
      <c r="U111" s="139">
        <f t="shared" si="198"/>
        <v>0</v>
      </c>
      <c r="V111" s="139">
        <f t="shared" si="194"/>
        <v>0</v>
      </c>
      <c r="W111" s="139">
        <f t="shared" si="195"/>
        <v>0</v>
      </c>
      <c r="X111" s="139">
        <f t="shared" si="196"/>
        <v>0</v>
      </c>
      <c r="Y111" s="129"/>
      <c r="Z111" s="278"/>
      <c r="AA111" s="278"/>
      <c r="AB111" s="278"/>
      <c r="AC111" s="278"/>
      <c r="AD111" s="278"/>
      <c r="AE111" s="278"/>
      <c r="AF111" s="278"/>
      <c r="AG111" s="278"/>
      <c r="AH111" s="278"/>
      <c r="AI111" s="278"/>
      <c r="AJ111" s="278"/>
      <c r="AK111" s="278"/>
      <c r="AL111" s="278"/>
      <c r="AM111" s="278"/>
      <c r="AN111" s="278"/>
      <c r="AO111" s="278"/>
      <c r="AP111" s="278"/>
    </row>
    <row r="112" spans="1:52" ht="26.25" customHeight="1">
      <c r="A112" s="191"/>
      <c r="B112" s="129"/>
      <c r="C112" s="249" t="s">
        <v>548</v>
      </c>
      <c r="D112" s="129"/>
      <c r="E112" s="139"/>
      <c r="F112" s="139"/>
      <c r="G112" s="139"/>
      <c r="H112" s="139"/>
      <c r="I112" s="139"/>
      <c r="J112" s="139"/>
      <c r="K112" s="139"/>
      <c r="L112" s="139"/>
      <c r="M112" s="139">
        <f>SUM(M8:M102)</f>
        <v>32523.982563057329</v>
      </c>
      <c r="N112" s="139"/>
      <c r="O112" s="139"/>
      <c r="P112" s="139"/>
      <c r="Q112" s="139">
        <f t="shared" ref="Q112" si="199">SUM(Q8:Q111)</f>
        <v>1082127.8905764334</v>
      </c>
      <c r="R112" s="139">
        <f>SUM(R8:R111)</f>
        <v>1082127.8905764334</v>
      </c>
      <c r="S112" s="139">
        <f>SUM(S8:S111)</f>
        <v>1082127.8905764334</v>
      </c>
      <c r="T112" s="139">
        <f>SUM(T8:T111)</f>
        <v>3246383.6717293002</v>
      </c>
      <c r="U112" s="139">
        <f t="shared" ref="U112" si="200">SUM(U8:U111)</f>
        <v>5410639.4528821679</v>
      </c>
      <c r="V112" s="139">
        <f>SUM(V8:V111)</f>
        <v>9739151.0151879024</v>
      </c>
      <c r="W112" s="139">
        <f>SUM(W8:W111)</f>
        <v>18396174.13979936</v>
      </c>
      <c r="X112" s="139">
        <f>SUM(X8:X111)</f>
        <v>33545964.607869431</v>
      </c>
      <c r="Y112" s="129"/>
      <c r="Z112" s="276">
        <f t="shared" ref="Z112" si="201">SUM(Z8:Z111)</f>
        <v>2791.6021000000001</v>
      </c>
      <c r="AA112" s="276">
        <f t="shared" ref="AA112" si="202">SUM(AA8:AA111)</f>
        <v>2791.6021000000001</v>
      </c>
      <c r="AB112" s="276">
        <f t="shared" ref="AB112:AG112" si="203">SUM(AB8:AB111)</f>
        <v>2791.6021000000001</v>
      </c>
      <c r="AC112" s="276">
        <f t="shared" si="203"/>
        <v>8374.8063000000002</v>
      </c>
      <c r="AD112" s="276">
        <f t="shared" si="203"/>
        <v>13958.0105</v>
      </c>
      <c r="AE112" s="276">
        <f t="shared" si="203"/>
        <v>25124.418899999997</v>
      </c>
      <c r="AF112" s="276">
        <f t="shared" si="203"/>
        <v>47457.235699999997</v>
      </c>
      <c r="AG112" s="276">
        <f t="shared" si="203"/>
        <v>86539.665099999998</v>
      </c>
      <c r="AH112" s="276"/>
      <c r="AI112" s="276">
        <f>SUM(AI8:AI111)</f>
        <v>5967.8321000000005</v>
      </c>
      <c r="AJ112" s="276">
        <f t="shared" ref="AJ112" si="204">SUM(AJ8:AJ111)</f>
        <v>5967.8321000000005</v>
      </c>
      <c r="AK112" s="276">
        <f t="shared" ref="AK112:AP112" si="205">SUM(AK8:AK111)</f>
        <v>5967.8321000000005</v>
      </c>
      <c r="AL112" s="276">
        <f t="shared" si="205"/>
        <v>17903.496299999999</v>
      </c>
      <c r="AM112" s="276">
        <f t="shared" si="205"/>
        <v>29839.160499999998</v>
      </c>
      <c r="AN112" s="276">
        <f t="shared" si="205"/>
        <v>53710.488900000004</v>
      </c>
      <c r="AO112" s="276">
        <f t="shared" si="205"/>
        <v>101453.14570000001</v>
      </c>
      <c r="AP112" s="276">
        <f t="shared" si="205"/>
        <v>185002.79510000002</v>
      </c>
      <c r="AQ112" s="290"/>
      <c r="AR112" s="292">
        <f t="shared" ref="AR112" si="206">SUM(Q112:S112)-T112</f>
        <v>0</v>
      </c>
    </row>
    <row r="113" spans="1:44" ht="24" customHeight="1">
      <c r="A113" s="191"/>
      <c r="B113" s="129" t="s">
        <v>133</v>
      </c>
      <c r="C113" s="249" t="s">
        <v>549</v>
      </c>
      <c r="D113" s="129"/>
      <c r="E113" s="255"/>
      <c r="F113" s="255"/>
      <c r="G113" s="255"/>
      <c r="H113" s="255"/>
      <c r="I113" s="255"/>
      <c r="J113" s="255"/>
      <c r="K113" s="255"/>
      <c r="L113" s="255"/>
      <c r="M113" s="129"/>
      <c r="N113" s="139"/>
      <c r="O113" s="139"/>
      <c r="P113" s="139"/>
      <c r="Q113" s="139"/>
      <c r="R113" s="139"/>
      <c r="S113" s="139"/>
      <c r="T113" s="139"/>
      <c r="U113" s="139"/>
      <c r="V113" s="139"/>
      <c r="W113" s="139"/>
      <c r="X113" s="139"/>
      <c r="Y113" s="129"/>
      <c r="Z113" s="290"/>
      <c r="AA113" s="290"/>
      <c r="AB113" s="290"/>
      <c r="AC113" s="290"/>
      <c r="AD113" s="290"/>
      <c r="AE113" s="290"/>
      <c r="AF113" s="290"/>
      <c r="AG113" s="290"/>
      <c r="AH113" s="290"/>
      <c r="AI113" s="290"/>
      <c r="AJ113" s="290"/>
      <c r="AK113" s="290"/>
      <c r="AL113" s="290"/>
      <c r="AM113" s="290"/>
      <c r="AN113" s="290"/>
      <c r="AO113" s="290"/>
      <c r="AP113" s="290"/>
      <c r="AR113" s="292">
        <f t="shared" ref="AR113:AR129" si="207">SUM(Q113:S113)-T113</f>
        <v>0</v>
      </c>
    </row>
    <row r="114" spans="1:44" ht="22.5" customHeight="1">
      <c r="A114" s="191"/>
      <c r="B114" s="129" t="s">
        <v>140</v>
      </c>
      <c r="C114" s="249" t="s">
        <v>551</v>
      </c>
      <c r="D114" s="129"/>
      <c r="E114" s="255"/>
      <c r="F114" s="255"/>
      <c r="G114" s="255"/>
      <c r="H114" s="255"/>
      <c r="I114" s="255"/>
      <c r="J114" s="255"/>
      <c r="K114" s="255"/>
      <c r="L114" s="255"/>
      <c r="M114" s="129"/>
      <c r="N114" s="139"/>
      <c r="O114" s="139"/>
      <c r="P114" s="139"/>
      <c r="Q114" s="139">
        <f>Q112-Q121</f>
        <v>1076160.0584764334</v>
      </c>
      <c r="R114" s="139">
        <f t="shared" ref="R114" si="208">R112-R121</f>
        <v>1076160.0584764334</v>
      </c>
      <c r="S114" s="139">
        <f t="shared" ref="S114:X114" si="209">S112-S121</f>
        <v>1076160.0584764334</v>
      </c>
      <c r="T114" s="139">
        <f t="shared" si="209"/>
        <v>3228480.1754293004</v>
      </c>
      <c r="U114" s="139">
        <f t="shared" si="209"/>
        <v>5380800.2923821677</v>
      </c>
      <c r="V114" s="139">
        <f t="shared" si="209"/>
        <v>9685440.5262879021</v>
      </c>
      <c r="W114" s="139">
        <f t="shared" si="209"/>
        <v>18294720.99409936</v>
      </c>
      <c r="X114" s="139">
        <f t="shared" si="209"/>
        <v>33360961.812769432</v>
      </c>
      <c r="Y114" s="129"/>
      <c r="Z114" s="290"/>
      <c r="AA114" s="290"/>
      <c r="AB114" s="290"/>
      <c r="AC114" s="290"/>
      <c r="AD114" s="290"/>
      <c r="AE114" s="290"/>
      <c r="AF114" s="290"/>
      <c r="AG114" s="290"/>
      <c r="AH114" s="290"/>
      <c r="AI114" s="290"/>
      <c r="AJ114" s="290"/>
      <c r="AK114" s="290"/>
      <c r="AL114" s="290"/>
      <c r="AM114" s="290"/>
      <c r="AN114" s="290"/>
      <c r="AO114" s="290"/>
      <c r="AP114" s="290"/>
      <c r="AR114" s="292">
        <f t="shared" si="207"/>
        <v>0</v>
      </c>
    </row>
    <row r="115" spans="1:44" ht="22.5" customHeight="1">
      <c r="A115" s="191"/>
      <c r="B115" s="129" t="s">
        <v>552</v>
      </c>
      <c r="C115" s="249" t="s">
        <v>553</v>
      </c>
      <c r="D115" s="129"/>
      <c r="E115" s="255"/>
      <c r="F115" s="255"/>
      <c r="G115" s="255"/>
      <c r="H115" s="255"/>
      <c r="I115" s="255"/>
      <c r="J115" s="255"/>
      <c r="K115" s="255"/>
      <c r="L115" s="255"/>
      <c r="M115" s="258">
        <f>'附件4-1套内1'!M317</f>
        <v>6.5000000000000002E-2</v>
      </c>
      <c r="N115" s="139"/>
      <c r="O115" s="139"/>
      <c r="P115" s="139"/>
      <c r="Q115" s="139">
        <f>Q114*$M$115</f>
        <v>69950.403800968168</v>
      </c>
      <c r="R115" s="139">
        <f t="shared" ref="R115" si="210">R114*$M$115</f>
        <v>69950.403800968168</v>
      </c>
      <c r="S115" s="139">
        <f t="shared" ref="S115:X115" si="211">S114*$M$115</f>
        <v>69950.403800968168</v>
      </c>
      <c r="T115" s="139">
        <f t="shared" si="211"/>
        <v>209851.21140290453</v>
      </c>
      <c r="U115" s="139">
        <f t="shared" si="211"/>
        <v>349752.01900484093</v>
      </c>
      <c r="V115" s="139">
        <f t="shared" si="211"/>
        <v>629553.63420871366</v>
      </c>
      <c r="W115" s="139">
        <f t="shared" si="211"/>
        <v>1189156.8646164585</v>
      </c>
      <c r="X115" s="139">
        <f t="shared" si="211"/>
        <v>2168462.5178300133</v>
      </c>
      <c r="Y115" s="129"/>
      <c r="Z115" s="290"/>
      <c r="AA115" s="290"/>
      <c r="AB115" s="290"/>
      <c r="AC115" s="290"/>
      <c r="AD115" s="290"/>
      <c r="AE115" s="290"/>
      <c r="AF115" s="290"/>
      <c r="AG115" s="290"/>
      <c r="AH115" s="290"/>
      <c r="AI115" s="290"/>
      <c r="AJ115" s="290"/>
      <c r="AK115" s="290"/>
      <c r="AL115" s="290"/>
      <c r="AM115" s="290"/>
      <c r="AN115" s="290"/>
      <c r="AO115" s="290"/>
      <c r="AP115" s="290"/>
      <c r="AR115" s="292">
        <f t="shared" si="207"/>
        <v>0</v>
      </c>
    </row>
    <row r="116" spans="1:44" ht="22.5" customHeight="1">
      <c r="A116" s="191"/>
      <c r="B116" s="129" t="s">
        <v>554</v>
      </c>
      <c r="C116" s="249" t="s">
        <v>555</v>
      </c>
      <c r="D116" s="129"/>
      <c r="E116" s="255"/>
      <c r="F116" s="255"/>
      <c r="G116" s="255"/>
      <c r="H116" s="255"/>
      <c r="I116" s="255"/>
      <c r="J116" s="255"/>
      <c r="K116" s="255"/>
      <c r="L116" s="255"/>
      <c r="M116" s="258">
        <f>'附件4-1套内1'!M318</f>
        <v>0.1</v>
      </c>
      <c r="N116" s="139"/>
      <c r="O116" s="139"/>
      <c r="P116" s="139"/>
      <c r="Q116" s="139">
        <f>Q114*$M$116</f>
        <v>107616.00584764335</v>
      </c>
      <c r="R116" s="139">
        <f t="shared" ref="R116" si="212">R114*$M$116</f>
        <v>107616.00584764335</v>
      </c>
      <c r="S116" s="139">
        <f t="shared" ref="S116:X116" si="213">S114*$M$116</f>
        <v>107616.00584764335</v>
      </c>
      <c r="T116" s="139">
        <f t="shared" si="213"/>
        <v>322848.01754293009</v>
      </c>
      <c r="U116" s="139">
        <f t="shared" si="213"/>
        <v>538080.02923821681</v>
      </c>
      <c r="V116" s="139">
        <f t="shared" si="213"/>
        <v>968544.05262879026</v>
      </c>
      <c r="W116" s="139">
        <f t="shared" si="213"/>
        <v>1829472.099409936</v>
      </c>
      <c r="X116" s="139">
        <f t="shared" si="213"/>
        <v>3336096.1812769435</v>
      </c>
      <c r="Y116" s="129"/>
      <c r="Z116" s="290"/>
      <c r="AA116" s="290"/>
      <c r="AB116" s="290"/>
      <c r="AC116" s="290"/>
      <c r="AD116" s="290"/>
      <c r="AE116" s="290"/>
      <c r="AF116" s="290"/>
      <c r="AG116" s="290"/>
      <c r="AH116" s="290"/>
      <c r="AI116" s="290"/>
      <c r="AJ116" s="290"/>
      <c r="AK116" s="290"/>
      <c r="AL116" s="290"/>
      <c r="AM116" s="290"/>
      <c r="AN116" s="290"/>
      <c r="AO116" s="290"/>
      <c r="AP116" s="290"/>
      <c r="AR116" s="292">
        <f t="shared" si="207"/>
        <v>0</v>
      </c>
    </row>
    <row r="117" spans="1:44" ht="36" customHeight="1">
      <c r="A117" s="191"/>
      <c r="B117" s="129" t="s">
        <v>556</v>
      </c>
      <c r="C117" s="249" t="s">
        <v>557</v>
      </c>
      <c r="D117" s="129"/>
      <c r="E117" s="255"/>
      <c r="F117" s="255"/>
      <c r="G117" s="255"/>
      <c r="H117" s="255"/>
      <c r="I117" s="255"/>
      <c r="J117" s="255"/>
      <c r="K117" s="255"/>
      <c r="L117" s="255"/>
      <c r="M117" s="258">
        <f>'附件4-1套内1'!M319</f>
        <v>0</v>
      </c>
      <c r="N117" s="139"/>
      <c r="O117" s="139"/>
      <c r="P117" s="139"/>
      <c r="Q117" s="139">
        <f>Q114*$M$117</f>
        <v>0</v>
      </c>
      <c r="R117" s="139">
        <f t="shared" ref="R117" si="214">R114*$M$117</f>
        <v>0</v>
      </c>
      <c r="S117" s="139">
        <f t="shared" ref="S117:X117" si="215">S114*$M$117</f>
        <v>0</v>
      </c>
      <c r="T117" s="139">
        <f t="shared" si="215"/>
        <v>0</v>
      </c>
      <c r="U117" s="139">
        <f t="shared" si="215"/>
        <v>0</v>
      </c>
      <c r="V117" s="139">
        <f t="shared" si="215"/>
        <v>0</v>
      </c>
      <c r="W117" s="139">
        <f t="shared" si="215"/>
        <v>0</v>
      </c>
      <c r="X117" s="139">
        <f t="shared" si="215"/>
        <v>0</v>
      </c>
      <c r="Y117" s="129"/>
      <c r="Z117" s="290"/>
      <c r="AA117" s="290"/>
      <c r="AB117" s="290"/>
      <c r="AC117" s="290"/>
      <c r="AD117" s="290"/>
      <c r="AE117" s="290"/>
      <c r="AF117" s="290"/>
      <c r="AG117" s="290"/>
      <c r="AH117" s="290"/>
      <c r="AI117" s="290"/>
      <c r="AJ117" s="290"/>
      <c r="AK117" s="290"/>
      <c r="AL117" s="290"/>
      <c r="AM117" s="290"/>
      <c r="AN117" s="290"/>
      <c r="AO117" s="290"/>
      <c r="AP117" s="290"/>
      <c r="AR117" s="292">
        <f t="shared" si="207"/>
        <v>0</v>
      </c>
    </row>
    <row r="118" spans="1:44" ht="24" customHeight="1">
      <c r="A118" s="191"/>
      <c r="B118" s="129" t="s">
        <v>558</v>
      </c>
      <c r="C118" s="249" t="s">
        <v>559</v>
      </c>
      <c r="D118" s="129"/>
      <c r="E118" s="255"/>
      <c r="F118" s="255"/>
      <c r="G118" s="255"/>
      <c r="H118" s="255"/>
      <c r="I118" s="255"/>
      <c r="J118" s="255"/>
      <c r="K118" s="255"/>
      <c r="L118" s="255"/>
      <c r="M118" s="259">
        <f>'附件4-1套内1'!M320</f>
        <v>3.4770000000000002E-2</v>
      </c>
      <c r="N118" s="139"/>
      <c r="O118" s="139"/>
      <c r="P118" s="139"/>
      <c r="Q118" s="139">
        <f>(Q114+Q115+Q116+Q117)*$M$118</f>
        <v>43592.069296707814</v>
      </c>
      <c r="R118" s="139">
        <f t="shared" ref="R118" si="216">(R114+R115+R116+R117)*$M$118</f>
        <v>43592.069296707814</v>
      </c>
      <c r="S118" s="139">
        <f t="shared" ref="S118:X118" si="217">(S114+S115+S116+S117)*$M$118</f>
        <v>43592.069296707814</v>
      </c>
      <c r="T118" s="139">
        <f t="shared" si="217"/>
        <v>130776.20789012345</v>
      </c>
      <c r="U118" s="139">
        <f t="shared" si="217"/>
        <v>217960.34648353912</v>
      </c>
      <c r="V118" s="139">
        <f t="shared" si="217"/>
        <v>392328.62367037038</v>
      </c>
      <c r="W118" s="139">
        <f t="shared" si="217"/>
        <v>741065.17804403254</v>
      </c>
      <c r="X118" s="139">
        <f t="shared" si="217"/>
        <v>1351354.1481979422</v>
      </c>
      <c r="Y118" s="129"/>
      <c r="Z118" s="290"/>
      <c r="AA118" s="290"/>
      <c r="AB118" s="290"/>
      <c r="AC118" s="290"/>
      <c r="AD118" s="290"/>
      <c r="AE118" s="290"/>
      <c r="AF118" s="290"/>
      <c r="AG118" s="290"/>
      <c r="AH118" s="290"/>
      <c r="AI118" s="290"/>
      <c r="AJ118" s="290"/>
      <c r="AK118" s="290"/>
      <c r="AL118" s="290"/>
      <c r="AM118" s="290"/>
      <c r="AN118" s="290"/>
      <c r="AO118" s="290"/>
      <c r="AP118" s="290"/>
      <c r="AR118" s="292">
        <f t="shared" si="207"/>
        <v>0</v>
      </c>
    </row>
    <row r="119" spans="1:44" ht="27" customHeight="1">
      <c r="A119" s="191"/>
      <c r="B119" s="129" t="s">
        <v>560</v>
      </c>
      <c r="C119" s="249" t="s">
        <v>561</v>
      </c>
      <c r="D119" s="129"/>
      <c r="E119" s="255"/>
      <c r="F119" s="255"/>
      <c r="G119" s="255"/>
      <c r="H119" s="255"/>
      <c r="I119" s="255"/>
      <c r="J119" s="255"/>
      <c r="K119" s="255"/>
      <c r="L119" s="255"/>
      <c r="M119" s="258"/>
      <c r="N119" s="139"/>
      <c r="O119" s="139"/>
      <c r="P119" s="139"/>
      <c r="Q119" s="139">
        <f>SUM(Q114:Q118)</f>
        <v>1297318.5374217527</v>
      </c>
      <c r="R119" s="139">
        <f t="shared" ref="R119" si="218">SUM(R114:R118)</f>
        <v>1297318.5374217527</v>
      </c>
      <c r="S119" s="139">
        <f t="shared" ref="S119:X119" si="219">SUM(S114:S118)</f>
        <v>1297318.5374217527</v>
      </c>
      <c r="T119" s="139">
        <f t="shared" si="219"/>
        <v>3891955.6122652586</v>
      </c>
      <c r="U119" s="139">
        <f t="shared" si="219"/>
        <v>6486592.6871087644</v>
      </c>
      <c r="V119" s="139">
        <f t="shared" si="219"/>
        <v>11675866.836795777</v>
      </c>
      <c r="W119" s="139">
        <f t="shared" si="219"/>
        <v>22054415.136169787</v>
      </c>
      <c r="X119" s="139">
        <f t="shared" si="219"/>
        <v>40216874.660074331</v>
      </c>
      <c r="Y119" s="129"/>
      <c r="Z119" s="290"/>
      <c r="AA119" s="290"/>
      <c r="AB119" s="290"/>
      <c r="AC119" s="290"/>
      <c r="AD119" s="290"/>
      <c r="AE119" s="290"/>
      <c r="AF119" s="290"/>
      <c r="AG119" s="290"/>
      <c r="AH119" s="290"/>
      <c r="AI119" s="290"/>
      <c r="AJ119" s="290"/>
      <c r="AK119" s="290"/>
      <c r="AL119" s="290"/>
      <c r="AM119" s="290"/>
      <c r="AN119" s="290"/>
      <c r="AO119" s="290"/>
      <c r="AP119" s="290"/>
      <c r="AR119" s="292">
        <f t="shared" si="207"/>
        <v>0</v>
      </c>
    </row>
    <row r="120" spans="1:44" ht="24" customHeight="1">
      <c r="A120" s="191"/>
      <c r="B120" s="129" t="s">
        <v>246</v>
      </c>
      <c r="C120" s="249" t="s">
        <v>562</v>
      </c>
      <c r="D120" s="129"/>
      <c r="E120" s="255"/>
      <c r="F120" s="255"/>
      <c r="G120" s="255"/>
      <c r="H120" s="255"/>
      <c r="I120" s="255"/>
      <c r="J120" s="255"/>
      <c r="K120" s="255"/>
      <c r="L120" s="255"/>
      <c r="M120" s="258"/>
      <c r="N120" s="139"/>
      <c r="O120" s="139"/>
      <c r="P120" s="139"/>
      <c r="Q120" s="139"/>
      <c r="R120" s="139"/>
      <c r="S120" s="139"/>
      <c r="T120" s="139"/>
      <c r="U120" s="139"/>
      <c r="V120" s="139"/>
      <c r="W120" s="139"/>
      <c r="X120" s="139"/>
      <c r="Y120" s="129"/>
      <c r="Z120" s="290"/>
      <c r="AA120" s="290"/>
      <c r="AB120" s="290"/>
      <c r="AC120" s="290"/>
      <c r="AD120" s="290"/>
      <c r="AE120" s="290"/>
      <c r="AF120" s="290"/>
      <c r="AG120" s="290"/>
      <c r="AH120" s="290"/>
      <c r="AI120" s="290"/>
      <c r="AJ120" s="290"/>
      <c r="AK120" s="290"/>
      <c r="AL120" s="290"/>
      <c r="AM120" s="290"/>
      <c r="AN120" s="290"/>
      <c r="AO120" s="290"/>
      <c r="AP120" s="290"/>
      <c r="AR120" s="292">
        <f t="shared" si="207"/>
        <v>0</v>
      </c>
    </row>
    <row r="121" spans="1:44" ht="24" customHeight="1">
      <c r="A121" s="191"/>
      <c r="B121" s="129" t="s">
        <v>563</v>
      </c>
      <c r="C121" s="249" t="s">
        <v>551</v>
      </c>
      <c r="D121" s="129"/>
      <c r="E121" s="255"/>
      <c r="F121" s="255"/>
      <c r="G121" s="255"/>
      <c r="H121" s="255"/>
      <c r="I121" s="255"/>
      <c r="J121" s="255"/>
      <c r="K121" s="255"/>
      <c r="L121" s="255"/>
      <c r="M121" s="258"/>
      <c r="N121" s="139"/>
      <c r="O121" s="139"/>
      <c r="P121" s="139"/>
      <c r="Q121" s="139">
        <f>AI112</f>
        <v>5967.8321000000005</v>
      </c>
      <c r="R121" s="139">
        <f t="shared" ref="R121" si="220">AJ112</f>
        <v>5967.8321000000005</v>
      </c>
      <c r="S121" s="139">
        <f t="shared" ref="S121:X121" si="221">AK112</f>
        <v>5967.8321000000005</v>
      </c>
      <c r="T121" s="139">
        <f t="shared" si="221"/>
        <v>17903.496299999999</v>
      </c>
      <c r="U121" s="139">
        <f t="shared" si="221"/>
        <v>29839.160499999998</v>
      </c>
      <c r="V121" s="139">
        <f t="shared" si="221"/>
        <v>53710.488900000004</v>
      </c>
      <c r="W121" s="139">
        <f t="shared" si="221"/>
        <v>101453.14570000001</v>
      </c>
      <c r="X121" s="139">
        <f t="shared" si="221"/>
        <v>185002.79510000002</v>
      </c>
      <c r="Y121" s="129"/>
      <c r="Z121" s="290"/>
      <c r="AA121" s="290"/>
      <c r="AB121" s="290"/>
      <c r="AC121" s="290"/>
      <c r="AD121" s="290"/>
      <c r="AE121" s="290"/>
      <c r="AF121" s="290"/>
      <c r="AG121" s="290"/>
      <c r="AH121" s="290"/>
      <c r="AI121" s="290"/>
      <c r="AJ121" s="290"/>
      <c r="AK121" s="290"/>
      <c r="AL121" s="290"/>
      <c r="AM121" s="290"/>
      <c r="AN121" s="290"/>
      <c r="AO121" s="290"/>
      <c r="AP121" s="290"/>
      <c r="AR121" s="292">
        <f t="shared" si="207"/>
        <v>0</v>
      </c>
    </row>
    <row r="122" spans="1:44" ht="24" customHeight="1">
      <c r="A122" s="191"/>
      <c r="B122" s="129" t="s">
        <v>210</v>
      </c>
      <c r="C122" s="249" t="s">
        <v>565</v>
      </c>
      <c r="D122" s="129"/>
      <c r="E122" s="255"/>
      <c r="F122" s="255"/>
      <c r="G122" s="255"/>
      <c r="H122" s="255"/>
      <c r="I122" s="255"/>
      <c r="J122" s="255"/>
      <c r="K122" s="255"/>
      <c r="L122" s="255"/>
      <c r="M122" s="258"/>
      <c r="N122" s="139"/>
      <c r="O122" s="139"/>
      <c r="P122" s="139"/>
      <c r="Q122" s="139">
        <f>Z112</f>
        <v>2791.6021000000001</v>
      </c>
      <c r="R122" s="139">
        <f t="shared" ref="R122" si="222">AA112</f>
        <v>2791.6021000000001</v>
      </c>
      <c r="S122" s="139">
        <f t="shared" ref="S122:X122" si="223">AB112</f>
        <v>2791.6021000000001</v>
      </c>
      <c r="T122" s="139">
        <f t="shared" si="223"/>
        <v>8374.8063000000002</v>
      </c>
      <c r="U122" s="139">
        <f t="shared" si="223"/>
        <v>13958.0105</v>
      </c>
      <c r="V122" s="139">
        <f t="shared" si="223"/>
        <v>25124.418899999997</v>
      </c>
      <c r="W122" s="139">
        <f t="shared" si="223"/>
        <v>47457.235699999997</v>
      </c>
      <c r="X122" s="139">
        <f t="shared" si="223"/>
        <v>86539.665099999998</v>
      </c>
      <c r="Y122" s="129"/>
      <c r="Z122" s="290"/>
      <c r="AA122" s="290"/>
      <c r="AB122" s="290"/>
      <c r="AC122" s="290"/>
      <c r="AD122" s="290"/>
      <c r="AE122" s="290"/>
      <c r="AF122" s="290"/>
      <c r="AG122" s="290"/>
      <c r="AH122" s="290"/>
      <c r="AI122" s="290"/>
      <c r="AJ122" s="290"/>
      <c r="AK122" s="290"/>
      <c r="AL122" s="290"/>
      <c r="AM122" s="290"/>
      <c r="AN122" s="290"/>
      <c r="AO122" s="290"/>
      <c r="AP122" s="290"/>
      <c r="AR122" s="292">
        <f t="shared" si="207"/>
        <v>0</v>
      </c>
    </row>
    <row r="123" spans="1:44">
      <c r="A123" s="191"/>
      <c r="B123" s="129" t="s">
        <v>566</v>
      </c>
      <c r="C123" s="249" t="s">
        <v>567</v>
      </c>
      <c r="D123" s="129"/>
      <c r="E123" s="255"/>
      <c r="F123" s="255"/>
      <c r="G123" s="255"/>
      <c r="H123" s="255"/>
      <c r="I123" s="255"/>
      <c r="J123" s="255"/>
      <c r="K123" s="255"/>
      <c r="L123" s="255"/>
      <c r="M123" s="258">
        <f>'附件4-1套内1'!M325</f>
        <v>0.1</v>
      </c>
      <c r="N123" s="139"/>
      <c r="O123" s="139"/>
      <c r="P123" s="139"/>
      <c r="Q123" s="139">
        <f>(Q121-Q122)*$M123</f>
        <v>317.62300000000005</v>
      </c>
      <c r="R123" s="139">
        <f t="shared" ref="R123" si="224">(R121-R122)*$M123</f>
        <v>317.62300000000005</v>
      </c>
      <c r="S123" s="139">
        <f t="shared" ref="S123:X123" si="225">(S121-S122)*$M123</f>
        <v>317.62300000000005</v>
      </c>
      <c r="T123" s="139">
        <f t="shared" si="225"/>
        <v>952.86899999999991</v>
      </c>
      <c r="U123" s="139">
        <f t="shared" si="225"/>
        <v>1588.1149999999998</v>
      </c>
      <c r="V123" s="139">
        <f t="shared" si="225"/>
        <v>2858.6070000000009</v>
      </c>
      <c r="W123" s="139">
        <f t="shared" si="225"/>
        <v>5399.5910000000013</v>
      </c>
      <c r="X123" s="139">
        <f t="shared" si="225"/>
        <v>9846.3130000000019</v>
      </c>
      <c r="Y123" s="129"/>
      <c r="Z123" s="290"/>
      <c r="AA123" s="290"/>
      <c r="AB123" s="290"/>
      <c r="AC123" s="290"/>
      <c r="AD123" s="290"/>
      <c r="AE123" s="290"/>
      <c r="AF123" s="290"/>
      <c r="AG123" s="290"/>
      <c r="AH123" s="290"/>
      <c r="AI123" s="290"/>
      <c r="AJ123" s="290"/>
      <c r="AK123" s="290"/>
      <c r="AL123" s="290"/>
      <c r="AM123" s="290"/>
      <c r="AN123" s="290"/>
      <c r="AO123" s="290"/>
      <c r="AP123" s="290"/>
      <c r="AR123" s="292">
        <f t="shared" si="207"/>
        <v>0</v>
      </c>
    </row>
    <row r="124" spans="1:44" ht="24" customHeight="1">
      <c r="A124" s="191"/>
      <c r="B124" s="129" t="s">
        <v>568</v>
      </c>
      <c r="C124" s="249" t="s">
        <v>569</v>
      </c>
      <c r="D124" s="129"/>
      <c r="E124" s="255"/>
      <c r="F124" s="255"/>
      <c r="G124" s="255"/>
      <c r="H124" s="255"/>
      <c r="I124" s="255"/>
      <c r="J124" s="255"/>
      <c r="K124" s="255"/>
      <c r="L124" s="255"/>
      <c r="M124" s="258">
        <f>'附件4-1套内1'!M326</f>
        <v>0.1</v>
      </c>
      <c r="N124" s="139"/>
      <c r="O124" s="139"/>
      <c r="P124" s="139"/>
      <c r="Q124" s="139">
        <f>Q122*$M$124</f>
        <v>279.16021000000001</v>
      </c>
      <c r="R124" s="139">
        <f t="shared" ref="R124" si="226">R122*$M$124</f>
        <v>279.16021000000001</v>
      </c>
      <c r="S124" s="139">
        <f t="shared" ref="S124:X124" si="227">S122*$M$124</f>
        <v>279.16021000000001</v>
      </c>
      <c r="T124" s="139">
        <f t="shared" si="227"/>
        <v>837.48063000000002</v>
      </c>
      <c r="U124" s="139">
        <f t="shared" si="227"/>
        <v>1395.80105</v>
      </c>
      <c r="V124" s="139">
        <f t="shared" si="227"/>
        <v>2512.4418900000001</v>
      </c>
      <c r="W124" s="139">
        <f t="shared" si="227"/>
        <v>4745.7235700000001</v>
      </c>
      <c r="X124" s="139">
        <f t="shared" si="227"/>
        <v>8653.9665100000002</v>
      </c>
      <c r="Y124" s="129"/>
      <c r="Z124" s="290"/>
      <c r="AA124" s="290"/>
      <c r="AB124" s="290"/>
      <c r="AC124" s="290"/>
      <c r="AD124" s="290"/>
      <c r="AE124" s="290"/>
      <c r="AF124" s="290"/>
      <c r="AG124" s="290"/>
      <c r="AH124" s="290"/>
      <c r="AI124" s="290"/>
      <c r="AJ124" s="290"/>
      <c r="AK124" s="290"/>
      <c r="AL124" s="290"/>
      <c r="AM124" s="290"/>
      <c r="AN124" s="290"/>
      <c r="AO124" s="290"/>
      <c r="AP124" s="290"/>
      <c r="AR124" s="292">
        <f t="shared" si="207"/>
        <v>0</v>
      </c>
    </row>
    <row r="125" spans="1:44">
      <c r="A125" s="191"/>
      <c r="B125" s="129" t="s">
        <v>570</v>
      </c>
      <c r="C125" s="249" t="s">
        <v>571</v>
      </c>
      <c r="D125" s="129"/>
      <c r="E125" s="255"/>
      <c r="F125" s="255"/>
      <c r="G125" s="255"/>
      <c r="H125" s="255"/>
      <c r="I125" s="255"/>
      <c r="J125" s="255"/>
      <c r="K125" s="255"/>
      <c r="L125" s="255"/>
      <c r="M125" s="258">
        <f>'附件4-1套内1'!M327</f>
        <v>0.1</v>
      </c>
      <c r="N125" s="139"/>
      <c r="O125" s="139"/>
      <c r="P125" s="139"/>
      <c r="Q125" s="139">
        <f>(Q121-Q122)*$M$125</f>
        <v>317.62300000000005</v>
      </c>
      <c r="R125" s="139">
        <f t="shared" ref="R125" si="228">(R121-R122)*$M$125</f>
        <v>317.62300000000005</v>
      </c>
      <c r="S125" s="139">
        <f t="shared" ref="S125:X125" si="229">(S121-S122)*$M$125</f>
        <v>317.62300000000005</v>
      </c>
      <c r="T125" s="139">
        <f t="shared" si="229"/>
        <v>952.86899999999991</v>
      </c>
      <c r="U125" s="139">
        <f t="shared" si="229"/>
        <v>1588.1149999999998</v>
      </c>
      <c r="V125" s="139">
        <f t="shared" si="229"/>
        <v>2858.6070000000009</v>
      </c>
      <c r="W125" s="139">
        <f t="shared" si="229"/>
        <v>5399.5910000000013</v>
      </c>
      <c r="X125" s="139">
        <f t="shared" si="229"/>
        <v>9846.3130000000019</v>
      </c>
      <c r="Y125" s="129"/>
      <c r="Z125" s="290"/>
      <c r="AA125" s="290"/>
      <c r="AB125" s="290"/>
      <c r="AC125" s="290"/>
      <c r="AD125" s="290"/>
      <c r="AE125" s="290"/>
      <c r="AF125" s="290"/>
      <c r="AG125" s="290"/>
      <c r="AH125" s="290"/>
      <c r="AI125" s="290"/>
      <c r="AJ125" s="290"/>
      <c r="AK125" s="290"/>
      <c r="AL125" s="290"/>
      <c r="AM125" s="290"/>
      <c r="AN125" s="290"/>
      <c r="AO125" s="290"/>
      <c r="AP125" s="290"/>
      <c r="AR125" s="292">
        <f t="shared" si="207"/>
        <v>0</v>
      </c>
    </row>
    <row r="126" spans="1:44" ht="36" customHeight="1">
      <c r="A126" s="191"/>
      <c r="B126" s="129" t="s">
        <v>573</v>
      </c>
      <c r="C126" s="249" t="s">
        <v>574</v>
      </c>
      <c r="D126" s="129"/>
      <c r="E126" s="255"/>
      <c r="F126" s="255"/>
      <c r="G126" s="255"/>
      <c r="H126" s="255"/>
      <c r="I126" s="255"/>
      <c r="J126" s="255"/>
      <c r="K126" s="255"/>
      <c r="L126" s="255"/>
      <c r="M126" s="258">
        <f>M117</f>
        <v>0</v>
      </c>
      <c r="N126" s="139"/>
      <c r="O126" s="139"/>
      <c r="P126" s="139"/>
      <c r="Q126" s="139">
        <f>Q121*$M$126</f>
        <v>0</v>
      </c>
      <c r="R126" s="139">
        <f t="shared" ref="R126" si="230">R121*$M$126</f>
        <v>0</v>
      </c>
      <c r="S126" s="139">
        <f t="shared" ref="S126:X126" si="231">S121*$M$126</f>
        <v>0</v>
      </c>
      <c r="T126" s="139">
        <f t="shared" si="231"/>
        <v>0</v>
      </c>
      <c r="U126" s="139">
        <f t="shared" si="231"/>
        <v>0</v>
      </c>
      <c r="V126" s="139">
        <f t="shared" si="231"/>
        <v>0</v>
      </c>
      <c r="W126" s="139">
        <f t="shared" si="231"/>
        <v>0</v>
      </c>
      <c r="X126" s="139">
        <f t="shared" si="231"/>
        <v>0</v>
      </c>
      <c r="Y126" s="129"/>
      <c r="Z126" s="290"/>
      <c r="AA126" s="290"/>
      <c r="AB126" s="290"/>
      <c r="AC126" s="290"/>
      <c r="AD126" s="290"/>
      <c r="AE126" s="290"/>
      <c r="AF126" s="290"/>
      <c r="AG126" s="290"/>
      <c r="AH126" s="290"/>
      <c r="AI126" s="290"/>
      <c r="AJ126" s="290"/>
      <c r="AK126" s="290"/>
      <c r="AL126" s="290"/>
      <c r="AM126" s="290"/>
      <c r="AN126" s="290"/>
      <c r="AO126" s="290"/>
      <c r="AP126" s="290"/>
      <c r="AR126" s="292">
        <f t="shared" si="207"/>
        <v>0</v>
      </c>
    </row>
    <row r="127" spans="1:44" ht="24" customHeight="1">
      <c r="A127" s="191"/>
      <c r="B127" s="129" t="s">
        <v>575</v>
      </c>
      <c r="C127" s="249" t="s">
        <v>576</v>
      </c>
      <c r="D127" s="129"/>
      <c r="E127" s="255"/>
      <c r="F127" s="255"/>
      <c r="G127" s="255"/>
      <c r="H127" s="255"/>
      <c r="I127" s="255"/>
      <c r="J127" s="255"/>
      <c r="K127" s="255"/>
      <c r="L127" s="255"/>
      <c r="M127" s="259">
        <f>M118</f>
        <v>3.4770000000000002E-2</v>
      </c>
      <c r="N127" s="139"/>
      <c r="O127" s="139"/>
      <c r="P127" s="139"/>
      <c r="Q127" s="139">
        <f>(Q121+Q123+Q124+Q125+Q126)*$M$127</f>
        <v>239.29542603870004</v>
      </c>
      <c r="R127" s="139">
        <f t="shared" ref="R127" si="232">(R121+R123+R124+R125+R126)*$M$127</f>
        <v>239.29542603870004</v>
      </c>
      <c r="S127" s="139">
        <f t="shared" ref="S127:X127" si="233">(S121+S123+S124+S125+S126)*$M$127</f>
        <v>239.29542603870004</v>
      </c>
      <c r="T127" s="139">
        <f t="shared" si="233"/>
        <v>717.8862781160999</v>
      </c>
      <c r="U127" s="139">
        <f t="shared" si="233"/>
        <v>1196.4771301935</v>
      </c>
      <c r="V127" s="139">
        <f t="shared" si="233"/>
        <v>2153.6588343483004</v>
      </c>
      <c r="W127" s="139">
        <f t="shared" si="233"/>
        <v>4068.0222426579007</v>
      </c>
      <c r="X127" s="139">
        <f t="shared" si="233"/>
        <v>7418.1582071997009</v>
      </c>
      <c r="Y127" s="129"/>
      <c r="Z127" s="290"/>
      <c r="AA127" s="290"/>
      <c r="AB127" s="290"/>
      <c r="AC127" s="290"/>
      <c r="AD127" s="290"/>
      <c r="AE127" s="290"/>
      <c r="AF127" s="290"/>
      <c r="AG127" s="290"/>
      <c r="AH127" s="290"/>
      <c r="AI127" s="290"/>
      <c r="AJ127" s="290"/>
      <c r="AK127" s="290"/>
      <c r="AL127" s="290"/>
      <c r="AM127" s="290"/>
      <c r="AN127" s="290"/>
      <c r="AO127" s="290"/>
      <c r="AP127" s="290"/>
      <c r="AR127" s="292">
        <f t="shared" si="207"/>
        <v>0</v>
      </c>
    </row>
    <row r="128" spans="1:44" ht="24" customHeight="1">
      <c r="A128" s="191"/>
      <c r="B128" s="129" t="s">
        <v>577</v>
      </c>
      <c r="C128" s="249" t="s">
        <v>578</v>
      </c>
      <c r="D128" s="129"/>
      <c r="E128" s="255"/>
      <c r="F128" s="255"/>
      <c r="G128" s="255"/>
      <c r="H128" s="255"/>
      <c r="I128" s="255"/>
      <c r="J128" s="255"/>
      <c r="K128" s="255"/>
      <c r="L128" s="255"/>
      <c r="M128" s="258"/>
      <c r="N128" s="139"/>
      <c r="O128" s="139"/>
      <c r="P128" s="139"/>
      <c r="Q128" s="139">
        <f>Q121+Q123+Q124+Q125+Q126+Q127</f>
        <v>7121.5337360387002</v>
      </c>
      <c r="R128" s="139">
        <f t="shared" ref="R128" si="234">R121+R123+R124+R125+R126+R127</f>
        <v>7121.5337360387002</v>
      </c>
      <c r="S128" s="139">
        <f t="shared" ref="S128:X128" si="235">S121+S123+S124+S125+S126+S127</f>
        <v>7121.5337360387002</v>
      </c>
      <c r="T128" s="139">
        <f t="shared" si="235"/>
        <v>21364.601208116095</v>
      </c>
      <c r="U128" s="139">
        <f t="shared" si="235"/>
        <v>35607.668680193499</v>
      </c>
      <c r="V128" s="139">
        <f t="shared" si="235"/>
        <v>64093.803624348315</v>
      </c>
      <c r="W128" s="139">
        <f t="shared" si="235"/>
        <v>121066.07351265791</v>
      </c>
      <c r="X128" s="139">
        <f t="shared" si="235"/>
        <v>220767.54581719972</v>
      </c>
      <c r="Y128" s="129"/>
      <c r="Z128" s="290"/>
      <c r="AA128" s="290"/>
      <c r="AB128" s="290"/>
      <c r="AC128" s="290"/>
      <c r="AD128" s="290"/>
      <c r="AE128" s="290"/>
      <c r="AF128" s="290"/>
      <c r="AG128" s="290"/>
      <c r="AH128" s="290"/>
      <c r="AI128" s="290"/>
      <c r="AJ128" s="290"/>
      <c r="AK128" s="290"/>
      <c r="AL128" s="290"/>
      <c r="AM128" s="290"/>
      <c r="AN128" s="290"/>
      <c r="AO128" s="290"/>
      <c r="AP128" s="290"/>
      <c r="AR128" s="292">
        <f t="shared" si="207"/>
        <v>0</v>
      </c>
    </row>
    <row r="129" spans="1:44" ht="18" customHeight="1">
      <c r="A129" s="191"/>
      <c r="B129" s="129" t="s">
        <v>136</v>
      </c>
      <c r="C129" s="249" t="s">
        <v>807</v>
      </c>
      <c r="D129" s="129"/>
      <c r="E129" s="255"/>
      <c r="F129" s="255"/>
      <c r="G129" s="255"/>
      <c r="H129" s="255"/>
      <c r="I129" s="255"/>
      <c r="J129" s="255"/>
      <c r="K129" s="255"/>
      <c r="L129" s="255"/>
      <c r="M129" s="129"/>
      <c r="N129" s="139"/>
      <c r="O129" s="139"/>
      <c r="P129" s="139"/>
      <c r="Q129" s="139">
        <f>Q128+Q119</f>
        <v>1304440.0711577914</v>
      </c>
      <c r="R129" s="139">
        <f t="shared" ref="R129" si="236">R128+R119</f>
        <v>1304440.0711577914</v>
      </c>
      <c r="S129" s="139">
        <f t="shared" ref="S129:X129" si="237">S128+S119</f>
        <v>1304440.0711577914</v>
      </c>
      <c r="T129" s="139">
        <f t="shared" si="237"/>
        <v>3913320.2134733745</v>
      </c>
      <c r="U129" s="139">
        <f t="shared" si="237"/>
        <v>6522200.3557889583</v>
      </c>
      <c r="V129" s="139">
        <f t="shared" si="237"/>
        <v>11739960.640420126</v>
      </c>
      <c r="W129" s="139">
        <f t="shared" si="237"/>
        <v>22175481.209682446</v>
      </c>
      <c r="X129" s="139">
        <f t="shared" si="237"/>
        <v>40437642.205891527</v>
      </c>
      <c r="Y129" s="129"/>
      <c r="Z129" s="290"/>
      <c r="AA129" s="290"/>
      <c r="AB129" s="290"/>
      <c r="AC129" s="290"/>
      <c r="AD129" s="290"/>
      <c r="AE129" s="290"/>
      <c r="AF129" s="290"/>
      <c r="AG129" s="290"/>
      <c r="AH129" s="290"/>
      <c r="AI129" s="290"/>
      <c r="AJ129" s="290"/>
      <c r="AK129" s="290"/>
      <c r="AL129" s="290"/>
      <c r="AM129" s="290"/>
      <c r="AN129" s="290"/>
      <c r="AO129" s="290"/>
      <c r="AP129" s="290"/>
      <c r="AR129" s="292">
        <f t="shared" si="207"/>
        <v>0</v>
      </c>
    </row>
    <row r="130" spans="1:44" ht="135" customHeight="1">
      <c r="B130" s="263" t="s">
        <v>1196</v>
      </c>
      <c r="C130" s="938" t="s">
        <v>1197</v>
      </c>
      <c r="D130" s="938"/>
      <c r="E130" s="938"/>
      <c r="F130" s="938"/>
      <c r="G130" s="938"/>
      <c r="H130" s="938"/>
      <c r="I130" s="938"/>
      <c r="J130" s="938"/>
      <c r="K130" s="938"/>
      <c r="L130" s="938"/>
      <c r="M130" s="938"/>
      <c r="N130" s="938"/>
      <c r="O130" s="938"/>
      <c r="P130" s="938"/>
      <c r="Q130" s="938"/>
      <c r="R130" s="938"/>
      <c r="S130" s="938"/>
      <c r="T130" s="938"/>
      <c r="U130" s="938"/>
      <c r="V130" s="938"/>
      <c r="W130" s="938"/>
      <c r="X130" s="938"/>
      <c r="Y130" s="938"/>
    </row>
  </sheetData>
  <sheetProtection formatCells="0" formatColumns="0" formatRows="0" insertRows="0" autoFilter="0"/>
  <protectedRanges>
    <protectedRange sqref="A103:XFD111" name="区域4" securityDescriptor=""/>
    <protectedRange sqref="E7:L111" name="区域3" securityDescriptor=""/>
    <protectedRange sqref="B2" name="区域2" securityDescriptor=""/>
    <protectedRange sqref="B1" name="区域1" securityDescriptor=""/>
    <protectedRange sqref="E3:L3" name="区域3_1_1" securityDescriptor=""/>
    <protectedRange sqref="F4:L5" name="区域1_1_2" securityDescriptor=""/>
    <protectedRange sqref="E4:E5" name="区域3_2_1" securityDescriptor=""/>
    <protectedRange sqref="E6:L6" name="区域1_1_1_1" securityDescriptor=""/>
    <protectedRange sqref="Q4:X5" name="区域1_1_3" securityDescriptor=""/>
    <protectedRange sqref="Z4:AG5" name="区域1_1_2_1" securityDescriptor=""/>
    <protectedRange sqref="AI4:AP5" name="区域1_1_2_1_1" securityDescriptor=""/>
  </protectedRanges>
  <autoFilter ref="B5:AI130"/>
  <mergeCells count="17">
    <mergeCell ref="Z3:AG3"/>
    <mergeCell ref="AI3:AP3"/>
    <mergeCell ref="C130:Y130"/>
    <mergeCell ref="B3:B6"/>
    <mergeCell ref="C3:C6"/>
    <mergeCell ref="D3:D6"/>
    <mergeCell ref="M3:M6"/>
    <mergeCell ref="N4:N5"/>
    <mergeCell ref="O4:O5"/>
    <mergeCell ref="P4:P5"/>
    <mergeCell ref="Y3:Y6"/>
    <mergeCell ref="B1:C1"/>
    <mergeCell ref="T1:Y1"/>
    <mergeCell ref="B2:Y2"/>
    <mergeCell ref="E3:L3"/>
    <mergeCell ref="N3:P3"/>
    <mergeCell ref="Q3:X3"/>
  </mergeCells>
  <phoneticPr fontId="7" type="noConversion"/>
  <conditionalFormatting sqref="O106">
    <cfRule type="cellIs" dxfId="16" priority="1" stopIfTrue="1" operator="equal">
      <formula>0</formula>
    </cfRule>
  </conditionalFormatting>
  <conditionalFormatting sqref="O105">
    <cfRule type="cellIs" dxfId="15" priority="2" stopIfTrue="1" operator="equal">
      <formula>0</formula>
    </cfRule>
  </conditionalFormatting>
  <conditionalFormatting sqref="O104">
    <cfRule type="cellIs" dxfId="14" priority="3" stopIfTrue="1" operator="equal">
      <formula>0</formula>
    </cfRule>
  </conditionalFormatting>
  <printOptions horizontalCentered="1"/>
  <pageMargins left="0.39305555555555599" right="0.39305555555555599" top="0.55069444444444404" bottom="0.55069444444444404" header="0.118055555555556" footer="0.43263888888888902"/>
  <pageSetup paperSize="9" scale="85" orientation="landscape" blackAndWhite="1" r:id="rId1"/>
  <headerFooter alignWithMargins="0">
    <oddFooter>&amp;C第 &amp;P 页，共 &amp;N 页</oddFooter>
  </headerFooter>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A50"/>
  <sheetViews>
    <sheetView view="pageBreakPreview" zoomScaleSheetLayoutView="100" workbookViewId="0">
      <pane xSplit="4" ySplit="6" topLeftCell="E7" activePane="bottomRight" state="frozen"/>
      <selection pane="topRight"/>
      <selection pane="bottomLeft"/>
      <selection pane="bottomRight" activeCell="C1" sqref="C1"/>
    </sheetView>
  </sheetViews>
  <sheetFormatPr defaultColWidth="9.125" defaultRowHeight="14.25" outlineLevelRow="1" outlineLevelCol="1"/>
  <cols>
    <col min="2" max="2" width="6.375" customWidth="1"/>
    <col min="3" max="3" width="40.375" customWidth="1"/>
    <col min="4" max="4" width="6.375" customWidth="1" collapsed="1"/>
    <col min="5" max="7" width="9.125" hidden="1" customWidth="1" outlineLevel="1"/>
    <col min="8" max="8" width="8.75" hidden="1" customWidth="1" outlineLevel="1"/>
    <col min="9" max="9" width="11.875" customWidth="1" collapsed="1"/>
    <col min="10" max="10" width="10" customWidth="1"/>
    <col min="11" max="11" width="8.75" customWidth="1"/>
    <col min="12" max="12" width="9.75" customWidth="1"/>
    <col min="13" max="16" width="11.375" customWidth="1"/>
    <col min="17" max="17" width="16.625" customWidth="1"/>
    <col min="18" max="18" width="12.75" customWidth="1"/>
    <col min="19" max="21" width="12.375" customWidth="1"/>
    <col min="23" max="26" width="18.375" customWidth="1"/>
    <col min="27" max="27" width="9.25" customWidth="1"/>
  </cols>
  <sheetData>
    <row r="1" spans="1:26">
      <c r="C1" s="246" t="s">
        <v>808</v>
      </c>
      <c r="N1" s="874" t="s">
        <v>196</v>
      </c>
      <c r="O1" s="874"/>
      <c r="P1" s="874"/>
      <c r="Q1" s="875"/>
    </row>
    <row r="2" spans="1:26" ht="26.25" customHeight="1">
      <c r="B2" s="943" t="s">
        <v>1198</v>
      </c>
      <c r="C2" s="943"/>
      <c r="D2" s="943"/>
      <c r="E2" s="943"/>
      <c r="F2" s="943"/>
      <c r="G2" s="943"/>
      <c r="H2" s="943"/>
      <c r="I2" s="943"/>
      <c r="J2" s="943"/>
      <c r="K2" s="943"/>
      <c r="L2" s="943"/>
      <c r="M2" s="943"/>
      <c r="N2" s="943"/>
      <c r="O2" s="943"/>
      <c r="P2" s="943"/>
      <c r="Q2" s="943"/>
    </row>
    <row r="3" spans="1:26" ht="12.75" customHeight="1">
      <c r="A3" s="247"/>
      <c r="B3" s="951" t="s">
        <v>54</v>
      </c>
      <c r="C3" s="951" t="s">
        <v>591</v>
      </c>
      <c r="D3" s="951" t="s">
        <v>198</v>
      </c>
      <c r="E3" s="944" t="s">
        <v>1199</v>
      </c>
      <c r="F3" s="945"/>
      <c r="G3" s="945"/>
      <c r="H3" s="946"/>
      <c r="I3" s="953" t="s">
        <v>1082</v>
      </c>
      <c r="J3" s="947" t="s">
        <v>1083</v>
      </c>
      <c r="K3" s="947"/>
      <c r="L3" s="947"/>
      <c r="M3" s="948" t="s">
        <v>1200</v>
      </c>
      <c r="N3" s="949"/>
      <c r="O3" s="949"/>
      <c r="P3" s="950"/>
      <c r="Q3" s="955" t="s">
        <v>57</v>
      </c>
      <c r="R3" s="201" t="s">
        <v>209</v>
      </c>
      <c r="S3" s="201" t="s">
        <v>210</v>
      </c>
      <c r="T3" s="201" t="s">
        <v>211</v>
      </c>
      <c r="U3" s="201" t="s">
        <v>212</v>
      </c>
      <c r="V3" s="201"/>
      <c r="W3" s="201" t="s">
        <v>209</v>
      </c>
      <c r="X3" s="201" t="s">
        <v>210</v>
      </c>
      <c r="Y3" s="201" t="s">
        <v>211</v>
      </c>
      <c r="Z3" s="201" t="s">
        <v>212</v>
      </c>
    </row>
    <row r="4" spans="1:26" ht="27.75" customHeight="1" outlineLevel="1">
      <c r="A4" s="247"/>
      <c r="B4" s="952"/>
      <c r="C4" s="952"/>
      <c r="D4" s="952"/>
      <c r="E4" s="248"/>
      <c r="F4" s="248"/>
      <c r="G4" s="248"/>
      <c r="H4" s="248"/>
      <c r="I4" s="954"/>
      <c r="J4" s="953" t="s">
        <v>1201</v>
      </c>
      <c r="K4" s="953" t="s">
        <v>1087</v>
      </c>
      <c r="L4" s="953" t="s">
        <v>1088</v>
      </c>
      <c r="M4" s="206"/>
      <c r="N4" s="206"/>
      <c r="O4" s="206"/>
      <c r="P4" s="206"/>
      <c r="Q4" s="955"/>
      <c r="R4" s="260"/>
      <c r="S4" s="260"/>
      <c r="T4" s="260"/>
      <c r="U4" s="260"/>
      <c r="V4" s="261"/>
      <c r="W4" s="260"/>
      <c r="X4" s="260"/>
      <c r="Y4" s="260"/>
      <c r="Z4" s="260"/>
    </row>
    <row r="5" spans="1:26" ht="27.75" customHeight="1" outlineLevel="1">
      <c r="A5" s="247"/>
      <c r="B5" s="952"/>
      <c r="C5" s="952"/>
      <c r="D5" s="952"/>
      <c r="E5" s="248"/>
      <c r="F5" s="248"/>
      <c r="G5" s="248"/>
      <c r="H5" s="248"/>
      <c r="I5" s="954"/>
      <c r="J5" s="954"/>
      <c r="K5" s="954"/>
      <c r="L5" s="954"/>
      <c r="M5" s="206"/>
      <c r="N5" s="206"/>
      <c r="O5" s="206"/>
      <c r="P5" s="206"/>
      <c r="Q5" s="197"/>
      <c r="R5" s="260" t="s">
        <v>208</v>
      </c>
      <c r="S5" s="260" t="s">
        <v>208</v>
      </c>
      <c r="T5" s="260" t="s">
        <v>208</v>
      </c>
      <c r="U5" s="260" t="s">
        <v>208</v>
      </c>
      <c r="V5" s="261"/>
      <c r="W5" s="260" t="s">
        <v>1202</v>
      </c>
      <c r="X5" s="260" t="s">
        <v>1202</v>
      </c>
      <c r="Y5" s="260" t="s">
        <v>1202</v>
      </c>
      <c r="Z5" s="260" t="s">
        <v>1202</v>
      </c>
    </row>
    <row r="6" spans="1:26" ht="21" customHeight="1" outlineLevel="1">
      <c r="A6" s="247"/>
      <c r="B6" s="885"/>
      <c r="C6" s="885"/>
      <c r="D6" s="885"/>
      <c r="E6" s="189" t="s">
        <v>209</v>
      </c>
      <c r="F6" s="189" t="s">
        <v>210</v>
      </c>
      <c r="G6" s="189" t="s">
        <v>211</v>
      </c>
      <c r="H6" s="189" t="s">
        <v>212</v>
      </c>
      <c r="I6" s="941"/>
      <c r="J6" s="941"/>
      <c r="K6" s="941"/>
      <c r="L6" s="941"/>
      <c r="M6" s="201" t="s">
        <v>220</v>
      </c>
      <c r="N6" s="201" t="s">
        <v>221</v>
      </c>
      <c r="O6" s="201" t="s">
        <v>222</v>
      </c>
      <c r="P6" s="201" t="s">
        <v>223</v>
      </c>
      <c r="Q6" s="197"/>
      <c r="R6" s="260"/>
      <c r="S6" s="260"/>
      <c r="T6" s="260"/>
      <c r="U6" s="260"/>
      <c r="V6" s="261"/>
      <c r="W6" s="260"/>
      <c r="X6" s="261"/>
      <c r="Y6" s="261"/>
      <c r="Z6" s="261"/>
    </row>
    <row r="7" spans="1:26" ht="122.25" customHeight="1">
      <c r="A7" s="247" t="s">
        <v>1203</v>
      </c>
      <c r="B7" s="129">
        <v>1</v>
      </c>
      <c r="C7" s="249" t="s">
        <v>1204</v>
      </c>
      <c r="D7" s="129" t="s">
        <v>231</v>
      </c>
      <c r="E7" s="151">
        <v>1</v>
      </c>
      <c r="F7" s="151">
        <f>E7</f>
        <v>1</v>
      </c>
      <c r="G7" s="151">
        <f t="shared" ref="G7" si="0">F7</f>
        <v>1</v>
      </c>
      <c r="H7" s="151">
        <f t="shared" ref="H7:H30" si="1">G7</f>
        <v>1</v>
      </c>
      <c r="I7" s="139">
        <f t="shared" ref="I7" si="2">J7*(1+K7%)+L7</f>
        <v>683</v>
      </c>
      <c r="J7" s="139">
        <v>60</v>
      </c>
      <c r="K7" s="139">
        <v>5</v>
      </c>
      <c r="L7" s="139">
        <v>620</v>
      </c>
      <c r="M7" s="139">
        <f>E7*$I7</f>
        <v>683</v>
      </c>
      <c r="N7" s="139">
        <f t="shared" ref="N7" si="3">F7*$I7</f>
        <v>683</v>
      </c>
      <c r="O7" s="139">
        <f t="shared" ref="O7:O22" si="4">G7*$I7</f>
        <v>683</v>
      </c>
      <c r="P7" s="139">
        <f t="shared" ref="P7:P22" si="5">H7*$I7</f>
        <v>683</v>
      </c>
      <c r="Q7" s="129"/>
      <c r="R7" s="261"/>
      <c r="S7" s="261"/>
      <c r="T7" s="261"/>
      <c r="U7" s="261"/>
      <c r="V7" s="261"/>
      <c r="W7" s="261"/>
      <c r="X7" s="261"/>
      <c r="Y7" s="261"/>
      <c r="Z7" s="261"/>
    </row>
    <row r="8" spans="1:26" ht="43.5" customHeight="1">
      <c r="A8" s="247" t="s">
        <v>1203</v>
      </c>
      <c r="B8" s="129">
        <v>2</v>
      </c>
      <c r="C8" s="196" t="s">
        <v>1205</v>
      </c>
      <c r="D8" s="129" t="s">
        <v>1092</v>
      </c>
      <c r="E8" s="151">
        <v>2</v>
      </c>
      <c r="F8" s="151">
        <f t="shared" ref="F8" si="6">E8</f>
        <v>2</v>
      </c>
      <c r="G8" s="151">
        <f t="shared" ref="G8:G15" si="7">F8</f>
        <v>2</v>
      </c>
      <c r="H8" s="151">
        <f t="shared" si="1"/>
        <v>2</v>
      </c>
      <c r="I8" s="139">
        <f t="shared" ref="I8:I13" si="8">J8*(1+K8%)+L8</f>
        <v>265.44</v>
      </c>
      <c r="J8" s="139">
        <v>150</v>
      </c>
      <c r="K8" s="139">
        <v>10</v>
      </c>
      <c r="L8" s="139">
        <v>100.44</v>
      </c>
      <c r="M8" s="139">
        <f t="shared" ref="M8" si="9">E8*$I8</f>
        <v>530.88</v>
      </c>
      <c r="N8" s="139">
        <f t="shared" ref="N8:N22" si="10">F8*$I8</f>
        <v>530.88</v>
      </c>
      <c r="O8" s="139">
        <f t="shared" si="4"/>
        <v>530.88</v>
      </c>
      <c r="P8" s="139">
        <f t="shared" si="5"/>
        <v>530.88</v>
      </c>
      <c r="Q8" s="129"/>
      <c r="R8" s="261"/>
      <c r="S8" s="261"/>
      <c r="T8" s="261"/>
      <c r="U8" s="261"/>
      <c r="V8" s="261"/>
      <c r="W8" s="261"/>
      <c r="X8" s="261"/>
      <c r="Y8" s="261"/>
      <c r="Z8" s="261"/>
    </row>
    <row r="9" spans="1:26" ht="25.5">
      <c r="A9" s="247" t="s">
        <v>1203</v>
      </c>
      <c r="B9" s="129">
        <v>3</v>
      </c>
      <c r="C9" s="196" t="s">
        <v>1206</v>
      </c>
      <c r="D9" s="129" t="s">
        <v>320</v>
      </c>
      <c r="E9" s="151">
        <v>3</v>
      </c>
      <c r="F9" s="151">
        <f t="shared" ref="F9:F30" si="11">E9</f>
        <v>3</v>
      </c>
      <c r="G9" s="151">
        <f t="shared" si="7"/>
        <v>3</v>
      </c>
      <c r="H9" s="151">
        <f t="shared" si="1"/>
        <v>3</v>
      </c>
      <c r="I9" s="139">
        <f t="shared" si="8"/>
        <v>226.63</v>
      </c>
      <c r="J9" s="139">
        <v>203</v>
      </c>
      <c r="K9" s="139">
        <v>1</v>
      </c>
      <c r="L9" s="139">
        <v>21.6</v>
      </c>
      <c r="M9" s="139">
        <f t="shared" ref="M9:M31" si="12">E9*$I9</f>
        <v>679.89</v>
      </c>
      <c r="N9" s="139">
        <f t="shared" si="10"/>
        <v>679.89</v>
      </c>
      <c r="O9" s="139">
        <f t="shared" si="4"/>
        <v>679.89</v>
      </c>
      <c r="P9" s="139">
        <f t="shared" si="5"/>
        <v>679.89</v>
      </c>
      <c r="Q9" s="129"/>
      <c r="R9" s="261"/>
      <c r="S9" s="261"/>
      <c r="T9" s="261"/>
      <c r="U9" s="261"/>
      <c r="V9" s="261"/>
      <c r="W9" s="261"/>
      <c r="X9" s="261"/>
      <c r="Y9" s="261"/>
      <c r="Z9" s="261"/>
    </row>
    <row r="10" spans="1:26" ht="25.5">
      <c r="A10" s="247" t="s">
        <v>1203</v>
      </c>
      <c r="B10" s="129">
        <v>4</v>
      </c>
      <c r="C10" s="196" t="s">
        <v>1207</v>
      </c>
      <c r="D10" s="129" t="s">
        <v>320</v>
      </c>
      <c r="E10" s="151">
        <v>4</v>
      </c>
      <c r="F10" s="151">
        <f t="shared" si="11"/>
        <v>4</v>
      </c>
      <c r="G10" s="151">
        <f t="shared" si="7"/>
        <v>4</v>
      </c>
      <c r="H10" s="151">
        <f t="shared" si="1"/>
        <v>4</v>
      </c>
      <c r="I10" s="139">
        <f t="shared" si="8"/>
        <v>406.48</v>
      </c>
      <c r="J10" s="139">
        <v>380</v>
      </c>
      <c r="K10" s="139">
        <v>1</v>
      </c>
      <c r="L10" s="139">
        <v>22.68</v>
      </c>
      <c r="M10" s="139">
        <f t="shared" si="12"/>
        <v>1625.92</v>
      </c>
      <c r="N10" s="139">
        <f t="shared" si="10"/>
        <v>1625.92</v>
      </c>
      <c r="O10" s="139">
        <f t="shared" si="4"/>
        <v>1625.92</v>
      </c>
      <c r="P10" s="139">
        <f t="shared" si="5"/>
        <v>1625.92</v>
      </c>
      <c r="Q10" s="129"/>
      <c r="R10" s="261"/>
      <c r="S10" s="261"/>
      <c r="T10" s="261"/>
      <c r="U10" s="261"/>
      <c r="V10" s="261"/>
      <c r="W10" s="261"/>
      <c r="X10" s="261"/>
      <c r="Y10" s="261"/>
      <c r="Z10" s="261"/>
    </row>
    <row r="11" spans="1:26" ht="25.5">
      <c r="A11" s="247" t="s">
        <v>1203</v>
      </c>
      <c r="B11" s="129">
        <v>5</v>
      </c>
      <c r="C11" s="196" t="s">
        <v>1208</v>
      </c>
      <c r="D11" s="129" t="s">
        <v>320</v>
      </c>
      <c r="E11" s="151">
        <v>5</v>
      </c>
      <c r="F11" s="151">
        <f t="shared" si="11"/>
        <v>5</v>
      </c>
      <c r="G11" s="151">
        <f t="shared" si="7"/>
        <v>5</v>
      </c>
      <c r="H11" s="151">
        <f t="shared" si="1"/>
        <v>5</v>
      </c>
      <c r="I11" s="139">
        <f t="shared" si="8"/>
        <v>127.65</v>
      </c>
      <c r="J11" s="139">
        <v>105</v>
      </c>
      <c r="K11" s="139">
        <v>1</v>
      </c>
      <c r="L11" s="139">
        <v>21.6</v>
      </c>
      <c r="M11" s="139">
        <f t="shared" si="12"/>
        <v>638.25</v>
      </c>
      <c r="N11" s="139">
        <f t="shared" si="10"/>
        <v>638.25</v>
      </c>
      <c r="O11" s="139">
        <f t="shared" si="4"/>
        <v>638.25</v>
      </c>
      <c r="P11" s="139">
        <f t="shared" si="5"/>
        <v>638.25</v>
      </c>
      <c r="Q11" s="129"/>
      <c r="R11" s="261"/>
      <c r="S11" s="261"/>
      <c r="T11" s="261"/>
      <c r="U11" s="261"/>
      <c r="V11" s="261"/>
      <c r="W11" s="261"/>
      <c r="X11" s="261"/>
      <c r="Y11" s="261"/>
      <c r="Z11" s="261"/>
    </row>
    <row r="12" spans="1:26" ht="25.5">
      <c r="A12" s="247" t="s">
        <v>1203</v>
      </c>
      <c r="B12" s="129">
        <v>6</v>
      </c>
      <c r="C12" s="196" t="s">
        <v>1209</v>
      </c>
      <c r="D12" s="129" t="s">
        <v>320</v>
      </c>
      <c r="E12" s="151">
        <v>6</v>
      </c>
      <c r="F12" s="151">
        <f t="shared" si="11"/>
        <v>6</v>
      </c>
      <c r="G12" s="151">
        <f t="shared" si="7"/>
        <v>6</v>
      </c>
      <c r="H12" s="151">
        <f t="shared" si="1"/>
        <v>6</v>
      </c>
      <c r="I12" s="139">
        <f t="shared" si="8"/>
        <v>150.74</v>
      </c>
      <c r="J12" s="139">
        <f>'附件4-8甲供材料清单'!K228</f>
        <v>130</v>
      </c>
      <c r="K12" s="139">
        <v>1</v>
      </c>
      <c r="L12" s="139">
        <v>19.440000000000001</v>
      </c>
      <c r="M12" s="139">
        <f t="shared" si="12"/>
        <v>904.44</v>
      </c>
      <c r="N12" s="139">
        <f t="shared" si="10"/>
        <v>904.44</v>
      </c>
      <c r="O12" s="139">
        <f t="shared" si="4"/>
        <v>904.44</v>
      </c>
      <c r="P12" s="139">
        <f t="shared" si="5"/>
        <v>904.44</v>
      </c>
      <c r="Q12" s="129" t="s">
        <v>244</v>
      </c>
      <c r="R12" s="261">
        <f>E12*$J12*(1+$K12%)</f>
        <v>787.8</v>
      </c>
      <c r="S12" s="261">
        <f>F12*$J12*(1+$K12%)</f>
        <v>787.8</v>
      </c>
      <c r="T12" s="261">
        <f t="shared" ref="T12" si="13">G12*$J12*(1+$K12%)</f>
        <v>787.8</v>
      </c>
      <c r="U12" s="261">
        <f>H12*$J12*(1+$K12%)</f>
        <v>787.8</v>
      </c>
      <c r="V12" s="261"/>
      <c r="W12" s="261">
        <f>M12</f>
        <v>904.44</v>
      </c>
      <c r="X12" s="261">
        <f>N12</f>
        <v>904.44</v>
      </c>
      <c r="Y12" s="261">
        <f t="shared" ref="Y12" si="14">O12</f>
        <v>904.44</v>
      </c>
      <c r="Z12" s="261">
        <f>P12</f>
        <v>904.44</v>
      </c>
    </row>
    <row r="13" spans="1:26" ht="25.5">
      <c r="A13" s="247" t="s">
        <v>1203</v>
      </c>
      <c r="B13" s="129">
        <v>7</v>
      </c>
      <c r="C13" s="196" t="s">
        <v>1210</v>
      </c>
      <c r="D13" s="129" t="s">
        <v>231</v>
      </c>
      <c r="E13" s="151">
        <v>7</v>
      </c>
      <c r="F13" s="151">
        <f t="shared" si="11"/>
        <v>7</v>
      </c>
      <c r="G13" s="151">
        <f t="shared" si="7"/>
        <v>7</v>
      </c>
      <c r="H13" s="151">
        <f t="shared" si="1"/>
        <v>7</v>
      </c>
      <c r="I13" s="139">
        <f t="shared" si="8"/>
        <v>261.94</v>
      </c>
      <c r="J13" s="139">
        <v>165</v>
      </c>
      <c r="K13" s="139">
        <v>2</v>
      </c>
      <c r="L13" s="139">
        <v>93.64</v>
      </c>
      <c r="M13" s="139">
        <f t="shared" si="12"/>
        <v>1833.58</v>
      </c>
      <c r="N13" s="139">
        <f t="shared" si="10"/>
        <v>1833.58</v>
      </c>
      <c r="O13" s="139">
        <f t="shared" si="4"/>
        <v>1833.58</v>
      </c>
      <c r="P13" s="139">
        <f t="shared" si="5"/>
        <v>1833.58</v>
      </c>
      <c r="Q13" s="129"/>
      <c r="R13" s="261"/>
      <c r="S13" s="261"/>
      <c r="T13" s="261"/>
      <c r="U13" s="261"/>
      <c r="V13" s="261"/>
      <c r="W13" s="261"/>
      <c r="X13" s="261"/>
      <c r="Y13" s="261"/>
      <c r="Z13" s="261"/>
    </row>
    <row r="14" spans="1:26" ht="25.5">
      <c r="A14" s="247" t="s">
        <v>1203</v>
      </c>
      <c r="B14" s="129">
        <v>8</v>
      </c>
      <c r="C14" s="196" t="s">
        <v>1211</v>
      </c>
      <c r="D14" s="129" t="s">
        <v>231</v>
      </c>
      <c r="E14" s="151">
        <v>8</v>
      </c>
      <c r="F14" s="151">
        <f t="shared" si="11"/>
        <v>8</v>
      </c>
      <c r="G14" s="151">
        <f t="shared" si="7"/>
        <v>8</v>
      </c>
      <c r="H14" s="151">
        <f t="shared" si="1"/>
        <v>8</v>
      </c>
      <c r="I14" s="139">
        <f t="shared" ref="I14" si="15">J14*(1+K14%)+L14</f>
        <v>151.71666666666667</v>
      </c>
      <c r="J14" s="139">
        <f>'附件4-8甲供材料清单'!M227</f>
        <v>93.444444444444443</v>
      </c>
      <c r="K14" s="139">
        <v>5</v>
      </c>
      <c r="L14" s="139">
        <v>53.6</v>
      </c>
      <c r="M14" s="139">
        <f t="shared" si="12"/>
        <v>1213.7333333333333</v>
      </c>
      <c r="N14" s="139">
        <f t="shared" si="10"/>
        <v>1213.7333333333333</v>
      </c>
      <c r="O14" s="139">
        <f t="shared" si="4"/>
        <v>1213.7333333333333</v>
      </c>
      <c r="P14" s="139">
        <f t="shared" si="5"/>
        <v>1213.7333333333333</v>
      </c>
      <c r="Q14" s="129" t="s">
        <v>244</v>
      </c>
      <c r="R14" s="261">
        <f>E14*$J14*(1+$K14%)</f>
        <v>784.93333333333339</v>
      </c>
      <c r="S14" s="261">
        <f>F14*$J14*(1+$K14%)</f>
        <v>784.93333333333339</v>
      </c>
      <c r="T14" s="261">
        <f t="shared" ref="T14" si="16">G14*$J14*(1+$K14%)</f>
        <v>784.93333333333339</v>
      </c>
      <c r="U14" s="261">
        <f>H14*$J14*(1+$K14%)</f>
        <v>784.93333333333339</v>
      </c>
      <c r="V14" s="261"/>
      <c r="W14" s="261">
        <f>M14</f>
        <v>1213.7333333333333</v>
      </c>
      <c r="X14" s="261">
        <f>N14</f>
        <v>1213.7333333333333</v>
      </c>
      <c r="Y14" s="261">
        <f t="shared" ref="Y14" si="17">O14</f>
        <v>1213.7333333333333</v>
      </c>
      <c r="Z14" s="261">
        <f>P14</f>
        <v>1213.7333333333333</v>
      </c>
    </row>
    <row r="15" spans="1:26" ht="69.75" customHeight="1">
      <c r="A15" s="247" t="s">
        <v>1203</v>
      </c>
      <c r="B15" s="129">
        <v>10</v>
      </c>
      <c r="C15" s="249" t="s">
        <v>1212</v>
      </c>
      <c r="D15" s="129" t="s">
        <v>235</v>
      </c>
      <c r="E15" s="151">
        <v>9</v>
      </c>
      <c r="F15" s="151">
        <f t="shared" si="11"/>
        <v>9</v>
      </c>
      <c r="G15" s="151">
        <f t="shared" si="7"/>
        <v>9</v>
      </c>
      <c r="H15" s="151">
        <f t="shared" si="1"/>
        <v>9</v>
      </c>
      <c r="I15" s="139">
        <f t="shared" ref="I15:I21" si="18">J15*(1+K15%)+L15</f>
        <v>766.01900000000001</v>
      </c>
      <c r="J15" s="139">
        <v>608.29999999999995</v>
      </c>
      <c r="K15" s="139">
        <v>3</v>
      </c>
      <c r="L15" s="139">
        <v>139.47</v>
      </c>
      <c r="M15" s="139">
        <f t="shared" si="12"/>
        <v>6894.1710000000003</v>
      </c>
      <c r="N15" s="139">
        <f t="shared" si="10"/>
        <v>6894.1710000000003</v>
      </c>
      <c r="O15" s="139">
        <f t="shared" si="4"/>
        <v>6894.1710000000003</v>
      </c>
      <c r="P15" s="139">
        <f t="shared" si="5"/>
        <v>6894.1710000000003</v>
      </c>
      <c r="Q15" s="129"/>
      <c r="R15" s="261"/>
      <c r="S15" s="261"/>
      <c r="T15" s="261"/>
      <c r="U15" s="261"/>
      <c r="V15" s="261"/>
      <c r="W15" s="261"/>
      <c r="X15" s="261"/>
      <c r="Y15" s="261"/>
      <c r="Z15" s="261"/>
    </row>
    <row r="16" spans="1:26" ht="69.75" customHeight="1">
      <c r="A16" s="247" t="s">
        <v>1203</v>
      </c>
      <c r="B16" s="129">
        <v>12</v>
      </c>
      <c r="C16" s="249" t="s">
        <v>1213</v>
      </c>
      <c r="D16" s="129" t="s">
        <v>235</v>
      </c>
      <c r="E16" s="151">
        <v>11</v>
      </c>
      <c r="F16" s="151">
        <f t="shared" si="11"/>
        <v>11</v>
      </c>
      <c r="G16" s="151">
        <f t="shared" ref="G16" si="19">F16</f>
        <v>11</v>
      </c>
      <c r="H16" s="151">
        <f t="shared" si="1"/>
        <v>11</v>
      </c>
      <c r="I16" s="139">
        <f t="shared" si="18"/>
        <v>590.37910000000011</v>
      </c>
      <c r="J16" s="139">
        <v>456.97</v>
      </c>
      <c r="K16" s="139">
        <v>3</v>
      </c>
      <c r="L16" s="139">
        <v>119.7</v>
      </c>
      <c r="M16" s="139">
        <f t="shared" si="12"/>
        <v>6494.1701000000012</v>
      </c>
      <c r="N16" s="139">
        <f t="shared" si="10"/>
        <v>6494.1701000000012</v>
      </c>
      <c r="O16" s="139">
        <f t="shared" si="4"/>
        <v>6494.1701000000012</v>
      </c>
      <c r="P16" s="139">
        <f t="shared" si="5"/>
        <v>6494.1701000000012</v>
      </c>
      <c r="Q16" s="129"/>
      <c r="R16" s="261"/>
      <c r="S16" s="261"/>
      <c r="T16" s="261"/>
      <c r="U16" s="261"/>
      <c r="V16" s="261"/>
      <c r="W16" s="261"/>
      <c r="X16" s="261"/>
      <c r="Y16" s="261"/>
      <c r="Z16" s="261"/>
    </row>
    <row r="17" spans="1:26" ht="69.75" customHeight="1">
      <c r="A17" s="247" t="s">
        <v>1214</v>
      </c>
      <c r="B17" s="129">
        <v>14</v>
      </c>
      <c r="C17" s="249" t="s">
        <v>1215</v>
      </c>
      <c r="D17" s="129" t="s">
        <v>235</v>
      </c>
      <c r="E17" s="151">
        <v>11</v>
      </c>
      <c r="F17" s="151">
        <f t="shared" si="11"/>
        <v>11</v>
      </c>
      <c r="G17" s="151">
        <f t="shared" ref="G17" si="20">F17</f>
        <v>11</v>
      </c>
      <c r="H17" s="151">
        <f t="shared" si="1"/>
        <v>11</v>
      </c>
      <c r="I17" s="139">
        <f t="shared" si="18"/>
        <v>497.66050000000001</v>
      </c>
      <c r="J17" s="139">
        <v>381.35</v>
      </c>
      <c r="K17" s="139">
        <v>3</v>
      </c>
      <c r="L17" s="139">
        <v>104.87</v>
      </c>
      <c r="M17" s="139">
        <f t="shared" si="12"/>
        <v>5474.2655000000004</v>
      </c>
      <c r="N17" s="139">
        <f t="shared" si="10"/>
        <v>5474.2655000000004</v>
      </c>
      <c r="O17" s="139">
        <f t="shared" si="4"/>
        <v>5474.2655000000004</v>
      </c>
      <c r="P17" s="139">
        <f t="shared" si="5"/>
        <v>5474.2655000000004</v>
      </c>
      <c r="Q17" s="129"/>
      <c r="R17" s="261"/>
      <c r="S17" s="261"/>
      <c r="T17" s="261"/>
      <c r="U17" s="261"/>
      <c r="V17" s="261"/>
      <c r="W17" s="261"/>
      <c r="X17" s="261"/>
      <c r="Y17" s="261"/>
      <c r="Z17" s="261"/>
    </row>
    <row r="18" spans="1:26" ht="69.75" customHeight="1">
      <c r="A18" s="247" t="s">
        <v>1214</v>
      </c>
      <c r="B18" s="129">
        <v>14</v>
      </c>
      <c r="C18" s="249" t="s">
        <v>1216</v>
      </c>
      <c r="D18" s="129" t="s">
        <v>235</v>
      </c>
      <c r="E18" s="151">
        <v>11</v>
      </c>
      <c r="F18" s="151">
        <f t="shared" si="11"/>
        <v>11</v>
      </c>
      <c r="G18" s="151">
        <f t="shared" ref="G18" si="21">F18</f>
        <v>11</v>
      </c>
      <c r="H18" s="151">
        <f t="shared" si="1"/>
        <v>11</v>
      </c>
      <c r="I18" s="139">
        <f t="shared" si="18"/>
        <v>146.3115</v>
      </c>
      <c r="J18" s="139">
        <v>106.05</v>
      </c>
      <c r="K18" s="139">
        <v>3</v>
      </c>
      <c r="L18" s="139">
        <v>37.08</v>
      </c>
      <c r="M18" s="139">
        <f t="shared" si="12"/>
        <v>1609.4265</v>
      </c>
      <c r="N18" s="139">
        <f t="shared" si="10"/>
        <v>1609.4265</v>
      </c>
      <c r="O18" s="139">
        <f t="shared" si="4"/>
        <v>1609.4265</v>
      </c>
      <c r="P18" s="139">
        <f t="shared" si="5"/>
        <v>1609.4265</v>
      </c>
      <c r="Q18" s="129"/>
      <c r="R18" s="261"/>
      <c r="S18" s="261"/>
      <c r="T18" s="261"/>
      <c r="U18" s="261"/>
      <c r="V18" s="261"/>
      <c r="W18" s="261"/>
      <c r="X18" s="261"/>
      <c r="Y18" s="261"/>
      <c r="Z18" s="261"/>
    </row>
    <row r="19" spans="1:26" ht="69.75" customHeight="1">
      <c r="A19" s="247" t="s">
        <v>1214</v>
      </c>
      <c r="B19" s="129">
        <v>14</v>
      </c>
      <c r="C19" s="249" t="s">
        <v>1217</v>
      </c>
      <c r="D19" s="129" t="s">
        <v>235</v>
      </c>
      <c r="E19" s="151">
        <v>11</v>
      </c>
      <c r="F19" s="151">
        <f t="shared" si="11"/>
        <v>11</v>
      </c>
      <c r="G19" s="151">
        <f t="shared" ref="G19" si="22">F19</f>
        <v>11</v>
      </c>
      <c r="H19" s="151">
        <f t="shared" si="1"/>
        <v>11</v>
      </c>
      <c r="I19" s="139">
        <f t="shared" si="18"/>
        <v>132.97750000000002</v>
      </c>
      <c r="J19" s="139">
        <v>86.25</v>
      </c>
      <c r="K19" s="139">
        <v>3</v>
      </c>
      <c r="L19" s="139">
        <v>44.14</v>
      </c>
      <c r="M19" s="139">
        <f t="shared" si="12"/>
        <v>1462.7525000000003</v>
      </c>
      <c r="N19" s="139">
        <f t="shared" si="10"/>
        <v>1462.7525000000003</v>
      </c>
      <c r="O19" s="139">
        <f t="shared" si="4"/>
        <v>1462.7525000000003</v>
      </c>
      <c r="P19" s="139">
        <f t="shared" si="5"/>
        <v>1462.7525000000003</v>
      </c>
      <c r="Q19" s="129"/>
      <c r="R19" s="261"/>
      <c r="S19" s="261"/>
      <c r="T19" s="261"/>
      <c r="U19" s="261"/>
      <c r="V19" s="261"/>
      <c r="W19" s="261"/>
      <c r="X19" s="261"/>
      <c r="Y19" s="261"/>
      <c r="Z19" s="261"/>
    </row>
    <row r="20" spans="1:26" ht="67.5" customHeight="1">
      <c r="A20" s="247" t="s">
        <v>1203</v>
      </c>
      <c r="B20" s="129">
        <v>16</v>
      </c>
      <c r="C20" s="249" t="s">
        <v>1218</v>
      </c>
      <c r="D20" s="129" t="s">
        <v>235</v>
      </c>
      <c r="E20" s="151">
        <v>10</v>
      </c>
      <c r="F20" s="151">
        <f t="shared" si="11"/>
        <v>10</v>
      </c>
      <c r="G20" s="151">
        <f t="shared" ref="G20:G30" si="23">F20</f>
        <v>10</v>
      </c>
      <c r="H20" s="151">
        <f t="shared" si="1"/>
        <v>10</v>
      </c>
      <c r="I20" s="139">
        <f t="shared" si="18"/>
        <v>162.22499999999999</v>
      </c>
      <c r="J20" s="139">
        <v>137.5</v>
      </c>
      <c r="K20" s="139">
        <v>3</v>
      </c>
      <c r="L20" s="139">
        <v>20.6</v>
      </c>
      <c r="M20" s="139">
        <f t="shared" si="12"/>
        <v>1622.25</v>
      </c>
      <c r="N20" s="139">
        <f t="shared" si="10"/>
        <v>1622.25</v>
      </c>
      <c r="O20" s="139">
        <f t="shared" si="4"/>
        <v>1622.25</v>
      </c>
      <c r="P20" s="139">
        <f t="shared" si="5"/>
        <v>1622.25</v>
      </c>
      <c r="Q20" s="129"/>
      <c r="R20" s="261"/>
      <c r="S20" s="261"/>
      <c r="T20" s="261"/>
      <c r="U20" s="261"/>
      <c r="V20" s="261"/>
      <c r="W20" s="261"/>
      <c r="X20" s="261"/>
      <c r="Y20" s="261"/>
      <c r="Z20" s="261"/>
    </row>
    <row r="21" spans="1:26" ht="75" customHeight="1">
      <c r="A21" s="247" t="s">
        <v>1203</v>
      </c>
      <c r="B21" s="129">
        <v>18</v>
      </c>
      <c r="C21" s="249" t="s">
        <v>1219</v>
      </c>
      <c r="D21" s="129" t="s">
        <v>235</v>
      </c>
      <c r="E21" s="151">
        <v>12</v>
      </c>
      <c r="F21" s="151">
        <f t="shared" si="11"/>
        <v>12</v>
      </c>
      <c r="G21" s="151">
        <f t="shared" si="23"/>
        <v>12</v>
      </c>
      <c r="H21" s="151">
        <f t="shared" si="1"/>
        <v>12</v>
      </c>
      <c r="I21" s="139">
        <f t="shared" si="18"/>
        <v>309.44000000000005</v>
      </c>
      <c r="J21" s="139">
        <v>249</v>
      </c>
      <c r="K21" s="139">
        <v>3</v>
      </c>
      <c r="L21" s="139">
        <v>52.97</v>
      </c>
      <c r="M21" s="139">
        <f t="shared" si="12"/>
        <v>3713.2800000000007</v>
      </c>
      <c r="N21" s="139">
        <f t="shared" si="10"/>
        <v>3713.2800000000007</v>
      </c>
      <c r="O21" s="139">
        <f t="shared" si="4"/>
        <v>3713.2800000000007</v>
      </c>
      <c r="P21" s="139">
        <f t="shared" si="5"/>
        <v>3713.2800000000007</v>
      </c>
      <c r="Q21" s="129"/>
      <c r="R21" s="261"/>
      <c r="S21" s="261"/>
      <c r="T21" s="261"/>
      <c r="U21" s="261"/>
      <c r="V21" s="261"/>
      <c r="W21" s="261"/>
      <c r="X21" s="261"/>
      <c r="Y21" s="261"/>
      <c r="Z21" s="261"/>
    </row>
    <row r="22" spans="1:26" ht="18" customHeight="1">
      <c r="A22" s="247"/>
      <c r="B22" s="129"/>
      <c r="C22" s="250" t="s">
        <v>523</v>
      </c>
      <c r="D22" s="129"/>
      <c r="E22" s="151">
        <v>15</v>
      </c>
      <c r="F22" s="151">
        <f t="shared" si="11"/>
        <v>15</v>
      </c>
      <c r="G22" s="151">
        <f t="shared" si="23"/>
        <v>15</v>
      </c>
      <c r="H22" s="151">
        <f t="shared" si="1"/>
        <v>15</v>
      </c>
      <c r="I22" s="151">
        <f t="shared" ref="I22" si="24">J22*(1+K22%)+L22</f>
        <v>0</v>
      </c>
      <c r="J22" s="151"/>
      <c r="K22" s="151"/>
      <c r="L22" s="151"/>
      <c r="M22" s="151">
        <f t="shared" si="12"/>
        <v>0</v>
      </c>
      <c r="N22" s="151">
        <f t="shared" si="10"/>
        <v>0</v>
      </c>
      <c r="O22" s="151">
        <f t="shared" si="4"/>
        <v>0</v>
      </c>
      <c r="P22" s="151">
        <f t="shared" si="5"/>
        <v>0</v>
      </c>
      <c r="Q22" s="165"/>
    </row>
    <row r="23" spans="1:26" ht="18" customHeight="1">
      <c r="B23" s="165"/>
      <c r="C23" s="251"/>
      <c r="D23" s="165"/>
      <c r="E23" s="151">
        <v>16</v>
      </c>
      <c r="F23" s="151">
        <f t="shared" si="11"/>
        <v>16</v>
      </c>
      <c r="G23" s="151">
        <f t="shared" si="23"/>
        <v>16</v>
      </c>
      <c r="H23" s="151">
        <f t="shared" si="1"/>
        <v>16</v>
      </c>
      <c r="I23" s="151">
        <f t="shared" ref="I23:I31" si="25">J23*(1+K23%)+L23</f>
        <v>0</v>
      </c>
      <c r="J23" s="151"/>
      <c r="K23" s="151"/>
      <c r="L23" s="151"/>
      <c r="M23" s="151">
        <f t="shared" si="12"/>
        <v>0</v>
      </c>
      <c r="N23" s="151">
        <f t="shared" ref="N23" si="26">F23*$I23</f>
        <v>0</v>
      </c>
      <c r="O23" s="151">
        <f t="shared" ref="O23" si="27">G23*$I23</f>
        <v>0</v>
      </c>
      <c r="P23" s="151">
        <f t="shared" ref="P23" si="28">H23*$I23</f>
        <v>0</v>
      </c>
      <c r="Q23" s="165"/>
    </row>
    <row r="24" spans="1:26" ht="18" customHeight="1">
      <c r="B24" s="165"/>
      <c r="C24" s="251"/>
      <c r="D24" s="165"/>
      <c r="E24" s="151">
        <v>17</v>
      </c>
      <c r="F24" s="151">
        <f t="shared" si="11"/>
        <v>17</v>
      </c>
      <c r="G24" s="151">
        <f t="shared" si="23"/>
        <v>17</v>
      </c>
      <c r="H24" s="151">
        <f t="shared" si="1"/>
        <v>17</v>
      </c>
      <c r="I24" s="151">
        <f t="shared" si="25"/>
        <v>0</v>
      </c>
      <c r="J24" s="151"/>
      <c r="K24" s="151"/>
      <c r="L24" s="151"/>
      <c r="M24" s="151">
        <f t="shared" si="12"/>
        <v>0</v>
      </c>
      <c r="N24" s="151">
        <f t="shared" ref="N24:P31" si="29">F24*$I24</f>
        <v>0</v>
      </c>
      <c r="O24" s="151">
        <f t="shared" si="29"/>
        <v>0</v>
      </c>
      <c r="P24" s="151">
        <f t="shared" si="29"/>
        <v>0</v>
      </c>
      <c r="Q24" s="165"/>
    </row>
    <row r="25" spans="1:26" ht="18" customHeight="1">
      <c r="B25" s="165"/>
      <c r="C25" s="251"/>
      <c r="D25" s="165"/>
      <c r="E25" s="151">
        <v>18</v>
      </c>
      <c r="F25" s="151">
        <f t="shared" si="11"/>
        <v>18</v>
      </c>
      <c r="G25" s="151">
        <f t="shared" si="23"/>
        <v>18</v>
      </c>
      <c r="H25" s="151">
        <f t="shared" si="1"/>
        <v>18</v>
      </c>
      <c r="I25" s="151">
        <f t="shared" si="25"/>
        <v>0</v>
      </c>
      <c r="J25" s="151"/>
      <c r="K25" s="151"/>
      <c r="L25" s="151"/>
      <c r="M25" s="151">
        <f t="shared" si="12"/>
        <v>0</v>
      </c>
      <c r="N25" s="151">
        <f t="shared" si="29"/>
        <v>0</v>
      </c>
      <c r="O25" s="151">
        <f t="shared" si="29"/>
        <v>0</v>
      </c>
      <c r="P25" s="151">
        <f t="shared" si="29"/>
        <v>0</v>
      </c>
      <c r="Q25" s="165"/>
    </row>
    <row r="26" spans="1:26" ht="18" customHeight="1">
      <c r="B26" s="165"/>
      <c r="C26" s="251"/>
      <c r="D26" s="165"/>
      <c r="E26" s="151">
        <v>19</v>
      </c>
      <c r="F26" s="151">
        <f t="shared" si="11"/>
        <v>19</v>
      </c>
      <c r="G26" s="151">
        <f t="shared" si="23"/>
        <v>19</v>
      </c>
      <c r="H26" s="151">
        <f t="shared" si="1"/>
        <v>19</v>
      </c>
      <c r="I26" s="151">
        <f t="shared" si="25"/>
        <v>0</v>
      </c>
      <c r="J26" s="151"/>
      <c r="K26" s="151"/>
      <c r="L26" s="151"/>
      <c r="M26" s="151">
        <f t="shared" si="12"/>
        <v>0</v>
      </c>
      <c r="N26" s="151">
        <f t="shared" si="29"/>
        <v>0</v>
      </c>
      <c r="O26" s="151">
        <f t="shared" si="29"/>
        <v>0</v>
      </c>
      <c r="P26" s="151">
        <f t="shared" si="29"/>
        <v>0</v>
      </c>
      <c r="Q26" s="165"/>
    </row>
    <row r="27" spans="1:26" ht="18" customHeight="1">
      <c r="B27" s="165"/>
      <c r="C27" s="251"/>
      <c r="D27" s="165"/>
      <c r="E27" s="151">
        <v>20</v>
      </c>
      <c r="F27" s="151">
        <f t="shared" si="11"/>
        <v>20</v>
      </c>
      <c r="G27" s="151">
        <f t="shared" si="23"/>
        <v>20</v>
      </c>
      <c r="H27" s="151">
        <f t="shared" si="1"/>
        <v>20</v>
      </c>
      <c r="I27" s="151">
        <f t="shared" si="25"/>
        <v>0</v>
      </c>
      <c r="J27" s="151"/>
      <c r="K27" s="151"/>
      <c r="L27" s="151"/>
      <c r="M27" s="151">
        <f t="shared" si="12"/>
        <v>0</v>
      </c>
      <c r="N27" s="151">
        <f t="shared" si="29"/>
        <v>0</v>
      </c>
      <c r="O27" s="151">
        <f t="shared" si="29"/>
        <v>0</v>
      </c>
      <c r="P27" s="151">
        <f t="shared" si="29"/>
        <v>0</v>
      </c>
      <c r="Q27" s="165"/>
    </row>
    <row r="28" spans="1:26" ht="18" customHeight="1">
      <c r="B28" s="165"/>
      <c r="C28" s="251"/>
      <c r="D28" s="165"/>
      <c r="E28" s="151">
        <v>21</v>
      </c>
      <c r="F28" s="151">
        <f t="shared" si="11"/>
        <v>21</v>
      </c>
      <c r="G28" s="151">
        <f t="shared" si="23"/>
        <v>21</v>
      </c>
      <c r="H28" s="151">
        <f t="shared" si="1"/>
        <v>21</v>
      </c>
      <c r="I28" s="151">
        <f t="shared" si="25"/>
        <v>0</v>
      </c>
      <c r="J28" s="151"/>
      <c r="K28" s="151"/>
      <c r="L28" s="151"/>
      <c r="M28" s="151">
        <f t="shared" si="12"/>
        <v>0</v>
      </c>
      <c r="N28" s="151">
        <f t="shared" si="29"/>
        <v>0</v>
      </c>
      <c r="O28" s="151">
        <f t="shared" si="29"/>
        <v>0</v>
      </c>
      <c r="P28" s="151">
        <f t="shared" si="29"/>
        <v>0</v>
      </c>
      <c r="Q28" s="165"/>
    </row>
    <row r="29" spans="1:26" ht="18" customHeight="1">
      <c r="B29" s="165"/>
      <c r="C29" s="251"/>
      <c r="D29" s="165"/>
      <c r="E29" s="151">
        <v>22</v>
      </c>
      <c r="F29" s="151">
        <f t="shared" si="11"/>
        <v>22</v>
      </c>
      <c r="G29" s="151">
        <f t="shared" si="23"/>
        <v>22</v>
      </c>
      <c r="H29" s="151">
        <f t="shared" si="1"/>
        <v>22</v>
      </c>
      <c r="I29" s="151">
        <f t="shared" si="25"/>
        <v>0</v>
      </c>
      <c r="J29" s="151"/>
      <c r="K29" s="151"/>
      <c r="L29" s="151"/>
      <c r="M29" s="151">
        <f t="shared" si="12"/>
        <v>0</v>
      </c>
      <c r="N29" s="151">
        <f t="shared" si="29"/>
        <v>0</v>
      </c>
      <c r="O29" s="151">
        <f t="shared" si="29"/>
        <v>0</v>
      </c>
      <c r="P29" s="151">
        <f t="shared" si="29"/>
        <v>0</v>
      </c>
      <c r="Q29" s="165"/>
    </row>
    <row r="30" spans="1:26" ht="18" customHeight="1">
      <c r="B30" s="165"/>
      <c r="C30" s="251"/>
      <c r="D30" s="165"/>
      <c r="E30" s="151">
        <v>23</v>
      </c>
      <c r="F30" s="151">
        <f t="shared" si="11"/>
        <v>23</v>
      </c>
      <c r="G30" s="151">
        <f t="shared" si="23"/>
        <v>23</v>
      </c>
      <c r="H30" s="151">
        <f t="shared" si="1"/>
        <v>23</v>
      </c>
      <c r="I30" s="151">
        <f t="shared" si="25"/>
        <v>0</v>
      </c>
      <c r="J30" s="151"/>
      <c r="K30" s="151"/>
      <c r="L30" s="151"/>
      <c r="M30" s="151">
        <f t="shared" si="12"/>
        <v>0</v>
      </c>
      <c r="N30" s="151">
        <f t="shared" si="29"/>
        <v>0</v>
      </c>
      <c r="O30" s="151">
        <f t="shared" si="29"/>
        <v>0</v>
      </c>
      <c r="P30" s="151">
        <f t="shared" si="29"/>
        <v>0</v>
      </c>
      <c r="Q30" s="165"/>
    </row>
    <row r="31" spans="1:26" ht="18" customHeight="1">
      <c r="A31" s="247"/>
      <c r="B31" s="129"/>
      <c r="C31" s="249"/>
      <c r="D31" s="129"/>
      <c r="E31" s="139"/>
      <c r="F31" s="139"/>
      <c r="G31" s="139"/>
      <c r="H31" s="139"/>
      <c r="I31" s="139">
        <f t="shared" si="25"/>
        <v>0</v>
      </c>
      <c r="J31" s="139"/>
      <c r="K31" s="139"/>
      <c r="L31" s="139"/>
      <c r="M31" s="139">
        <f t="shared" si="12"/>
        <v>0</v>
      </c>
      <c r="N31" s="139">
        <f t="shared" si="29"/>
        <v>0</v>
      </c>
      <c r="O31" s="139">
        <f t="shared" si="29"/>
        <v>0</v>
      </c>
      <c r="P31" s="139">
        <f t="shared" si="29"/>
        <v>0</v>
      </c>
      <c r="Q31" s="129"/>
    </row>
    <row r="32" spans="1:26" ht="18" customHeight="1">
      <c r="A32" s="247"/>
      <c r="B32" s="129"/>
      <c r="C32" s="249" t="s">
        <v>157</v>
      </c>
      <c r="D32" s="129"/>
      <c r="E32" s="252"/>
      <c r="F32" s="252"/>
      <c r="G32" s="252"/>
      <c r="H32" s="252"/>
      <c r="I32" s="255"/>
      <c r="J32" s="256"/>
      <c r="K32" s="256"/>
      <c r="L32" s="255"/>
      <c r="M32" s="139">
        <f>SUM(M7:M31)</f>
        <v>35380.008933333338</v>
      </c>
      <c r="N32" s="139">
        <f>SUM(N7:N31)</f>
        <v>35380.008933333338</v>
      </c>
      <c r="O32" s="139">
        <f t="shared" ref="O32" si="30">SUM(O7:O31)</f>
        <v>35380.008933333338</v>
      </c>
      <c r="P32" s="139">
        <f>SUM(P7:P31)</f>
        <v>35380.008933333338</v>
      </c>
      <c r="Q32" s="129"/>
    </row>
    <row r="33" spans="1:27">
      <c r="A33" s="247"/>
      <c r="B33" s="129"/>
      <c r="C33" s="249" t="s">
        <v>548</v>
      </c>
      <c r="D33" s="253"/>
      <c r="E33" s="254"/>
      <c r="F33" s="254"/>
      <c r="G33" s="254"/>
      <c r="H33" s="254"/>
      <c r="I33" s="252"/>
      <c r="J33" s="253"/>
      <c r="K33" s="253"/>
      <c r="L33" s="255"/>
      <c r="M33" s="257"/>
      <c r="N33" s="257"/>
      <c r="O33" s="257"/>
      <c r="P33" s="257"/>
      <c r="Q33" s="129"/>
    </row>
    <row r="34" spans="1:27">
      <c r="A34" s="247"/>
      <c r="B34" s="129" t="s">
        <v>133</v>
      </c>
      <c r="C34" s="249" t="s">
        <v>549</v>
      </c>
      <c r="D34" s="253"/>
      <c r="E34" s="254"/>
      <c r="F34" s="254"/>
      <c r="G34" s="254"/>
      <c r="H34" s="254"/>
      <c r="I34" s="129"/>
      <c r="J34" s="253"/>
      <c r="K34" s="253"/>
      <c r="L34" s="255"/>
      <c r="M34" s="257"/>
      <c r="N34" s="257"/>
      <c r="O34" s="257"/>
      <c r="P34" s="257"/>
      <c r="Q34" s="129"/>
    </row>
    <row r="35" spans="1:27">
      <c r="A35" s="247"/>
      <c r="B35" s="129" t="s">
        <v>140</v>
      </c>
      <c r="C35" s="249" t="s">
        <v>551</v>
      </c>
      <c r="D35" s="253"/>
      <c r="E35" s="254"/>
      <c r="F35" s="254"/>
      <c r="G35" s="254"/>
      <c r="H35" s="254"/>
      <c r="I35" s="129"/>
      <c r="J35" s="253"/>
      <c r="K35" s="253"/>
      <c r="L35" s="255"/>
      <c r="M35" s="139">
        <f>M32-M42</f>
        <v>33261.835600000006</v>
      </c>
      <c r="N35" s="139">
        <f t="shared" ref="N35" si="31">N32-N42</f>
        <v>33261.835600000006</v>
      </c>
      <c r="O35" s="139">
        <f>O32-O42</f>
        <v>33261.835600000006</v>
      </c>
      <c r="P35" s="139">
        <f>P32-P42</f>
        <v>33261.835600000006</v>
      </c>
      <c r="Q35" s="129"/>
    </row>
    <row r="36" spans="1:27">
      <c r="A36" s="247"/>
      <c r="B36" s="129" t="s">
        <v>552</v>
      </c>
      <c r="C36" s="249" t="s">
        <v>553</v>
      </c>
      <c r="D36" s="253"/>
      <c r="E36" s="254"/>
      <c r="F36" s="254"/>
      <c r="G36" s="254"/>
      <c r="H36" s="254"/>
      <c r="I36" s="258">
        <v>6.5000000000000002E-2</v>
      </c>
      <c r="J36" s="253"/>
      <c r="K36" s="253"/>
      <c r="L36" s="255"/>
      <c r="M36" s="139">
        <f>M35*$I$36</f>
        <v>2162.0193140000006</v>
      </c>
      <c r="N36" s="139">
        <f t="shared" ref="N36" si="32">N35*$I$36</f>
        <v>2162.0193140000006</v>
      </c>
      <c r="O36" s="139">
        <f>O35*$I$36</f>
        <v>2162.0193140000006</v>
      </c>
      <c r="P36" s="139">
        <f>P35*$I$36</f>
        <v>2162.0193140000006</v>
      </c>
      <c r="Q36" s="129"/>
    </row>
    <row r="37" spans="1:27">
      <c r="A37" s="247"/>
      <c r="B37" s="129" t="s">
        <v>554</v>
      </c>
      <c r="C37" s="249" t="s">
        <v>555</v>
      </c>
      <c r="D37" s="253"/>
      <c r="E37" s="254"/>
      <c r="F37" s="254"/>
      <c r="G37" s="254"/>
      <c r="H37" s="254"/>
      <c r="I37" s="258">
        <v>0.1</v>
      </c>
      <c r="J37" s="253"/>
      <c r="K37" s="253"/>
      <c r="L37" s="255"/>
      <c r="M37" s="139">
        <f>M35*$I$37</f>
        <v>3326.1835600000009</v>
      </c>
      <c r="N37" s="139">
        <f t="shared" ref="N37" si="33">N35*$I$37</f>
        <v>3326.1835600000009</v>
      </c>
      <c r="O37" s="139">
        <f>O35*$I$37</f>
        <v>3326.1835600000009</v>
      </c>
      <c r="P37" s="139">
        <f>P35*$I$37</f>
        <v>3326.1835600000009</v>
      </c>
      <c r="Q37" s="129"/>
    </row>
    <row r="38" spans="1:27" ht="57" customHeight="1">
      <c r="A38" s="247"/>
      <c r="B38" s="129" t="s">
        <v>556</v>
      </c>
      <c r="C38" s="196" t="s">
        <v>557</v>
      </c>
      <c r="D38" s="253"/>
      <c r="E38" s="254"/>
      <c r="F38" s="254"/>
      <c r="G38" s="254"/>
      <c r="H38" s="254"/>
      <c r="I38" s="258">
        <f>'附件4-1套内1'!M319</f>
        <v>0</v>
      </c>
      <c r="J38" s="253"/>
      <c r="K38" s="253"/>
      <c r="L38" s="255"/>
      <c r="M38" s="139">
        <f>M35*$I$38</f>
        <v>0</v>
      </c>
      <c r="N38" s="139">
        <f t="shared" ref="N38" si="34">N35*$I$38</f>
        <v>0</v>
      </c>
      <c r="O38" s="139">
        <f>O35*$I$38</f>
        <v>0</v>
      </c>
      <c r="P38" s="139">
        <f>P35*$I$38</f>
        <v>0</v>
      </c>
      <c r="Q38" s="129"/>
    </row>
    <row r="39" spans="1:27">
      <c r="A39" s="247"/>
      <c r="B39" s="129" t="s">
        <v>558</v>
      </c>
      <c r="C39" s="196" t="s">
        <v>559</v>
      </c>
      <c r="D39" s="253"/>
      <c r="E39" s="254"/>
      <c r="F39" s="254"/>
      <c r="G39" s="254"/>
      <c r="H39" s="254"/>
      <c r="I39" s="259">
        <f>'附件4-1套内1'!M320</f>
        <v>3.4770000000000002E-2</v>
      </c>
      <c r="J39" s="253"/>
      <c r="K39" s="253"/>
      <c r="L39" s="255"/>
      <c r="M39" s="139">
        <f>SUM(M35:M38)*$I$39</f>
        <v>1347.3388377409801</v>
      </c>
      <c r="N39" s="139">
        <f t="shared" ref="N39" si="35">SUM(N35:N38)*$I$39</f>
        <v>1347.3388377409801</v>
      </c>
      <c r="O39" s="139">
        <f>SUM(O35:O38)*$I$39</f>
        <v>1347.3388377409801</v>
      </c>
      <c r="P39" s="139">
        <f>SUM(P35:P38)*$I$39</f>
        <v>1347.3388377409801</v>
      </c>
      <c r="Q39" s="129"/>
    </row>
    <row r="40" spans="1:27">
      <c r="A40" s="247"/>
      <c r="B40" s="129" t="s">
        <v>560</v>
      </c>
      <c r="C40" s="196" t="s">
        <v>561</v>
      </c>
      <c r="D40" s="253"/>
      <c r="E40" s="254"/>
      <c r="F40" s="254"/>
      <c r="G40" s="254"/>
      <c r="H40" s="254"/>
      <c r="I40" s="258"/>
      <c r="J40" s="253"/>
      <c r="K40" s="253"/>
      <c r="L40" s="255"/>
      <c r="M40" s="139">
        <f>SUM(M35:M39)</f>
        <v>40097.37731174098</v>
      </c>
      <c r="N40" s="139">
        <f t="shared" ref="N40" si="36">SUM(N35:N39)</f>
        <v>40097.37731174098</v>
      </c>
      <c r="O40" s="139">
        <f>SUM(O35:O39)</f>
        <v>40097.37731174098</v>
      </c>
      <c r="P40" s="139">
        <f>SUM(P35:P39)</f>
        <v>40097.37731174098</v>
      </c>
      <c r="Q40" s="129"/>
    </row>
    <row r="41" spans="1:27" ht="22.5">
      <c r="A41" s="247"/>
      <c r="B41" s="129" t="s">
        <v>246</v>
      </c>
      <c r="C41" s="196" t="s">
        <v>562</v>
      </c>
      <c r="D41" s="253"/>
      <c r="E41" s="254"/>
      <c r="F41" s="254"/>
      <c r="G41" s="254"/>
      <c r="H41" s="254"/>
      <c r="I41" s="258"/>
      <c r="J41" s="253"/>
      <c r="K41" s="253"/>
      <c r="L41" s="255"/>
      <c r="M41" s="139"/>
      <c r="N41" s="139"/>
      <c r="O41" s="139"/>
      <c r="P41" s="139"/>
      <c r="Q41" s="129"/>
      <c r="R41" s="261"/>
      <c r="S41" s="261"/>
      <c r="T41" s="261"/>
      <c r="U41" s="261"/>
      <c r="V41" s="261"/>
      <c r="W41" s="261"/>
      <c r="X41" s="261"/>
      <c r="Y41" s="261"/>
      <c r="Z41" s="261"/>
    </row>
    <row r="42" spans="1:27">
      <c r="A42" s="247"/>
      <c r="B42" s="129" t="s">
        <v>563</v>
      </c>
      <c r="C42" s="196" t="s">
        <v>551</v>
      </c>
      <c r="D42" s="253"/>
      <c r="E42" s="254"/>
      <c r="F42" s="254"/>
      <c r="G42" s="254"/>
      <c r="H42" s="254"/>
      <c r="I42" s="258"/>
      <c r="J42" s="253"/>
      <c r="K42" s="253"/>
      <c r="L42" s="255"/>
      <c r="M42" s="139">
        <f>W42</f>
        <v>2118.1733333333332</v>
      </c>
      <c r="N42" s="139">
        <f t="shared" ref="N42" si="37">X42</f>
        <v>2118.1733333333332</v>
      </c>
      <c r="O42" s="139">
        <f>Y42</f>
        <v>2118.1733333333332</v>
      </c>
      <c r="P42" s="139">
        <f>Z42</f>
        <v>2118.1733333333332</v>
      </c>
      <c r="Q42" s="129"/>
      <c r="R42" s="261">
        <f>SUM(R7:R41)</f>
        <v>1572.7333333333333</v>
      </c>
      <c r="S42" s="261">
        <f t="shared" ref="S42" si="38">SUM(S7:S41)</f>
        <v>1572.7333333333333</v>
      </c>
      <c r="T42" s="261">
        <f t="shared" ref="T42" si="39">SUM(T7:T41)</f>
        <v>1572.7333333333333</v>
      </c>
      <c r="U42" s="261">
        <f>SUM(U7:U41)</f>
        <v>1572.7333333333333</v>
      </c>
      <c r="V42" s="261"/>
      <c r="W42" s="261">
        <f>SUM(W7:W41)</f>
        <v>2118.1733333333332</v>
      </c>
      <c r="X42" s="261">
        <f>SUM(X7:X41)</f>
        <v>2118.1733333333332</v>
      </c>
      <c r="Y42" s="261">
        <f t="shared" ref="Y42" si="40">SUM(Y7:Y41)</f>
        <v>2118.1733333333332</v>
      </c>
      <c r="Z42" s="261">
        <f>SUM(Z7:Z41)</f>
        <v>2118.1733333333332</v>
      </c>
      <c r="AA42" s="245">
        <f>SUM(AA7:AA41)</f>
        <v>0</v>
      </c>
    </row>
    <row r="43" spans="1:27">
      <c r="A43" s="247"/>
      <c r="B43" s="129" t="s">
        <v>210</v>
      </c>
      <c r="C43" s="196" t="s">
        <v>565</v>
      </c>
      <c r="D43" s="253"/>
      <c r="E43" s="254"/>
      <c r="F43" s="254"/>
      <c r="G43" s="254"/>
      <c r="H43" s="254"/>
      <c r="I43" s="258"/>
      <c r="J43" s="253"/>
      <c r="K43" s="253"/>
      <c r="L43" s="255"/>
      <c r="M43" s="139">
        <f>R42</f>
        <v>1572.7333333333333</v>
      </c>
      <c r="N43" s="139">
        <f t="shared" ref="N43" si="41">S42</f>
        <v>1572.7333333333333</v>
      </c>
      <c r="O43" s="139">
        <f>T42</f>
        <v>1572.7333333333333</v>
      </c>
      <c r="P43" s="139">
        <f>U42</f>
        <v>1572.7333333333333</v>
      </c>
      <c r="Q43" s="129"/>
    </row>
    <row r="44" spans="1:27">
      <c r="A44" s="247"/>
      <c r="B44" s="129" t="s">
        <v>566</v>
      </c>
      <c r="C44" s="196" t="s">
        <v>567</v>
      </c>
      <c r="D44" s="253"/>
      <c r="E44" s="254"/>
      <c r="F44" s="254"/>
      <c r="G44" s="254"/>
      <c r="H44" s="254"/>
      <c r="I44" s="258">
        <v>0.1</v>
      </c>
      <c r="J44" s="253"/>
      <c r="K44" s="253"/>
      <c r="L44" s="255"/>
      <c r="M44" s="139">
        <f>(M42-M43)*$I$44</f>
        <v>54.543999999999983</v>
      </c>
      <c r="N44" s="139">
        <f t="shared" ref="N44" si="42">(N42-N43)*$I$44</f>
        <v>54.543999999999983</v>
      </c>
      <c r="O44" s="139">
        <f>(O42-O43)*$I$44</f>
        <v>54.543999999999983</v>
      </c>
      <c r="P44" s="139">
        <f>(P42-P43)*$I$44</f>
        <v>54.543999999999983</v>
      </c>
      <c r="Q44" s="129"/>
    </row>
    <row r="45" spans="1:27">
      <c r="A45" s="247"/>
      <c r="B45" s="129" t="s">
        <v>568</v>
      </c>
      <c r="C45" s="196" t="s">
        <v>569</v>
      </c>
      <c r="D45" s="253"/>
      <c r="E45" s="254"/>
      <c r="F45" s="254"/>
      <c r="G45" s="254"/>
      <c r="H45" s="254"/>
      <c r="I45" s="258">
        <v>0.1</v>
      </c>
      <c r="J45" s="253"/>
      <c r="K45" s="253"/>
      <c r="L45" s="255"/>
      <c r="M45" s="139">
        <f>M43*$I$45</f>
        <v>157.27333333333334</v>
      </c>
      <c r="N45" s="139">
        <f t="shared" ref="N45" si="43">N43*$I$45</f>
        <v>157.27333333333334</v>
      </c>
      <c r="O45" s="139">
        <f>O43*$I$45</f>
        <v>157.27333333333334</v>
      </c>
      <c r="P45" s="139">
        <f>P43*$I$45</f>
        <v>157.27333333333334</v>
      </c>
      <c r="Q45" s="129"/>
    </row>
    <row r="46" spans="1:27">
      <c r="A46" s="247"/>
      <c r="B46" s="129" t="s">
        <v>570</v>
      </c>
      <c r="C46" s="196" t="s">
        <v>571</v>
      </c>
      <c r="D46" s="253"/>
      <c r="E46" s="254"/>
      <c r="F46" s="254"/>
      <c r="G46" s="254"/>
      <c r="H46" s="254"/>
      <c r="I46" s="258">
        <v>0.1</v>
      </c>
      <c r="J46" s="253"/>
      <c r="K46" s="253"/>
      <c r="L46" s="255"/>
      <c r="M46" s="139">
        <f>(M42-M43)*$I$46</f>
        <v>54.543999999999983</v>
      </c>
      <c r="N46" s="139">
        <f t="shared" ref="N46" si="44">(N42-N43)*$I$46</f>
        <v>54.543999999999983</v>
      </c>
      <c r="O46" s="139">
        <f>(O42-O43)*$I$46</f>
        <v>54.543999999999983</v>
      </c>
      <c r="P46" s="139">
        <f>(P42-P43)*$I$46</f>
        <v>54.543999999999983</v>
      </c>
      <c r="Q46" s="129"/>
    </row>
    <row r="47" spans="1:27" ht="47.25" customHeight="1">
      <c r="A47" s="247"/>
      <c r="B47" s="129" t="s">
        <v>573</v>
      </c>
      <c r="C47" s="196" t="s">
        <v>574</v>
      </c>
      <c r="D47" s="253"/>
      <c r="E47" s="254"/>
      <c r="F47" s="254"/>
      <c r="G47" s="254"/>
      <c r="H47" s="254"/>
      <c r="I47" s="258">
        <f>I38</f>
        <v>0</v>
      </c>
      <c r="J47" s="253"/>
      <c r="K47" s="253"/>
      <c r="L47" s="255"/>
      <c r="M47" s="139">
        <f>M42*$I$47</f>
        <v>0</v>
      </c>
      <c r="N47" s="139">
        <f t="shared" ref="N47" si="45">N42*$I$47</f>
        <v>0</v>
      </c>
      <c r="O47" s="139">
        <f>O42*$I$47</f>
        <v>0</v>
      </c>
      <c r="P47" s="139">
        <f>P42*$I$47</f>
        <v>0</v>
      </c>
      <c r="Q47" s="129"/>
    </row>
    <row r="48" spans="1:27">
      <c r="A48" s="247"/>
      <c r="B48" s="129" t="s">
        <v>575</v>
      </c>
      <c r="C48" s="196" t="s">
        <v>576</v>
      </c>
      <c r="D48" s="253"/>
      <c r="E48" s="254"/>
      <c r="F48" s="254"/>
      <c r="G48" s="254"/>
      <c r="H48" s="254"/>
      <c r="I48" s="259">
        <f>I39</f>
        <v>3.4770000000000002E-2</v>
      </c>
      <c r="J48" s="253"/>
      <c r="K48" s="253"/>
      <c r="L48" s="255"/>
      <c r="M48" s="139">
        <f>(SUM(M42:M47)-M43)*$I$48</f>
        <v>82.910270359999998</v>
      </c>
      <c r="N48" s="139">
        <f t="shared" ref="N48" si="46">(SUM(N42:N47)-N43)*$I$48</f>
        <v>82.910270359999998</v>
      </c>
      <c r="O48" s="139">
        <f>(SUM(O42:O47)-O43)*$I$48</f>
        <v>82.910270359999998</v>
      </c>
      <c r="P48" s="139">
        <f>(SUM(P42:P47)-P43)*$I$48</f>
        <v>82.910270359999998</v>
      </c>
      <c r="Q48" s="129"/>
    </row>
    <row r="49" spans="1:17">
      <c r="A49" s="247"/>
      <c r="B49" s="129" t="s">
        <v>577</v>
      </c>
      <c r="C49" s="249" t="s">
        <v>578</v>
      </c>
      <c r="D49" s="253"/>
      <c r="E49" s="254"/>
      <c r="F49" s="254"/>
      <c r="G49" s="254"/>
      <c r="H49" s="254"/>
      <c r="I49" s="258"/>
      <c r="J49" s="253"/>
      <c r="K49" s="253"/>
      <c r="L49" s="255"/>
      <c r="M49" s="139">
        <f>SUM(M42:M48)-M43</f>
        <v>2467.4449370266666</v>
      </c>
      <c r="N49" s="139">
        <f t="shared" ref="N49" si="47">SUM(N42:N48)-N43</f>
        <v>2467.4449370266666</v>
      </c>
      <c r="O49" s="139">
        <f>SUM(O42:O48)-O43</f>
        <v>2467.4449370266666</v>
      </c>
      <c r="P49" s="139">
        <f>SUM(P42:P48)-P43</f>
        <v>2467.4449370266666</v>
      </c>
      <c r="Q49" s="129"/>
    </row>
    <row r="50" spans="1:17">
      <c r="A50" s="247"/>
      <c r="B50" s="129" t="s">
        <v>136</v>
      </c>
      <c r="C50" s="249" t="s">
        <v>807</v>
      </c>
      <c r="D50" s="253"/>
      <c r="E50" s="254"/>
      <c r="F50" s="254"/>
      <c r="G50" s="254"/>
      <c r="H50" s="254"/>
      <c r="I50" s="129"/>
      <c r="J50" s="253"/>
      <c r="K50" s="253"/>
      <c r="L50" s="255"/>
      <c r="M50" s="139">
        <f>M49+M40</f>
        <v>42564.822248767647</v>
      </c>
      <c r="N50" s="139">
        <f t="shared" ref="N50" si="48">N49+N40</f>
        <v>42564.822248767647</v>
      </c>
      <c r="O50" s="139">
        <f>O49+O40</f>
        <v>42564.822248767647</v>
      </c>
      <c r="P50" s="139">
        <f>P49+P40</f>
        <v>42564.822248767647</v>
      </c>
      <c r="Q50" s="129"/>
    </row>
  </sheetData>
  <sheetProtection formatCells="0" formatColumns="0" formatRows="0" insertRows="0" autoFilter="0"/>
  <protectedRanges>
    <protectedRange sqref="A22:L31 Q22:XFD31" name="区域4" securityDescriptor=""/>
    <protectedRange sqref="E7:H31 E3:H5" name="区域3" securityDescriptor=""/>
    <protectedRange sqref="B2" name="区域2" securityDescriptor=""/>
    <protectedRange sqref="C1" name="区域1" securityDescriptor=""/>
    <protectedRange sqref="E6:H6 R3:U3 W3:Z3" name="区域1_1_1_1" securityDescriptor=""/>
  </protectedRanges>
  <autoFilter ref="A4:Q50"/>
  <mergeCells count="13">
    <mergeCell ref="N1:Q1"/>
    <mergeCell ref="B2:Q2"/>
    <mergeCell ref="E3:H3"/>
    <mergeCell ref="J3:L3"/>
    <mergeCell ref="M3:P3"/>
    <mergeCell ref="B3:B6"/>
    <mergeCell ref="C3:C6"/>
    <mergeCell ref="D3:D6"/>
    <mergeCell ref="I3:I6"/>
    <mergeCell ref="J4:J6"/>
    <mergeCell ref="K4:K6"/>
    <mergeCell ref="L4:L6"/>
    <mergeCell ref="Q3:Q4"/>
  </mergeCells>
  <phoneticPr fontId="7" type="noConversion"/>
  <conditionalFormatting sqref="K13:K14 K16 K20:K32">
    <cfRule type="cellIs" dxfId="13" priority="1" stopIfTrue="1" operator="equal">
      <formula>0</formula>
    </cfRule>
  </conditionalFormatting>
  <conditionalFormatting sqref="K7:K12 K15">
    <cfRule type="cellIs" dxfId="12" priority="2" stopIfTrue="1" operator="equal">
      <formula>0</formula>
    </cfRule>
  </conditionalFormatting>
  <conditionalFormatting sqref="K17">
    <cfRule type="cellIs" dxfId="11" priority="3" stopIfTrue="1" operator="equal">
      <formula>0</formula>
    </cfRule>
  </conditionalFormatting>
  <conditionalFormatting sqref="K18">
    <cfRule type="cellIs" dxfId="10" priority="4" stopIfTrue="1" operator="equal">
      <formula>0</formula>
    </cfRule>
  </conditionalFormatting>
  <conditionalFormatting sqref="K19">
    <cfRule type="cellIs" dxfId="9" priority="5" stopIfTrue="1" operator="equal">
      <formula>0</formula>
    </cfRule>
  </conditionalFormatting>
  <printOptions horizontalCentered="1"/>
  <pageMargins left="0.39305555555555599" right="0.39305555555555599" top="0.55069444444444404" bottom="0.55069444444444404" header="0.31458333333333299" footer="0.31458333333333299"/>
  <pageSetup paperSize="9" scale="67" orientation="landscape" blackAndWhite="1" horizontalDpi="300" verticalDpi="300" r:id="rId1"/>
  <headerFooter alignWithMargins="0">
    <oddFooter>&amp;C第 &amp;P 页，共 &amp;N 页</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16"/>
  <sheetViews>
    <sheetView view="pageBreakPreview" zoomScaleSheetLayoutView="100" workbookViewId="0">
      <selection activeCell="F8" sqref="F8"/>
    </sheetView>
  </sheetViews>
  <sheetFormatPr defaultColWidth="9.125" defaultRowHeight="36.75" customHeight="1"/>
  <cols>
    <col min="1" max="1" width="4.875" customWidth="1"/>
    <col min="2" max="2" width="25.375" customWidth="1"/>
    <col min="3" max="3" width="3.75" customWidth="1"/>
    <col min="4" max="4" width="9.625" customWidth="1"/>
    <col min="5" max="5" width="9.75" customWidth="1"/>
    <col min="6" max="6" width="10.75" customWidth="1"/>
    <col min="7" max="7" width="10" customWidth="1"/>
    <col min="8" max="8" width="9.625" customWidth="1"/>
    <col min="9" max="9" width="14.125" customWidth="1"/>
    <col min="10" max="10" width="15.875" customWidth="1"/>
  </cols>
  <sheetData>
    <row r="1" spans="1:10" ht="24" customHeight="1">
      <c r="A1" s="846" t="s">
        <v>808</v>
      </c>
      <c r="B1" s="956"/>
      <c r="I1" s="931" t="s">
        <v>196</v>
      </c>
      <c r="J1" s="957"/>
    </row>
    <row r="2" spans="1:10" ht="36.75" customHeight="1">
      <c r="A2" s="958" t="s">
        <v>1220</v>
      </c>
      <c r="B2" s="959"/>
      <c r="C2" s="959"/>
      <c r="D2" s="959"/>
      <c r="E2" s="959"/>
      <c r="F2" s="959"/>
      <c r="G2" s="959"/>
      <c r="H2" s="959"/>
      <c r="I2" s="959"/>
      <c r="J2" s="959"/>
    </row>
    <row r="3" spans="1:10" ht="36.75" customHeight="1">
      <c r="A3" s="961" t="s">
        <v>1221</v>
      </c>
      <c r="B3" s="961" t="s">
        <v>1222</v>
      </c>
      <c r="C3" s="961" t="s">
        <v>1223</v>
      </c>
      <c r="D3" s="962" t="s">
        <v>1224</v>
      </c>
      <c r="E3" s="963" t="s">
        <v>1225</v>
      </c>
      <c r="F3" s="960" t="s">
        <v>1226</v>
      </c>
      <c r="G3" s="960"/>
      <c r="H3" s="960"/>
      <c r="I3" s="963" t="s">
        <v>1227</v>
      </c>
      <c r="J3" s="964" t="s">
        <v>1228</v>
      </c>
    </row>
    <row r="4" spans="1:10" ht="36.75" customHeight="1">
      <c r="A4" s="961"/>
      <c r="B4" s="961"/>
      <c r="C4" s="961"/>
      <c r="D4" s="962"/>
      <c r="E4" s="963"/>
      <c r="F4" s="218" t="s">
        <v>1229</v>
      </c>
      <c r="G4" s="219" t="s">
        <v>1230</v>
      </c>
      <c r="H4" s="220" t="s">
        <v>1231</v>
      </c>
      <c r="I4" s="963"/>
      <c r="J4" s="964"/>
    </row>
    <row r="5" spans="1:10" ht="36.75" customHeight="1">
      <c r="A5" s="961"/>
      <c r="B5" s="961"/>
      <c r="C5" s="961"/>
      <c r="D5" s="221" t="s">
        <v>209</v>
      </c>
      <c r="E5" s="218" t="s">
        <v>1232</v>
      </c>
      <c r="F5" s="218" t="s">
        <v>1233</v>
      </c>
      <c r="G5" s="222" t="s">
        <v>1234</v>
      </c>
      <c r="H5" s="223" t="s">
        <v>1235</v>
      </c>
      <c r="I5" s="227" t="s">
        <v>1236</v>
      </c>
      <c r="J5" s="241"/>
    </row>
    <row r="6" spans="1:10" ht="54.75" customHeight="1">
      <c r="A6" s="224">
        <v>1</v>
      </c>
      <c r="B6" s="162" t="s">
        <v>1237</v>
      </c>
      <c r="C6" s="225" t="s">
        <v>270</v>
      </c>
      <c r="D6" s="226">
        <v>1</v>
      </c>
      <c r="E6" s="227">
        <f>H6</f>
        <v>10</v>
      </c>
      <c r="F6" s="227"/>
      <c r="G6" s="228"/>
      <c r="H6" s="229">
        <v>10</v>
      </c>
      <c r="I6" s="227">
        <f>D6*E6</f>
        <v>10</v>
      </c>
      <c r="J6" s="242"/>
    </row>
    <row r="7" spans="1:10" ht="54.75" customHeight="1">
      <c r="A7" s="224">
        <v>2</v>
      </c>
      <c r="B7" s="162" t="s">
        <v>1238</v>
      </c>
      <c r="C7" s="225" t="s">
        <v>270</v>
      </c>
      <c r="D7" s="226">
        <v>2</v>
      </c>
      <c r="E7" s="227">
        <f t="shared" ref="E7" si="0">H7</f>
        <v>10</v>
      </c>
      <c r="F7" s="227"/>
      <c r="G7" s="228"/>
      <c r="H7" s="229">
        <v>10</v>
      </c>
      <c r="I7" s="227">
        <f t="shared" ref="I7" si="1">D7*E7</f>
        <v>20</v>
      </c>
      <c r="J7" s="242"/>
    </row>
    <row r="8" spans="1:10" ht="54.75" customHeight="1">
      <c r="A8" s="224">
        <v>3</v>
      </c>
      <c r="B8" s="162" t="s">
        <v>1239</v>
      </c>
      <c r="C8" s="225" t="s">
        <v>270</v>
      </c>
      <c r="D8" s="226">
        <v>1</v>
      </c>
      <c r="E8" s="227">
        <f>H8</f>
        <v>10</v>
      </c>
      <c r="F8" s="227"/>
      <c r="G8" s="228"/>
      <c r="H8" s="229">
        <v>10</v>
      </c>
      <c r="I8" s="227">
        <f>D8*E8</f>
        <v>10</v>
      </c>
      <c r="J8" s="242"/>
    </row>
    <row r="9" spans="1:10" ht="36.75" customHeight="1">
      <c r="A9" s="224"/>
      <c r="B9" s="162"/>
      <c r="C9" s="225"/>
      <c r="D9" s="227"/>
      <c r="E9" s="227"/>
      <c r="F9" s="227"/>
      <c r="G9" s="228"/>
      <c r="H9" s="229"/>
      <c r="I9" s="227">
        <f>SUM(I6:I8)</f>
        <v>40</v>
      </c>
      <c r="J9" s="238"/>
    </row>
    <row r="10" spans="1:10" ht="36.75" customHeight="1">
      <c r="A10" s="230" t="s">
        <v>133</v>
      </c>
      <c r="B10" s="231" t="s">
        <v>1240</v>
      </c>
      <c r="C10" s="232"/>
      <c r="D10" s="233"/>
      <c r="E10" s="234"/>
      <c r="F10" s="233"/>
      <c r="G10" s="232"/>
      <c r="H10" s="235"/>
      <c r="I10" s="227"/>
      <c r="J10" s="232"/>
    </row>
    <row r="11" spans="1:10" ht="36.75" customHeight="1">
      <c r="A11" s="236" t="s">
        <v>140</v>
      </c>
      <c r="B11" s="192" t="s">
        <v>1241</v>
      </c>
      <c r="C11" s="224"/>
      <c r="D11" s="227"/>
      <c r="E11" s="234"/>
      <c r="F11" s="233"/>
      <c r="G11" s="237"/>
      <c r="H11" s="237"/>
      <c r="I11" s="227">
        <f>I9</f>
        <v>40</v>
      </c>
      <c r="J11" s="243"/>
    </row>
    <row r="12" spans="1:10" ht="36.75" customHeight="1">
      <c r="A12" s="236" t="s">
        <v>552</v>
      </c>
      <c r="B12" s="238" t="s">
        <v>1242</v>
      </c>
      <c r="C12" s="224"/>
      <c r="D12" s="227"/>
      <c r="E12" s="234">
        <v>6.5000000000000002E-2</v>
      </c>
      <c r="F12" s="233"/>
      <c r="G12" s="237"/>
      <c r="H12" s="237"/>
      <c r="I12" s="227">
        <f>I11*E12</f>
        <v>2.6</v>
      </c>
      <c r="J12" s="243"/>
    </row>
    <row r="13" spans="1:10" ht="36.75" customHeight="1">
      <c r="A13" s="236" t="s">
        <v>554</v>
      </c>
      <c r="B13" s="238" t="s">
        <v>1243</v>
      </c>
      <c r="C13" s="224"/>
      <c r="D13" s="227"/>
      <c r="E13" s="234">
        <v>0.1</v>
      </c>
      <c r="F13" s="233"/>
      <c r="G13" s="237"/>
      <c r="H13" s="237"/>
      <c r="I13" s="227">
        <f>I11*E13</f>
        <v>4</v>
      </c>
      <c r="J13" s="243"/>
    </row>
    <row r="14" spans="1:10" ht="36.75" customHeight="1">
      <c r="A14" s="236" t="s">
        <v>556</v>
      </c>
      <c r="B14" s="238" t="s">
        <v>1244</v>
      </c>
      <c r="C14" s="224"/>
      <c r="D14" s="227"/>
      <c r="E14" s="239">
        <f>'附件4-1套内1'!M319</f>
        <v>0</v>
      </c>
      <c r="F14" s="233"/>
      <c r="G14" s="237"/>
      <c r="H14" s="237"/>
      <c r="I14" s="227">
        <f>I11*E14</f>
        <v>0</v>
      </c>
      <c r="J14" s="243"/>
    </row>
    <row r="15" spans="1:10" ht="36.75" customHeight="1">
      <c r="A15" s="236" t="s">
        <v>558</v>
      </c>
      <c r="B15" s="238" t="s">
        <v>1245</v>
      </c>
      <c r="C15" s="224"/>
      <c r="D15" s="227"/>
      <c r="E15" s="240">
        <f>'附件4-1套内1'!M320</f>
        <v>3.4770000000000002E-2</v>
      </c>
      <c r="F15" s="233"/>
      <c r="G15" s="237"/>
      <c r="H15" s="237"/>
      <c r="I15" s="227">
        <f>SUM(I11:I14)*E15</f>
        <v>1.6202820000000002</v>
      </c>
      <c r="J15" s="244"/>
    </row>
    <row r="16" spans="1:10" ht="36.75" customHeight="1">
      <c r="A16" s="236" t="s">
        <v>560</v>
      </c>
      <c r="B16" s="238" t="s">
        <v>1246</v>
      </c>
      <c r="C16" s="224"/>
      <c r="D16" s="227"/>
      <c r="E16" s="227"/>
      <c r="F16" s="233"/>
      <c r="G16" s="237"/>
      <c r="H16" s="237"/>
      <c r="I16" s="227">
        <f>SUM(I11:I15)</f>
        <v>48.220282000000005</v>
      </c>
      <c r="J16" s="243"/>
    </row>
  </sheetData>
  <sheetProtection formatCells="0" formatColumns="0" formatRows="0" insertRows="0" autoFilter="0"/>
  <protectedRanges>
    <protectedRange sqref="D6:D8" name="区域3" securityDescriptor=""/>
    <protectedRange sqref="A2" name="区域2" securityDescriptor=""/>
    <protectedRange sqref="A1" name="区域1" securityDescriptor=""/>
  </protectedRanges>
  <mergeCells count="11">
    <mergeCell ref="A1:B1"/>
    <mergeCell ref="I1:J1"/>
    <mergeCell ref="A2:J2"/>
    <mergeCell ref="F3:H3"/>
    <mergeCell ref="A3:A5"/>
    <mergeCell ref="B3:B5"/>
    <mergeCell ref="C3:C5"/>
    <mergeCell ref="D3:D4"/>
    <mergeCell ref="E3:E4"/>
    <mergeCell ref="I3:I4"/>
    <mergeCell ref="J3:J4"/>
  </mergeCells>
  <phoneticPr fontId="7" type="noConversion"/>
  <conditionalFormatting sqref="F8:F9">
    <cfRule type="cellIs" dxfId="8" priority="1" stopIfTrue="1" operator="equal">
      <formula>0</formula>
    </cfRule>
  </conditionalFormatting>
  <conditionalFormatting sqref="F6 B7">
    <cfRule type="cellIs" dxfId="7" priority="2" stopIfTrue="1" operator="equal">
      <formula>0</formula>
    </cfRule>
  </conditionalFormatting>
  <printOptions horizontalCentered="1"/>
  <pageMargins left="0.51180555555555596" right="0.51180555555555596" top="0.55069444444444404" bottom="0.55069444444444404" header="0.31458333333333299" footer="0.31458333333333299"/>
  <pageSetup paperSize="9" orientation="portrait" blackAndWhite="1" horizontalDpi="300" verticalDpi="300" r:id="rId1"/>
  <headerFooter alignWithMargins="0">
    <oddFooter>&amp;C第 &amp;P 页，共 &amp;N 页</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filterMode="1">
    <tabColor indexed="13"/>
    <pageSetUpPr fitToPage="1"/>
  </sheetPr>
  <dimension ref="A1:O105"/>
  <sheetViews>
    <sheetView view="pageBreakPreview" zoomScaleSheetLayoutView="100" workbookViewId="0">
      <pane xSplit="4" ySplit="6" topLeftCell="E7" activePane="bottomRight" state="frozen"/>
      <selection activeCell="J6" sqref="J6"/>
      <selection pane="topRight" activeCell="J6" sqref="J6"/>
      <selection pane="bottomLeft" activeCell="J6" sqref="J6"/>
      <selection pane="bottomRight" activeCell="S22" sqref="S22"/>
    </sheetView>
  </sheetViews>
  <sheetFormatPr defaultColWidth="9.125" defaultRowHeight="11.25"/>
  <cols>
    <col min="1" max="1" width="11" style="449" hidden="1" customWidth="1"/>
    <col min="2" max="2" width="4.125" style="473" bestFit="1" customWidth="1"/>
    <col min="3" max="3" width="18.125" style="453" customWidth="1"/>
    <col min="4" max="4" width="4.125" style="449" bestFit="1" customWidth="1"/>
    <col min="5" max="5" width="9" style="565" customWidth="1"/>
    <col min="6" max="6" width="41.625" style="565" customWidth="1"/>
    <col min="7" max="7" width="10.125" style="565" customWidth="1"/>
    <col min="8" max="8" width="8.375" style="565" bestFit="1" customWidth="1"/>
    <col min="9" max="9" width="7.125" style="565" customWidth="1"/>
    <col min="10" max="10" width="7.5" style="565" bestFit="1" customWidth="1"/>
    <col min="11" max="11" width="11.875" style="449" hidden="1" customWidth="1"/>
    <col min="12" max="12" width="10.125" style="449" customWidth="1"/>
    <col min="13" max="13" width="13" style="449" customWidth="1"/>
    <col min="14" max="14" width="6.875" style="449" customWidth="1"/>
    <col min="15" max="15" width="11.875" style="449" customWidth="1"/>
    <col min="16" max="16384" width="9.125" style="449"/>
  </cols>
  <sheetData>
    <row r="1" spans="1:15">
      <c r="B1" s="921" t="s">
        <v>1022</v>
      </c>
      <c r="C1" s="921"/>
      <c r="K1" s="850" t="s">
        <v>196</v>
      </c>
      <c r="L1" s="851"/>
    </row>
    <row r="2" spans="1:15" ht="40.5" customHeight="1">
      <c r="A2" s="185"/>
      <c r="B2" s="922" t="s">
        <v>1876</v>
      </c>
      <c r="C2" s="922"/>
      <c r="D2" s="922"/>
      <c r="E2" s="922"/>
      <c r="F2" s="922"/>
      <c r="G2" s="922"/>
      <c r="H2" s="922"/>
      <c r="I2" s="922"/>
      <c r="J2" s="922"/>
      <c r="K2" s="922"/>
      <c r="L2" s="922"/>
      <c r="M2" s="207"/>
      <c r="N2" s="207"/>
      <c r="O2" s="207"/>
    </row>
    <row r="3" spans="1:15" s="452" customFormat="1" ht="22.15" customHeight="1">
      <c r="A3" s="500"/>
      <c r="B3" s="926" t="s">
        <v>54</v>
      </c>
      <c r="C3" s="926" t="s">
        <v>933</v>
      </c>
      <c r="D3" s="926" t="s">
        <v>198</v>
      </c>
      <c r="E3" s="690" t="s">
        <v>199</v>
      </c>
      <c r="F3" s="928" t="s">
        <v>1912</v>
      </c>
      <c r="G3" s="927" t="s">
        <v>200</v>
      </c>
      <c r="H3" s="857" t="s">
        <v>934</v>
      </c>
      <c r="I3" s="857"/>
      <c r="J3" s="857"/>
      <c r="K3" s="684" t="s">
        <v>202</v>
      </c>
      <c r="L3" s="926" t="s">
        <v>57</v>
      </c>
      <c r="M3" s="923"/>
      <c r="N3" s="924"/>
      <c r="O3" s="925"/>
    </row>
    <row r="4" spans="1:15" s="452" customFormat="1">
      <c r="A4" s="500"/>
      <c r="B4" s="926"/>
      <c r="C4" s="926"/>
      <c r="D4" s="926"/>
      <c r="E4" s="599" t="s">
        <v>1023</v>
      </c>
      <c r="F4" s="929"/>
      <c r="G4" s="927"/>
      <c r="H4" s="856" t="s">
        <v>203</v>
      </c>
      <c r="I4" s="856" t="s">
        <v>204</v>
      </c>
      <c r="J4" s="856" t="s">
        <v>205</v>
      </c>
      <c r="K4" s="684" t="str">
        <f>+E4</f>
        <v>中档公寓</v>
      </c>
      <c r="L4" s="926"/>
      <c r="M4" s="501"/>
      <c r="N4" s="461"/>
      <c r="O4" s="461"/>
    </row>
    <row r="5" spans="1:15" s="452" customFormat="1">
      <c r="A5" s="500"/>
      <c r="B5" s="926"/>
      <c r="C5" s="926"/>
      <c r="D5" s="926"/>
      <c r="E5" s="599" t="s">
        <v>131</v>
      </c>
      <c r="F5" s="929"/>
      <c r="G5" s="927"/>
      <c r="H5" s="856"/>
      <c r="I5" s="856"/>
      <c r="J5" s="856"/>
      <c r="K5" s="684" t="str">
        <f>+E5</f>
        <v>1#</v>
      </c>
      <c r="L5" s="926"/>
      <c r="M5" s="467" t="s">
        <v>593</v>
      </c>
      <c r="N5" s="463"/>
      <c r="O5" s="467" t="s">
        <v>208</v>
      </c>
    </row>
    <row r="6" spans="1:15" s="452" customFormat="1" ht="22.5">
      <c r="A6" s="188"/>
      <c r="B6" s="926"/>
      <c r="C6" s="926"/>
      <c r="D6" s="926"/>
      <c r="E6" s="600" t="s">
        <v>209</v>
      </c>
      <c r="F6" s="930"/>
      <c r="G6" s="685" t="s">
        <v>1024</v>
      </c>
      <c r="H6" s="684" t="s">
        <v>217</v>
      </c>
      <c r="I6" s="684" t="s">
        <v>218</v>
      </c>
      <c r="J6" s="684" t="s">
        <v>219</v>
      </c>
      <c r="K6" s="687" t="s">
        <v>220</v>
      </c>
      <c r="L6" s="685"/>
      <c r="M6" s="440" t="s">
        <v>209</v>
      </c>
      <c r="N6" s="463"/>
      <c r="O6" s="440" t="s">
        <v>209</v>
      </c>
    </row>
    <row r="7" spans="1:15">
      <c r="A7" s="190"/>
      <c r="B7" s="652" t="s">
        <v>58</v>
      </c>
      <c r="C7" s="656" t="s">
        <v>229</v>
      </c>
      <c r="D7" s="652"/>
      <c r="E7" s="658" t="s">
        <v>1859</v>
      </c>
      <c r="F7" s="658"/>
      <c r="G7" s="658"/>
      <c r="H7" s="658"/>
      <c r="I7" s="658"/>
      <c r="J7" s="658"/>
      <c r="K7" s="658"/>
      <c r="L7" s="658" t="s">
        <v>1877</v>
      </c>
      <c r="M7" s="493"/>
      <c r="N7" s="209"/>
      <c r="O7" s="493"/>
    </row>
    <row r="8" spans="1:15" ht="50.1" customHeight="1">
      <c r="A8" s="191"/>
      <c r="B8" s="478">
        <v>1</v>
      </c>
      <c r="C8" s="407" t="s">
        <v>1025</v>
      </c>
      <c r="D8" s="412" t="s">
        <v>231</v>
      </c>
      <c r="E8" s="717">
        <v>11.03</v>
      </c>
      <c r="F8" s="717"/>
      <c r="G8" s="411">
        <f t="shared" ref="G8" si="0">H8+H8*I8/100+J8</f>
        <v>21.43271</v>
      </c>
      <c r="H8" s="411">
        <f>'附件4-8甲供材料清单'!N220</f>
        <v>2.2087100000000004</v>
      </c>
      <c r="I8" s="411"/>
      <c r="J8" s="411">
        <v>19.224</v>
      </c>
      <c r="K8" s="403">
        <f>E8*$G8</f>
        <v>236.40279129999999</v>
      </c>
      <c r="L8" s="601" t="s">
        <v>244</v>
      </c>
      <c r="M8" s="469">
        <f>K8</f>
        <v>236.40279129999999</v>
      </c>
      <c r="N8" s="390"/>
      <c r="O8" s="469">
        <f>E8*$H8*(1+$I8/100)</f>
        <v>24.362071300000004</v>
      </c>
    </row>
    <row r="9" spans="1:15" ht="20.25" customHeight="1">
      <c r="A9" s="194"/>
      <c r="B9" s="652" t="s">
        <v>60</v>
      </c>
      <c r="C9" s="636" t="s">
        <v>247</v>
      </c>
      <c r="D9" s="659"/>
      <c r="E9" s="658" t="s">
        <v>1859</v>
      </c>
      <c r="F9" s="658"/>
      <c r="G9" s="658"/>
      <c r="H9" s="658"/>
      <c r="I9" s="658"/>
      <c r="J9" s="658"/>
      <c r="K9" s="658"/>
      <c r="L9" s="658" t="s">
        <v>1877</v>
      </c>
      <c r="M9" s="470"/>
      <c r="N9" s="211"/>
      <c r="O9" s="470"/>
    </row>
    <row r="10" spans="1:15" ht="26.25" hidden="1" customHeight="1">
      <c r="A10" s="191"/>
      <c r="B10" s="478">
        <v>1</v>
      </c>
      <c r="C10" s="407" t="s">
        <v>1026</v>
      </c>
      <c r="D10" s="412" t="s">
        <v>231</v>
      </c>
      <c r="E10" s="718"/>
      <c r="F10" s="718"/>
      <c r="G10" s="411">
        <f>H10+H10*I10/100+J10</f>
        <v>120.86666666666667</v>
      </c>
      <c r="H10" s="411">
        <f>'附件4-8甲供材料清单'!M186</f>
        <v>66.666666666666671</v>
      </c>
      <c r="I10" s="411">
        <v>9</v>
      </c>
      <c r="J10" s="411">
        <f>43.2+5</f>
        <v>48.2</v>
      </c>
      <c r="K10" s="403">
        <f>E10*$G10</f>
        <v>0</v>
      </c>
      <c r="L10" s="601" t="s">
        <v>244</v>
      </c>
      <c r="M10" s="469">
        <f>K10</f>
        <v>0</v>
      </c>
      <c r="N10" s="390"/>
      <c r="O10" s="469">
        <f>E10*$H10*(1+$I10/100)</f>
        <v>0</v>
      </c>
    </row>
    <row r="11" spans="1:15" ht="40.15" customHeight="1">
      <c r="A11" s="191"/>
      <c r="B11" s="478">
        <v>2</v>
      </c>
      <c r="C11" s="407" t="s">
        <v>1027</v>
      </c>
      <c r="D11" s="412" t="s">
        <v>231</v>
      </c>
      <c r="E11" s="718">
        <f>0.8*0.12*2</f>
        <v>0.192</v>
      </c>
      <c r="F11" s="718"/>
      <c r="G11" s="411">
        <f>H11+H11*I11/100+J11</f>
        <v>686.3</v>
      </c>
      <c r="H11" s="411">
        <v>530</v>
      </c>
      <c r="I11" s="411">
        <v>3</v>
      </c>
      <c r="J11" s="411">
        <v>140.4</v>
      </c>
      <c r="K11" s="403">
        <f>E11*$G11</f>
        <v>131.7696</v>
      </c>
      <c r="L11" s="601"/>
      <c r="M11" s="469"/>
      <c r="N11" s="390"/>
      <c r="O11" s="469"/>
    </row>
    <row r="12" spans="1:15" ht="26.25" hidden="1" customHeight="1">
      <c r="A12" s="191" t="s">
        <v>278</v>
      </c>
      <c r="B12" s="478" t="s">
        <v>233</v>
      </c>
      <c r="C12" s="407" t="s">
        <v>1028</v>
      </c>
      <c r="D12" s="412" t="s">
        <v>231</v>
      </c>
      <c r="E12" s="718"/>
      <c r="F12" s="718"/>
      <c r="G12" s="411">
        <f>H12+H12*I12/100+J12</f>
        <v>449.4</v>
      </c>
      <c r="H12" s="411">
        <v>300</v>
      </c>
      <c r="I12" s="411">
        <v>3</v>
      </c>
      <c r="J12" s="411">
        <v>140.4</v>
      </c>
      <c r="K12" s="403">
        <f>E12*$G12</f>
        <v>0</v>
      </c>
      <c r="L12" s="601"/>
      <c r="M12" s="469"/>
      <c r="N12" s="390"/>
      <c r="O12" s="469"/>
    </row>
    <row r="13" spans="1:15" ht="26.25" hidden="1" customHeight="1">
      <c r="A13" s="191"/>
      <c r="B13" s="478">
        <v>3</v>
      </c>
      <c r="C13" s="407" t="s">
        <v>943</v>
      </c>
      <c r="D13" s="412" t="s">
        <v>235</v>
      </c>
      <c r="E13" s="718"/>
      <c r="F13" s="718"/>
      <c r="G13" s="411">
        <f>H13+H13*I13/100+J13</f>
        <v>75.695999999999998</v>
      </c>
      <c r="H13" s="411">
        <v>58.2</v>
      </c>
      <c r="I13" s="411">
        <v>3</v>
      </c>
      <c r="J13" s="411">
        <v>15.75</v>
      </c>
      <c r="K13" s="403">
        <f>E13*$G13</f>
        <v>0</v>
      </c>
      <c r="L13" s="601"/>
      <c r="M13" s="469"/>
      <c r="N13" s="390"/>
      <c r="O13" s="469"/>
    </row>
    <row r="14" spans="1:15" ht="39" hidden="1" customHeight="1">
      <c r="A14" s="191"/>
      <c r="B14" s="478">
        <v>4</v>
      </c>
      <c r="C14" s="407" t="s">
        <v>1029</v>
      </c>
      <c r="D14" s="689" t="s">
        <v>231</v>
      </c>
      <c r="E14" s="718"/>
      <c r="F14" s="718"/>
      <c r="G14" s="411">
        <f>H14+H14*I14%+J14</f>
        <v>24.44</v>
      </c>
      <c r="H14" s="411"/>
      <c r="I14" s="411"/>
      <c r="J14" s="411">
        <v>24.44</v>
      </c>
      <c r="K14" s="403">
        <f>E14*$G14</f>
        <v>0</v>
      </c>
      <c r="L14" s="601"/>
      <c r="M14" s="469"/>
      <c r="N14" s="390"/>
      <c r="O14" s="469"/>
    </row>
    <row r="15" spans="1:15" ht="24.75" customHeight="1">
      <c r="A15" s="191"/>
      <c r="B15" s="652" t="s">
        <v>62</v>
      </c>
      <c r="C15" s="636" t="s">
        <v>261</v>
      </c>
      <c r="D15" s="660"/>
      <c r="E15" s="658" t="s">
        <v>1859</v>
      </c>
      <c r="F15" s="658"/>
      <c r="G15" s="658"/>
      <c r="H15" s="658"/>
      <c r="I15" s="658"/>
      <c r="J15" s="658"/>
      <c r="K15" s="658"/>
      <c r="L15" s="658" t="s">
        <v>1877</v>
      </c>
      <c r="M15" s="469"/>
      <c r="N15" s="390"/>
      <c r="O15" s="469"/>
    </row>
    <row r="16" spans="1:15" ht="50.1" customHeight="1">
      <c r="A16" s="191"/>
      <c r="B16" s="478">
        <v>1</v>
      </c>
      <c r="C16" s="407" t="s">
        <v>1030</v>
      </c>
      <c r="D16" s="412" t="s">
        <v>231</v>
      </c>
      <c r="E16" s="717">
        <f>(13.93-0.8*2)*2.7</f>
        <v>33.291000000000004</v>
      </c>
      <c r="F16" s="717"/>
      <c r="G16" s="411">
        <f t="shared" ref="G16" si="1">H16+H16*I16/100+J16</f>
        <v>21.43271</v>
      </c>
      <c r="H16" s="411">
        <f>'附件4-8甲供材料清单'!N220</f>
        <v>2.2087100000000004</v>
      </c>
      <c r="I16" s="411"/>
      <c r="J16" s="411">
        <v>19.224</v>
      </c>
      <c r="K16" s="403">
        <f>E16*$G16</f>
        <v>713.51634861000014</v>
      </c>
      <c r="L16" s="601" t="s">
        <v>244</v>
      </c>
      <c r="M16" s="469">
        <f>K16</f>
        <v>713.51634861000014</v>
      </c>
      <c r="N16" s="390"/>
      <c r="O16" s="469">
        <f>E16*$H16*(1+$I16/100)</f>
        <v>73.530164610000028</v>
      </c>
    </row>
    <row r="17" spans="1:15" ht="26.25" hidden="1" customHeight="1">
      <c r="A17" s="191"/>
      <c r="B17" s="478">
        <v>2</v>
      </c>
      <c r="C17" s="407" t="s">
        <v>949</v>
      </c>
      <c r="D17" s="412" t="s">
        <v>231</v>
      </c>
      <c r="E17" s="718"/>
      <c r="F17" s="718"/>
      <c r="G17" s="411">
        <f t="shared" ref="G17:G47" si="2">H17+H17*I17/100+J17</f>
        <v>542.52240000000006</v>
      </c>
      <c r="H17" s="411">
        <v>260</v>
      </c>
      <c r="I17" s="411">
        <v>2</v>
      </c>
      <c r="J17" s="411">
        <v>277.32240000000002</v>
      </c>
      <c r="K17" s="403">
        <f>E17*$G17</f>
        <v>0</v>
      </c>
      <c r="L17" s="601"/>
      <c r="M17" s="469"/>
      <c r="N17" s="390"/>
      <c r="O17" s="469"/>
    </row>
    <row r="18" spans="1:15" ht="26.25" hidden="1" customHeight="1">
      <c r="A18" s="191"/>
      <c r="B18" s="478">
        <v>3</v>
      </c>
      <c r="C18" s="407" t="s">
        <v>1031</v>
      </c>
      <c r="D18" s="412" t="s">
        <v>235</v>
      </c>
      <c r="E18" s="718"/>
      <c r="F18" s="718"/>
      <c r="G18" s="411">
        <f t="shared" si="2"/>
        <v>171.45000000000002</v>
      </c>
      <c r="H18" s="411">
        <v>135</v>
      </c>
      <c r="I18" s="411">
        <v>3</v>
      </c>
      <c r="J18" s="411">
        <v>32.4</v>
      </c>
      <c r="K18" s="403">
        <f>E18*$G18</f>
        <v>0</v>
      </c>
      <c r="L18" s="601"/>
      <c r="M18" s="469"/>
      <c r="N18" s="390"/>
      <c r="O18" s="469"/>
    </row>
    <row r="19" spans="1:15" ht="37.5" hidden="1" customHeight="1">
      <c r="A19" s="191"/>
      <c r="B19" s="478">
        <v>4</v>
      </c>
      <c r="C19" s="407" t="s">
        <v>1032</v>
      </c>
      <c r="D19" s="412" t="s">
        <v>270</v>
      </c>
      <c r="E19" s="718"/>
      <c r="F19" s="718"/>
      <c r="G19" s="411">
        <f t="shared" si="2"/>
        <v>40.849299999999999</v>
      </c>
      <c r="H19" s="411">
        <v>26.33</v>
      </c>
      <c r="I19" s="411">
        <v>1</v>
      </c>
      <c r="J19" s="411">
        <v>14.256</v>
      </c>
      <c r="K19" s="403">
        <f>E19*$G19</f>
        <v>0</v>
      </c>
      <c r="L19" s="601"/>
      <c r="M19" s="469"/>
      <c r="N19" s="390"/>
      <c r="O19" s="469"/>
    </row>
    <row r="20" spans="1:15" ht="18" hidden="1" customHeight="1">
      <c r="A20" s="191" t="s">
        <v>894</v>
      </c>
      <c r="B20" s="478" t="s">
        <v>278</v>
      </c>
      <c r="C20" s="407" t="s">
        <v>1033</v>
      </c>
      <c r="D20" s="412" t="s">
        <v>231</v>
      </c>
      <c r="E20" s="718"/>
      <c r="F20" s="718"/>
      <c r="G20" s="411">
        <f t="shared" si="2"/>
        <v>130.33611111111111</v>
      </c>
      <c r="H20" s="411">
        <f>+'附件4-8甲供材料清单'!M188</f>
        <v>69.444444444444443</v>
      </c>
      <c r="I20" s="411">
        <v>10.5</v>
      </c>
      <c r="J20" s="411">
        <v>53.6</v>
      </c>
      <c r="K20" s="403">
        <f>E20*$G20</f>
        <v>0</v>
      </c>
      <c r="L20" s="601" t="s">
        <v>244</v>
      </c>
      <c r="M20" s="469">
        <f>K20</f>
        <v>0</v>
      </c>
      <c r="N20" s="390"/>
      <c r="O20" s="469">
        <f>E20*$H20*(1+$I20/100)</f>
        <v>0</v>
      </c>
    </row>
    <row r="21" spans="1:15" ht="30" customHeight="1">
      <c r="A21" s="191"/>
      <c r="B21" s="652" t="s">
        <v>64</v>
      </c>
      <c r="C21" s="636" t="s">
        <v>743</v>
      </c>
      <c r="D21" s="660"/>
      <c r="E21" s="658" t="s">
        <v>1859</v>
      </c>
      <c r="F21" s="658"/>
      <c r="G21" s="658"/>
      <c r="H21" s="658"/>
      <c r="I21" s="658"/>
      <c r="J21" s="658"/>
      <c r="K21" s="658"/>
      <c r="L21" s="658" t="s">
        <v>1877</v>
      </c>
      <c r="M21" s="469"/>
      <c r="N21" s="390"/>
      <c r="O21" s="469"/>
    </row>
    <row r="22" spans="1:15" ht="40.15" customHeight="1">
      <c r="A22" s="191"/>
      <c r="B22" s="478">
        <v>1</v>
      </c>
      <c r="C22" s="479" t="s">
        <v>1034</v>
      </c>
      <c r="D22" s="478" t="s">
        <v>320</v>
      </c>
      <c r="E22" s="718">
        <v>3</v>
      </c>
      <c r="F22" s="718"/>
      <c r="G22" s="411">
        <f t="shared" si="2"/>
        <v>12.473199999999999</v>
      </c>
      <c r="H22" s="567">
        <f>'附件4-8甲供材料清单'!K93</f>
        <v>5.72</v>
      </c>
      <c r="I22" s="411">
        <v>1</v>
      </c>
      <c r="J22" s="411">
        <v>6.6959999999999997</v>
      </c>
      <c r="K22" s="403">
        <f t="shared" ref="K22:K30" si="3">E22*$G22</f>
        <v>37.419599999999996</v>
      </c>
      <c r="L22" s="479" t="s">
        <v>244</v>
      </c>
      <c r="M22" s="469">
        <f t="shared" ref="M22:M30" si="4">K22</f>
        <v>37.419599999999996</v>
      </c>
      <c r="N22" s="390"/>
      <c r="O22" s="469">
        <f t="shared" ref="O22:O30" si="5">E22*$H22*(1+$I22/100)</f>
        <v>17.331600000000002</v>
      </c>
    </row>
    <row r="23" spans="1:15" ht="31.5" hidden="1" customHeight="1">
      <c r="A23" s="191"/>
      <c r="B23" s="478">
        <v>2</v>
      </c>
      <c r="C23" s="407" t="s">
        <v>1035</v>
      </c>
      <c r="D23" s="478" t="s">
        <v>320</v>
      </c>
      <c r="E23" s="718"/>
      <c r="F23" s="718"/>
      <c r="G23" s="411">
        <f t="shared" si="2"/>
        <v>13.0792</v>
      </c>
      <c r="H23" s="567">
        <f>'附件4-8甲供材料清单'!K99</f>
        <v>6.32</v>
      </c>
      <c r="I23" s="411">
        <v>1</v>
      </c>
      <c r="J23" s="411">
        <v>6.6959999999999997</v>
      </c>
      <c r="K23" s="403">
        <f t="shared" si="3"/>
        <v>0</v>
      </c>
      <c r="L23" s="479" t="s">
        <v>244</v>
      </c>
      <c r="M23" s="469">
        <f t="shared" si="4"/>
        <v>0</v>
      </c>
      <c r="N23" s="390"/>
      <c r="O23" s="469">
        <f t="shared" si="5"/>
        <v>0</v>
      </c>
    </row>
    <row r="24" spans="1:15" ht="28.5" hidden="1" customHeight="1">
      <c r="A24" s="191"/>
      <c r="B24" s="478">
        <v>3</v>
      </c>
      <c r="C24" s="479" t="s">
        <v>1036</v>
      </c>
      <c r="D24" s="478" t="s">
        <v>320</v>
      </c>
      <c r="E24" s="718"/>
      <c r="F24" s="718"/>
      <c r="G24" s="411">
        <f t="shared" si="2"/>
        <v>97.596000000000004</v>
      </c>
      <c r="H24" s="567">
        <f>'附件4-8甲供材料清单'!K92</f>
        <v>90</v>
      </c>
      <c r="I24" s="411">
        <v>1</v>
      </c>
      <c r="J24" s="411">
        <v>6.6959999999999997</v>
      </c>
      <c r="K24" s="403">
        <f t="shared" si="3"/>
        <v>0</v>
      </c>
      <c r="L24" s="479" t="s">
        <v>244</v>
      </c>
      <c r="M24" s="469">
        <f t="shared" si="4"/>
        <v>0</v>
      </c>
      <c r="N24" s="390"/>
      <c r="O24" s="469">
        <f t="shared" si="5"/>
        <v>0</v>
      </c>
    </row>
    <row r="25" spans="1:15" ht="26.25" hidden="1" customHeight="1">
      <c r="A25" s="191"/>
      <c r="B25" s="478">
        <v>4</v>
      </c>
      <c r="C25" s="479" t="s">
        <v>971</v>
      </c>
      <c r="D25" s="478" t="s">
        <v>482</v>
      </c>
      <c r="E25" s="718"/>
      <c r="F25" s="718"/>
      <c r="G25" s="411">
        <f t="shared" si="2"/>
        <v>58.410000000000004</v>
      </c>
      <c r="H25" s="567">
        <f>'附件4-8甲供材料清单'!K210</f>
        <v>45</v>
      </c>
      <c r="I25" s="411">
        <v>1</v>
      </c>
      <c r="J25" s="411">
        <v>12.96</v>
      </c>
      <c r="K25" s="403">
        <f t="shared" si="3"/>
        <v>0</v>
      </c>
      <c r="L25" s="479" t="s">
        <v>244</v>
      </c>
      <c r="M25" s="469">
        <f t="shared" si="4"/>
        <v>0</v>
      </c>
      <c r="N25" s="390"/>
      <c r="O25" s="469">
        <f t="shared" si="5"/>
        <v>0</v>
      </c>
    </row>
    <row r="26" spans="1:15" ht="26.25" hidden="1" customHeight="1">
      <c r="A26" s="191"/>
      <c r="B26" s="478">
        <v>5</v>
      </c>
      <c r="C26" s="479" t="s">
        <v>972</v>
      </c>
      <c r="D26" s="478" t="s">
        <v>482</v>
      </c>
      <c r="E26" s="718"/>
      <c r="F26" s="718"/>
      <c r="G26" s="411">
        <f t="shared" si="2"/>
        <v>48.31</v>
      </c>
      <c r="H26" s="567">
        <f>'附件4-8甲供材料清单'!K211</f>
        <v>35</v>
      </c>
      <c r="I26" s="411">
        <v>1</v>
      </c>
      <c r="J26" s="411">
        <v>12.96</v>
      </c>
      <c r="K26" s="403">
        <f t="shared" si="3"/>
        <v>0</v>
      </c>
      <c r="L26" s="479" t="s">
        <v>244</v>
      </c>
      <c r="M26" s="469">
        <f t="shared" si="4"/>
        <v>0</v>
      </c>
      <c r="N26" s="390"/>
      <c r="O26" s="469">
        <f t="shared" si="5"/>
        <v>0</v>
      </c>
    </row>
    <row r="27" spans="1:15" ht="26.25" hidden="1" customHeight="1">
      <c r="A27" s="191"/>
      <c r="B27" s="478">
        <v>6</v>
      </c>
      <c r="C27" s="407" t="s">
        <v>1037</v>
      </c>
      <c r="D27" s="478" t="s">
        <v>320</v>
      </c>
      <c r="E27" s="717"/>
      <c r="F27" s="717"/>
      <c r="G27" s="411">
        <f t="shared" si="2"/>
        <v>83.070000000000007</v>
      </c>
      <c r="H27" s="567">
        <f>'附件4-8甲供材料清单'!K208</f>
        <v>63</v>
      </c>
      <c r="I27" s="411">
        <v>1</v>
      </c>
      <c r="J27" s="411">
        <v>19.440000000000001</v>
      </c>
      <c r="K27" s="403">
        <f t="shared" si="3"/>
        <v>0</v>
      </c>
      <c r="L27" s="479" t="s">
        <v>244</v>
      </c>
      <c r="M27" s="469">
        <f t="shared" si="4"/>
        <v>0</v>
      </c>
      <c r="N27" s="390"/>
      <c r="O27" s="469">
        <f t="shared" si="5"/>
        <v>0</v>
      </c>
    </row>
    <row r="28" spans="1:15" ht="40.15" customHeight="1">
      <c r="A28" s="191"/>
      <c r="B28" s="478">
        <v>7</v>
      </c>
      <c r="C28" s="479" t="s">
        <v>1869</v>
      </c>
      <c r="D28" s="478" t="s">
        <v>235</v>
      </c>
      <c r="E28" s="718">
        <v>80</v>
      </c>
      <c r="F28" s="718"/>
      <c r="G28" s="411">
        <f t="shared" si="2"/>
        <v>2.5367999999999999</v>
      </c>
      <c r="H28" s="567">
        <f>+'附件4-8甲供材料清单'!K110</f>
        <v>1.47</v>
      </c>
      <c r="I28" s="411">
        <v>16</v>
      </c>
      <c r="J28" s="411">
        <v>0.83160000000000001</v>
      </c>
      <c r="K28" s="403">
        <f t="shared" si="3"/>
        <v>202.94399999999999</v>
      </c>
      <c r="L28" s="479" t="s">
        <v>244</v>
      </c>
      <c r="M28" s="469">
        <f t="shared" si="4"/>
        <v>202.94399999999999</v>
      </c>
      <c r="N28" s="390"/>
      <c r="O28" s="469">
        <f t="shared" si="5"/>
        <v>136.416</v>
      </c>
    </row>
    <row r="29" spans="1:15" ht="26.25" hidden="1" customHeight="1">
      <c r="A29" s="191"/>
      <c r="B29" s="478">
        <v>8</v>
      </c>
      <c r="C29" s="479" t="s">
        <v>1870</v>
      </c>
      <c r="D29" s="478" t="s">
        <v>235</v>
      </c>
      <c r="E29" s="718"/>
      <c r="F29" s="718"/>
      <c r="G29" s="411">
        <f t="shared" si="2"/>
        <v>3.1631999999999998</v>
      </c>
      <c r="H29" s="567">
        <f>'附件4-8甲供材料清单'!K113</f>
        <v>2.0099999999999998</v>
      </c>
      <c r="I29" s="411">
        <v>16</v>
      </c>
      <c r="J29" s="411">
        <v>0.83160000000000001</v>
      </c>
      <c r="K29" s="403">
        <f t="shared" si="3"/>
        <v>0</v>
      </c>
      <c r="L29" s="479" t="s">
        <v>244</v>
      </c>
      <c r="M29" s="469">
        <f t="shared" si="4"/>
        <v>0</v>
      </c>
      <c r="N29" s="390"/>
      <c r="O29" s="469">
        <f t="shared" si="5"/>
        <v>0</v>
      </c>
    </row>
    <row r="30" spans="1:15" ht="45" hidden="1">
      <c r="A30" s="191"/>
      <c r="B30" s="478">
        <v>9</v>
      </c>
      <c r="C30" s="407" t="s">
        <v>1038</v>
      </c>
      <c r="D30" s="478" t="s">
        <v>235</v>
      </c>
      <c r="E30" s="718"/>
      <c r="F30" s="718"/>
      <c r="G30" s="411">
        <f t="shared" si="2"/>
        <v>7.0295000000000005</v>
      </c>
      <c r="H30" s="567">
        <f>'附件4-8甲供材料清单'!K116</f>
        <v>1.19</v>
      </c>
      <c r="I30" s="411">
        <v>5</v>
      </c>
      <c r="J30" s="411">
        <v>5.78</v>
      </c>
      <c r="K30" s="403">
        <f t="shared" si="3"/>
        <v>0</v>
      </c>
      <c r="L30" s="479" t="s">
        <v>499</v>
      </c>
      <c r="M30" s="469">
        <f t="shared" si="4"/>
        <v>0</v>
      </c>
      <c r="N30" s="390"/>
      <c r="O30" s="469">
        <f t="shared" si="5"/>
        <v>0</v>
      </c>
    </row>
    <row r="31" spans="1:15" ht="19.149999999999999" customHeight="1">
      <c r="A31" s="191"/>
      <c r="B31" s="637"/>
      <c r="C31" s="636" t="s">
        <v>1039</v>
      </c>
      <c r="D31" s="661"/>
      <c r="E31" s="658" t="s">
        <v>1859</v>
      </c>
      <c r="F31" s="658"/>
      <c r="G31" s="658"/>
      <c r="H31" s="658"/>
      <c r="I31" s="658"/>
      <c r="J31" s="658"/>
      <c r="K31" s="658"/>
      <c r="L31" s="658" t="s">
        <v>1877</v>
      </c>
      <c r="M31" s="469"/>
      <c r="N31" s="390"/>
      <c r="O31" s="469"/>
    </row>
    <row r="32" spans="1:15" ht="50.1" customHeight="1">
      <c r="A32" s="198"/>
      <c r="B32" s="457">
        <v>1</v>
      </c>
      <c r="C32" s="484" t="s">
        <v>1247</v>
      </c>
      <c r="D32" s="602" t="s">
        <v>231</v>
      </c>
      <c r="E32" s="717">
        <f>2.4+3.16</f>
        <v>5.5600000000000005</v>
      </c>
      <c r="F32" s="717"/>
      <c r="G32" s="734">
        <f t="shared" si="2"/>
        <v>22.012509999999999</v>
      </c>
      <c r="H32" s="723">
        <f>'附件4-8甲供材料清单'!N127</f>
        <v>2.79251</v>
      </c>
      <c r="I32" s="723"/>
      <c r="J32" s="723">
        <v>19.22</v>
      </c>
      <c r="K32" s="485">
        <f t="shared" ref="K32:K47" si="6">E32*$G32</f>
        <v>122.38955560000001</v>
      </c>
      <c r="L32" s="603" t="s">
        <v>244</v>
      </c>
      <c r="M32" s="410">
        <f>K32</f>
        <v>122.38955560000001</v>
      </c>
      <c r="N32" s="212"/>
      <c r="O32" s="410">
        <f>E32*$H32*(1+$I32/100)</f>
        <v>15.526355600000002</v>
      </c>
    </row>
    <row r="33" spans="1:15" ht="50.1" customHeight="1">
      <c r="A33" s="198" t="s">
        <v>1248</v>
      </c>
      <c r="B33" s="457"/>
      <c r="C33" s="484" t="s">
        <v>1249</v>
      </c>
      <c r="D33" s="602" t="s">
        <v>231</v>
      </c>
      <c r="E33" s="718">
        <f>2.4+3.16</f>
        <v>5.5600000000000005</v>
      </c>
      <c r="F33" s="718"/>
      <c r="G33" s="734">
        <f t="shared" si="2"/>
        <v>79.14</v>
      </c>
      <c r="H33" s="575">
        <v>15</v>
      </c>
      <c r="I33" s="575">
        <v>10</v>
      </c>
      <c r="J33" s="723">
        <v>62.64</v>
      </c>
      <c r="K33" s="485">
        <f t="shared" si="6"/>
        <v>440.01840000000004</v>
      </c>
      <c r="L33" s="603"/>
      <c r="M33" s="410"/>
      <c r="N33" s="212"/>
      <c r="O33" s="410"/>
    </row>
    <row r="34" spans="1:15" ht="40.15" customHeight="1">
      <c r="A34" s="198"/>
      <c r="B34" s="457">
        <v>3</v>
      </c>
      <c r="C34" s="604" t="s">
        <v>1250</v>
      </c>
      <c r="D34" s="605" t="s">
        <v>235</v>
      </c>
      <c r="E34" s="717">
        <f>13.83-0.8*2</f>
        <v>12.23</v>
      </c>
      <c r="F34" s="717"/>
      <c r="G34" s="734">
        <f t="shared" si="2"/>
        <v>52.260000000000005</v>
      </c>
      <c r="H34" s="722">
        <f>'附件4-8甲供材料清单'!M15</f>
        <v>40.666666666666671</v>
      </c>
      <c r="I34" s="723">
        <v>5</v>
      </c>
      <c r="J34" s="723">
        <v>9.56</v>
      </c>
      <c r="K34" s="485">
        <f t="shared" si="6"/>
        <v>639.13980000000004</v>
      </c>
      <c r="L34" s="603" t="s">
        <v>244</v>
      </c>
      <c r="M34" s="410">
        <f>K34</f>
        <v>639.13980000000004</v>
      </c>
      <c r="N34" s="212"/>
      <c r="O34" s="410">
        <f>E34*$H34*(1+$I34/100)</f>
        <v>522.22100000000012</v>
      </c>
    </row>
    <row r="35" spans="1:15" ht="40.15" customHeight="1">
      <c r="A35" s="198"/>
      <c r="B35" s="457">
        <v>4</v>
      </c>
      <c r="C35" s="484" t="s">
        <v>1251</v>
      </c>
      <c r="D35" s="602" t="s">
        <v>231</v>
      </c>
      <c r="E35" s="718">
        <f>5.6*2.8+6.26*2.8</f>
        <v>33.207999999999998</v>
      </c>
      <c r="F35" s="718"/>
      <c r="G35" s="734">
        <f t="shared" si="2"/>
        <v>96.706666666666678</v>
      </c>
      <c r="H35" s="723">
        <f>'附件4-8甲供材料清单'!M16</f>
        <v>40.666666666666671</v>
      </c>
      <c r="I35" s="723">
        <v>6</v>
      </c>
      <c r="J35" s="723">
        <v>53.6</v>
      </c>
      <c r="K35" s="485">
        <f t="shared" si="6"/>
        <v>3211.4349866666671</v>
      </c>
      <c r="L35" s="603" t="s">
        <v>244</v>
      </c>
      <c r="M35" s="410">
        <f>K35</f>
        <v>3211.4349866666671</v>
      </c>
      <c r="N35" s="212"/>
      <c r="O35" s="410">
        <f>E35*$H35*(1+$I35/100)</f>
        <v>1431.4861866666668</v>
      </c>
    </row>
    <row r="36" spans="1:15" ht="40.15" customHeight="1">
      <c r="A36" s="198"/>
      <c r="B36" s="457">
        <v>5</v>
      </c>
      <c r="C36" s="484" t="s">
        <v>1252</v>
      </c>
      <c r="D36" s="602" t="s">
        <v>231</v>
      </c>
      <c r="E36" s="718">
        <f>2.4+11.03+3.16</f>
        <v>16.59</v>
      </c>
      <c r="F36" s="718"/>
      <c r="G36" s="734">
        <f t="shared" si="2"/>
        <v>109.54749999999999</v>
      </c>
      <c r="H36" s="723">
        <f>'附件4-8甲供材料清单'!M13</f>
        <v>57.874999999999986</v>
      </c>
      <c r="I36" s="723">
        <v>6</v>
      </c>
      <c r="J36" s="723">
        <v>48.2</v>
      </c>
      <c r="K36" s="485">
        <f t="shared" si="6"/>
        <v>1817.3930249999999</v>
      </c>
      <c r="L36" s="603" t="s">
        <v>244</v>
      </c>
      <c r="M36" s="410">
        <f>K36</f>
        <v>1817.3930249999999</v>
      </c>
      <c r="N36" s="212"/>
      <c r="O36" s="410">
        <f>E36*$H36*(1+$I36/100)</f>
        <v>1017.7550249999998</v>
      </c>
    </row>
    <row r="37" spans="1:15" ht="40.15" customHeight="1">
      <c r="A37" s="198"/>
      <c r="B37" s="457">
        <v>6</v>
      </c>
      <c r="C37" s="484" t="s">
        <v>305</v>
      </c>
      <c r="D37" s="457" t="s">
        <v>231</v>
      </c>
      <c r="E37" s="718">
        <f>2.4+3.16+6.26*1.8+5.6*1.8</f>
        <v>26.908000000000001</v>
      </c>
      <c r="F37" s="718"/>
      <c r="G37" s="734">
        <f t="shared" si="2"/>
        <v>39.800000000000004</v>
      </c>
      <c r="H37" s="723">
        <f>'附件4-8甲供材料清单'!M168</f>
        <v>30.800000000000004</v>
      </c>
      <c r="I37" s="734"/>
      <c r="J37" s="734">
        <v>9</v>
      </c>
      <c r="K37" s="485">
        <f t="shared" si="6"/>
        <v>1070.9384000000002</v>
      </c>
      <c r="L37" s="603" t="s">
        <v>244</v>
      </c>
      <c r="M37" s="410">
        <f>K37</f>
        <v>1070.9384000000002</v>
      </c>
      <c r="N37" s="212"/>
      <c r="O37" s="410">
        <f>E37*$H37*(1+$I37/100)</f>
        <v>828.7664000000002</v>
      </c>
    </row>
    <row r="38" spans="1:15" ht="18" hidden="1" customHeight="1">
      <c r="A38" s="198"/>
      <c r="B38" s="457" t="s">
        <v>233</v>
      </c>
      <c r="C38" s="484" t="s">
        <v>307</v>
      </c>
      <c r="D38" s="602" t="s">
        <v>231</v>
      </c>
      <c r="E38" s="718"/>
      <c r="F38" s="718"/>
      <c r="G38" s="734">
        <f t="shared" si="2"/>
        <v>20.56</v>
      </c>
      <c r="H38" s="723">
        <v>13</v>
      </c>
      <c r="I38" s="723">
        <v>0</v>
      </c>
      <c r="J38" s="723">
        <v>7.56</v>
      </c>
      <c r="K38" s="485">
        <f t="shared" si="6"/>
        <v>0</v>
      </c>
      <c r="L38" s="603"/>
      <c r="M38" s="410"/>
      <c r="N38" s="212"/>
      <c r="O38" s="410"/>
    </row>
    <row r="39" spans="1:15" ht="18" hidden="1" customHeight="1">
      <c r="A39" s="198"/>
      <c r="B39" s="457" t="s">
        <v>233</v>
      </c>
      <c r="C39" s="484" t="s">
        <v>1253</v>
      </c>
      <c r="D39" s="605" t="s">
        <v>235</v>
      </c>
      <c r="E39" s="718"/>
      <c r="F39" s="718"/>
      <c r="G39" s="734">
        <f t="shared" si="2"/>
        <v>38.57</v>
      </c>
      <c r="H39" s="723">
        <v>29.4</v>
      </c>
      <c r="I39" s="734">
        <v>5</v>
      </c>
      <c r="J39" s="734">
        <v>7.7</v>
      </c>
      <c r="K39" s="485">
        <f t="shared" si="6"/>
        <v>0</v>
      </c>
      <c r="L39" s="603"/>
      <c r="M39" s="410"/>
      <c r="N39" s="212"/>
      <c r="O39" s="410"/>
    </row>
    <row r="40" spans="1:15" ht="40.15" customHeight="1">
      <c r="A40" s="198"/>
      <c r="B40" s="457"/>
      <c r="C40" s="484" t="s">
        <v>1254</v>
      </c>
      <c r="D40" s="457" t="s">
        <v>320</v>
      </c>
      <c r="E40" s="718">
        <v>1</v>
      </c>
      <c r="F40" s="718"/>
      <c r="G40" s="734">
        <f t="shared" si="2"/>
        <v>1500</v>
      </c>
      <c r="H40" s="723">
        <f>'附件4-8甲供材料清单'!K70</f>
        <v>1500</v>
      </c>
      <c r="I40" s="723"/>
      <c r="J40" s="723"/>
      <c r="K40" s="485">
        <f t="shared" si="6"/>
        <v>1500</v>
      </c>
      <c r="L40" s="458" t="s">
        <v>1878</v>
      </c>
      <c r="M40" s="410"/>
      <c r="N40" s="212"/>
      <c r="O40" s="410"/>
    </row>
    <row r="41" spans="1:15" ht="40.15" customHeight="1">
      <c r="A41" s="198"/>
      <c r="B41" s="457"/>
      <c r="C41" s="484" t="s">
        <v>342</v>
      </c>
      <c r="D41" s="457" t="s">
        <v>270</v>
      </c>
      <c r="E41" s="718">
        <v>4</v>
      </c>
      <c r="F41" s="718"/>
      <c r="G41" s="734">
        <f t="shared" si="2"/>
        <v>27.995999999999999</v>
      </c>
      <c r="H41" s="723">
        <v>13.6</v>
      </c>
      <c r="I41" s="723">
        <v>1</v>
      </c>
      <c r="J41" s="723">
        <v>14.26</v>
      </c>
      <c r="K41" s="485">
        <f t="shared" si="6"/>
        <v>111.98399999999999</v>
      </c>
      <c r="L41" s="603"/>
      <c r="M41" s="410"/>
      <c r="N41" s="212"/>
      <c r="O41" s="410"/>
    </row>
    <row r="42" spans="1:15" ht="40.15" customHeight="1">
      <c r="A42" s="198"/>
      <c r="B42" s="457"/>
      <c r="C42" s="484" t="s">
        <v>1255</v>
      </c>
      <c r="D42" s="605" t="s">
        <v>436</v>
      </c>
      <c r="E42" s="718">
        <v>2</v>
      </c>
      <c r="F42" s="718"/>
      <c r="G42" s="734">
        <f t="shared" si="2"/>
        <v>1538.2049999999999</v>
      </c>
      <c r="H42" s="723">
        <f>'附件4-8甲供材料清单'!K84</f>
        <v>1321</v>
      </c>
      <c r="I42" s="723">
        <v>0.5</v>
      </c>
      <c r="J42" s="723">
        <v>210.6</v>
      </c>
      <c r="K42" s="485">
        <f t="shared" si="6"/>
        <v>3076.41</v>
      </c>
      <c r="L42" s="603" t="s">
        <v>244</v>
      </c>
      <c r="M42" s="410">
        <f t="shared" ref="M42:M47" si="7">K42</f>
        <v>3076.41</v>
      </c>
      <c r="N42" s="212"/>
      <c r="O42" s="410">
        <f t="shared" ref="O42:O47" si="8">E42*$H42*(1+$I42/100)</f>
        <v>2655.2099999999996</v>
      </c>
    </row>
    <row r="43" spans="1:15" ht="40.15" customHeight="1">
      <c r="A43" s="191"/>
      <c r="B43" s="689">
        <v>8</v>
      </c>
      <c r="C43" s="407" t="s">
        <v>445</v>
      </c>
      <c r="D43" s="478" t="s">
        <v>320</v>
      </c>
      <c r="E43" s="777">
        <v>2</v>
      </c>
      <c r="F43" s="777"/>
      <c r="G43" s="411">
        <f t="shared" si="2"/>
        <v>223.99</v>
      </c>
      <c r="H43" s="567">
        <f>'附件4-8甲供材料清单'!K58+'附件4-8甲供材料清单'!K66+'附件4-8甲供材料清单'!K67*3</f>
        <v>179</v>
      </c>
      <c r="I43" s="567">
        <v>1</v>
      </c>
      <c r="J43" s="567">
        <v>43.2</v>
      </c>
      <c r="K43" s="403">
        <f t="shared" si="6"/>
        <v>447.98</v>
      </c>
      <c r="L43" s="479" t="s">
        <v>244</v>
      </c>
      <c r="M43" s="469">
        <f t="shared" si="7"/>
        <v>447.98</v>
      </c>
      <c r="N43" s="390"/>
      <c r="O43" s="469">
        <f t="shared" si="8"/>
        <v>361.58</v>
      </c>
    </row>
    <row r="44" spans="1:15" ht="40.15" customHeight="1">
      <c r="A44" s="191" t="s">
        <v>1256</v>
      </c>
      <c r="B44" s="689"/>
      <c r="C44" s="415" t="s">
        <v>361</v>
      </c>
      <c r="D44" s="689" t="s">
        <v>320</v>
      </c>
      <c r="E44" s="778">
        <v>1</v>
      </c>
      <c r="F44" s="778"/>
      <c r="G44" s="411">
        <f t="shared" si="2"/>
        <v>1292.2199999999998</v>
      </c>
      <c r="H44" s="567">
        <f>'附件4-8甲供材料清单'!K27</f>
        <v>1134</v>
      </c>
      <c r="I44" s="567">
        <v>1</v>
      </c>
      <c r="J44" s="567">
        <v>146.88</v>
      </c>
      <c r="K44" s="403">
        <f t="shared" si="6"/>
        <v>1292.2199999999998</v>
      </c>
      <c r="L44" s="479" t="s">
        <v>244</v>
      </c>
      <c r="M44" s="469">
        <f t="shared" si="7"/>
        <v>1292.2199999999998</v>
      </c>
      <c r="N44" s="390"/>
      <c r="O44" s="469">
        <f t="shared" si="8"/>
        <v>1145.3399999999999</v>
      </c>
    </row>
    <row r="45" spans="1:15" ht="40.15" customHeight="1">
      <c r="A45" s="191" t="s">
        <v>1256</v>
      </c>
      <c r="B45" s="689"/>
      <c r="C45" s="417" t="s">
        <v>494</v>
      </c>
      <c r="D45" s="422" t="s">
        <v>320</v>
      </c>
      <c r="E45" s="777">
        <v>1</v>
      </c>
      <c r="F45" s="777"/>
      <c r="G45" s="411">
        <f t="shared" si="2"/>
        <v>111.49000000000001</v>
      </c>
      <c r="H45" s="567">
        <f>'附件4-8甲供材料清单'!K49</f>
        <v>89</v>
      </c>
      <c r="I45" s="567">
        <v>1</v>
      </c>
      <c r="J45" s="567">
        <v>21.6</v>
      </c>
      <c r="K45" s="403">
        <f t="shared" si="6"/>
        <v>111.49000000000001</v>
      </c>
      <c r="L45" s="479" t="s">
        <v>244</v>
      </c>
      <c r="M45" s="469">
        <f t="shared" si="7"/>
        <v>111.49000000000001</v>
      </c>
      <c r="N45" s="390"/>
      <c r="O45" s="469">
        <f t="shared" si="8"/>
        <v>89.89</v>
      </c>
    </row>
    <row r="46" spans="1:15" ht="40.15" customHeight="1">
      <c r="A46" s="191" t="s">
        <v>1256</v>
      </c>
      <c r="B46" s="689"/>
      <c r="C46" s="417" t="s">
        <v>1257</v>
      </c>
      <c r="D46" s="689" t="s">
        <v>482</v>
      </c>
      <c r="E46" s="777">
        <v>2</v>
      </c>
      <c r="F46" s="777"/>
      <c r="G46" s="411">
        <f t="shared" si="2"/>
        <v>38.21</v>
      </c>
      <c r="H46" s="567">
        <f>'附件4-8甲供材料清单'!K46</f>
        <v>25</v>
      </c>
      <c r="I46" s="567">
        <v>1</v>
      </c>
      <c r="J46" s="567">
        <v>12.96</v>
      </c>
      <c r="K46" s="403">
        <f t="shared" si="6"/>
        <v>76.42</v>
      </c>
      <c r="L46" s="479" t="s">
        <v>244</v>
      </c>
      <c r="M46" s="469">
        <f t="shared" si="7"/>
        <v>76.42</v>
      </c>
      <c r="N46" s="390"/>
      <c r="O46" s="469">
        <f t="shared" si="8"/>
        <v>50.5</v>
      </c>
    </row>
    <row r="47" spans="1:15" ht="40.15" customHeight="1">
      <c r="A47" s="191" t="s">
        <v>1256</v>
      </c>
      <c r="B47" s="689"/>
      <c r="C47" s="417" t="s">
        <v>1258</v>
      </c>
      <c r="D47" s="689" t="s">
        <v>482</v>
      </c>
      <c r="E47" s="777">
        <v>1</v>
      </c>
      <c r="F47" s="777"/>
      <c r="G47" s="411">
        <f t="shared" si="2"/>
        <v>60.849999999999994</v>
      </c>
      <c r="H47" s="567">
        <f>'附件4-8甲供材料清单'!K44</f>
        <v>41</v>
      </c>
      <c r="I47" s="567">
        <v>1</v>
      </c>
      <c r="J47" s="567">
        <v>19.440000000000001</v>
      </c>
      <c r="K47" s="403">
        <f t="shared" si="6"/>
        <v>60.849999999999994</v>
      </c>
      <c r="L47" s="479" t="s">
        <v>244</v>
      </c>
      <c r="M47" s="469">
        <f t="shared" si="7"/>
        <v>60.849999999999994</v>
      </c>
      <c r="N47" s="390"/>
      <c r="O47" s="469">
        <f t="shared" si="8"/>
        <v>41.410000000000004</v>
      </c>
    </row>
    <row r="48" spans="1:15" s="688" customFormat="1" ht="20.100000000000001" hidden="1" customHeight="1">
      <c r="A48" s="191"/>
      <c r="B48" s="408"/>
      <c r="C48" s="606" t="s">
        <v>547</v>
      </c>
      <c r="D48" s="412"/>
      <c r="E48" s="574"/>
      <c r="F48" s="574"/>
      <c r="G48" s="779"/>
      <c r="H48" s="411"/>
      <c r="I48" s="411"/>
      <c r="J48" s="411"/>
      <c r="K48" s="684">
        <f>SUM(K8:K47)</f>
        <v>15300.720507176668</v>
      </c>
      <c r="L48" s="601"/>
      <c r="M48" s="684">
        <f t="shared" ref="M48" si="9">SUM(M8:M47)</f>
        <v>13116.948507176665</v>
      </c>
      <c r="N48" s="682"/>
      <c r="O48" s="684">
        <f t="shared" ref="O48" si="10">SUM(O8:O47)</f>
        <v>8411.3248031766652</v>
      </c>
    </row>
    <row r="49" spans="1:15" ht="20.100000000000001" hidden="1" customHeight="1">
      <c r="A49" s="191"/>
      <c r="B49" s="760"/>
      <c r="C49" s="761" t="s">
        <v>548</v>
      </c>
      <c r="D49" s="660"/>
      <c r="E49" s="702"/>
      <c r="F49" s="702"/>
      <c r="G49" s="762"/>
      <c r="H49" s="746"/>
      <c r="I49" s="746"/>
      <c r="J49" s="746"/>
      <c r="K49" s="639"/>
      <c r="L49" s="763"/>
      <c r="M49" s="212"/>
      <c r="N49" s="212"/>
      <c r="O49" s="212"/>
    </row>
    <row r="50" spans="1:15" ht="26.25" hidden="1" customHeight="1">
      <c r="A50" s="191"/>
      <c r="B50" s="641" t="s">
        <v>133</v>
      </c>
      <c r="C50" s="776" t="s">
        <v>549</v>
      </c>
      <c r="D50" s="660"/>
      <c r="E50" s="702"/>
      <c r="F50" s="702"/>
      <c r="G50" s="780"/>
      <c r="H50" s="746"/>
      <c r="I50" s="746"/>
      <c r="J50" s="746"/>
      <c r="K50" s="639"/>
      <c r="L50" s="763"/>
      <c r="M50" s="212"/>
      <c r="N50" s="212"/>
      <c r="O50" s="212"/>
    </row>
    <row r="51" spans="1:15" ht="26.25" hidden="1" customHeight="1">
      <c r="A51" s="200"/>
      <c r="B51" s="408" t="s">
        <v>140</v>
      </c>
      <c r="C51" s="407" t="s">
        <v>551</v>
      </c>
      <c r="D51" s="412"/>
      <c r="E51" s="766"/>
      <c r="F51" s="766"/>
      <c r="G51" s="767"/>
      <c r="H51" s="411"/>
      <c r="I51" s="411"/>
      <c r="J51" s="411"/>
      <c r="K51" s="403">
        <f>K48-K58</f>
        <v>2183.7720000000027</v>
      </c>
      <c r="L51" s="601"/>
      <c r="M51" s="213"/>
      <c r="N51" s="213"/>
      <c r="O51" s="213"/>
    </row>
    <row r="52" spans="1:15" ht="26.25" hidden="1" customHeight="1">
      <c r="A52" s="200"/>
      <c r="B52" s="408" t="s">
        <v>552</v>
      </c>
      <c r="C52" s="407" t="s">
        <v>553</v>
      </c>
      <c r="D52" s="412"/>
      <c r="E52" s="766"/>
      <c r="F52" s="766"/>
      <c r="G52" s="767">
        <f>'附件4-1套内1'!M317</f>
        <v>6.5000000000000002E-2</v>
      </c>
      <c r="H52" s="411"/>
      <c r="I52" s="411"/>
      <c r="J52" s="411"/>
      <c r="K52" s="403">
        <f>K51*$G52</f>
        <v>141.94518000000016</v>
      </c>
      <c r="L52" s="601"/>
      <c r="M52" s="213"/>
      <c r="N52" s="213"/>
      <c r="O52" s="213"/>
    </row>
    <row r="53" spans="1:15" ht="26.25" hidden="1" customHeight="1">
      <c r="A53" s="200"/>
      <c r="B53" s="408" t="s">
        <v>554</v>
      </c>
      <c r="C53" s="407" t="s">
        <v>555</v>
      </c>
      <c r="D53" s="412"/>
      <c r="E53" s="766"/>
      <c r="F53" s="766"/>
      <c r="G53" s="767">
        <f>'附件4-1套内1'!M318</f>
        <v>0.1</v>
      </c>
      <c r="H53" s="411"/>
      <c r="I53" s="411"/>
      <c r="J53" s="411"/>
      <c r="K53" s="403">
        <f>K51*$G53</f>
        <v>218.37720000000027</v>
      </c>
      <c r="L53" s="601"/>
      <c r="M53" s="213"/>
      <c r="N53" s="213"/>
      <c r="O53" s="213"/>
    </row>
    <row r="54" spans="1:15" ht="26.25" hidden="1" customHeight="1">
      <c r="A54" s="200"/>
      <c r="B54" s="408" t="s">
        <v>556</v>
      </c>
      <c r="C54" s="407" t="s">
        <v>1854</v>
      </c>
      <c r="D54" s="412"/>
      <c r="E54" s="766"/>
      <c r="F54" s="766"/>
      <c r="G54" s="767">
        <f>'附件4-1套内1'!M319</f>
        <v>0</v>
      </c>
      <c r="H54" s="411"/>
      <c r="I54" s="411"/>
      <c r="J54" s="411"/>
      <c r="K54" s="403">
        <f>K51*$G54</f>
        <v>0</v>
      </c>
      <c r="L54" s="601"/>
      <c r="M54" s="213"/>
      <c r="N54" s="213"/>
      <c r="O54" s="213"/>
    </row>
    <row r="55" spans="1:15" ht="26.25" hidden="1" customHeight="1">
      <c r="A55" s="200"/>
      <c r="B55" s="408" t="s">
        <v>558</v>
      </c>
      <c r="C55" s="407" t="s">
        <v>1043</v>
      </c>
      <c r="D55" s="412"/>
      <c r="E55" s="766"/>
      <c r="F55" s="766"/>
      <c r="G55" s="768">
        <f>'附件4-1套内1'!M320</f>
        <v>3.4770000000000002E-2</v>
      </c>
      <c r="H55" s="411"/>
      <c r="I55" s="411"/>
      <c r="J55" s="411"/>
      <c r="K55" s="403">
        <f>SUM(K51:K54)*$G55</f>
        <v>88.458161592600121</v>
      </c>
      <c r="L55" s="601"/>
      <c r="M55" s="213"/>
      <c r="N55" s="213"/>
      <c r="O55" s="213"/>
    </row>
    <row r="56" spans="1:15" ht="26.25" hidden="1" customHeight="1">
      <c r="A56" s="200"/>
      <c r="B56" s="408" t="s">
        <v>560</v>
      </c>
      <c r="C56" s="407" t="s">
        <v>1044</v>
      </c>
      <c r="D56" s="412"/>
      <c r="E56" s="766"/>
      <c r="F56" s="766"/>
      <c r="G56" s="767"/>
      <c r="H56" s="411"/>
      <c r="I56" s="411"/>
      <c r="J56" s="411"/>
      <c r="K56" s="403">
        <f>SUM(K51:K55)</f>
        <v>2632.5525415926031</v>
      </c>
      <c r="L56" s="601"/>
      <c r="M56" s="213"/>
      <c r="N56" s="213"/>
      <c r="O56" s="213"/>
    </row>
    <row r="57" spans="1:15" ht="26.25" hidden="1" customHeight="1">
      <c r="A57" s="200"/>
      <c r="B57" s="642" t="s">
        <v>246</v>
      </c>
      <c r="C57" s="636" t="s">
        <v>562</v>
      </c>
      <c r="D57" s="660"/>
      <c r="E57" s="781"/>
      <c r="F57" s="781"/>
      <c r="G57" s="780"/>
      <c r="H57" s="746"/>
      <c r="I57" s="746"/>
      <c r="J57" s="746"/>
      <c r="K57" s="639"/>
      <c r="L57" s="763"/>
      <c r="M57" s="213"/>
      <c r="N57" s="213"/>
      <c r="O57" s="213"/>
    </row>
    <row r="58" spans="1:15" ht="26.25" hidden="1" customHeight="1">
      <c r="A58" s="200"/>
      <c r="B58" s="408" t="s">
        <v>563</v>
      </c>
      <c r="C58" s="407" t="s">
        <v>551</v>
      </c>
      <c r="D58" s="412"/>
      <c r="E58" s="766"/>
      <c r="F58" s="766"/>
      <c r="G58" s="767"/>
      <c r="H58" s="411"/>
      <c r="I58" s="411"/>
      <c r="J58" s="411"/>
      <c r="K58" s="403">
        <f>M48</f>
        <v>13116.948507176665</v>
      </c>
      <c r="L58" s="601"/>
      <c r="M58" s="213"/>
      <c r="N58" s="213"/>
      <c r="O58" s="213"/>
    </row>
    <row r="59" spans="1:15" ht="26.25" hidden="1" customHeight="1">
      <c r="A59" s="200"/>
      <c r="B59" s="408" t="s">
        <v>210</v>
      </c>
      <c r="C59" s="407" t="s">
        <v>1045</v>
      </c>
      <c r="D59" s="412"/>
      <c r="E59" s="766"/>
      <c r="F59" s="766"/>
      <c r="G59" s="767"/>
      <c r="H59" s="411"/>
      <c r="I59" s="411"/>
      <c r="J59" s="411"/>
      <c r="K59" s="403">
        <f>O48</f>
        <v>8411.3248031766652</v>
      </c>
      <c r="L59" s="601"/>
      <c r="M59" s="213"/>
      <c r="N59" s="213"/>
      <c r="O59" s="213"/>
    </row>
    <row r="60" spans="1:15" ht="26.25" hidden="1" customHeight="1">
      <c r="A60" s="200"/>
      <c r="B60" s="408" t="s">
        <v>566</v>
      </c>
      <c r="C60" s="407" t="s">
        <v>567</v>
      </c>
      <c r="D60" s="412"/>
      <c r="E60" s="766"/>
      <c r="F60" s="766"/>
      <c r="G60" s="767">
        <f>'附件4-1套内1'!M325</f>
        <v>0.1</v>
      </c>
      <c r="H60" s="411"/>
      <c r="I60" s="411"/>
      <c r="J60" s="411"/>
      <c r="K60" s="403">
        <f>(K58-K59)*$G60</f>
        <v>470.56237039999996</v>
      </c>
      <c r="L60" s="601"/>
      <c r="M60" s="213"/>
      <c r="N60" s="213"/>
      <c r="O60" s="213"/>
    </row>
    <row r="61" spans="1:15" ht="26.25" hidden="1" customHeight="1">
      <c r="A61" s="200"/>
      <c r="B61" s="607" t="s">
        <v>568</v>
      </c>
      <c r="C61" s="608" t="s">
        <v>1046</v>
      </c>
      <c r="D61" s="412"/>
      <c r="E61" s="766"/>
      <c r="F61" s="766"/>
      <c r="G61" s="767">
        <f>'附件4-1套内1'!M326</f>
        <v>0.1</v>
      </c>
      <c r="H61" s="411"/>
      <c r="I61" s="411"/>
      <c r="J61" s="411"/>
      <c r="K61" s="403">
        <f>K59*$G61</f>
        <v>841.13248031766659</v>
      </c>
      <c r="L61" s="601"/>
      <c r="M61" s="213"/>
      <c r="N61" s="213"/>
      <c r="O61" s="213"/>
    </row>
    <row r="62" spans="1:15" ht="26.25" hidden="1" customHeight="1">
      <c r="A62" s="200"/>
      <c r="B62" s="408" t="s">
        <v>570</v>
      </c>
      <c r="C62" s="407" t="s">
        <v>571</v>
      </c>
      <c r="D62" s="412"/>
      <c r="E62" s="766"/>
      <c r="F62" s="766"/>
      <c r="G62" s="767">
        <f>'附件4-1套内1'!M327</f>
        <v>0.1</v>
      </c>
      <c r="H62" s="411"/>
      <c r="I62" s="411"/>
      <c r="J62" s="411"/>
      <c r="K62" s="403">
        <f>(K58-K59)*$G62</f>
        <v>470.56237039999996</v>
      </c>
      <c r="L62" s="601"/>
      <c r="M62" s="213"/>
      <c r="N62" s="213"/>
      <c r="O62" s="213"/>
    </row>
    <row r="63" spans="1:15" ht="26.25" hidden="1" customHeight="1">
      <c r="A63" s="200"/>
      <c r="B63" s="408" t="s">
        <v>573</v>
      </c>
      <c r="C63" s="407" t="s">
        <v>1855</v>
      </c>
      <c r="D63" s="412"/>
      <c r="E63" s="766"/>
      <c r="F63" s="766"/>
      <c r="G63" s="767">
        <f>G54</f>
        <v>0</v>
      </c>
      <c r="H63" s="411"/>
      <c r="I63" s="411"/>
      <c r="J63" s="411"/>
      <c r="K63" s="403">
        <f>K58*$G63</f>
        <v>0</v>
      </c>
      <c r="L63" s="601"/>
      <c r="M63" s="213"/>
      <c r="N63" s="213"/>
      <c r="O63" s="213"/>
    </row>
    <row r="64" spans="1:15" ht="26.25" hidden="1" customHeight="1">
      <c r="A64" s="200"/>
      <c r="B64" s="408" t="s">
        <v>575</v>
      </c>
      <c r="C64" s="407" t="s">
        <v>576</v>
      </c>
      <c r="D64" s="412"/>
      <c r="E64" s="766"/>
      <c r="F64" s="766"/>
      <c r="G64" s="768">
        <f>G55</f>
        <v>3.4770000000000002E-2</v>
      </c>
      <c r="H64" s="411"/>
      <c r="I64" s="411"/>
      <c r="J64" s="411"/>
      <c r="K64" s="403">
        <f>(SUM(K58:K63)-K59)*$G64</f>
        <v>518.04538317279389</v>
      </c>
      <c r="L64" s="601"/>
      <c r="M64" s="213"/>
      <c r="N64" s="213"/>
      <c r="O64" s="213"/>
    </row>
    <row r="65" spans="1:15" ht="26.25" hidden="1" customHeight="1">
      <c r="A65" s="200"/>
      <c r="B65" s="408" t="s">
        <v>577</v>
      </c>
      <c r="C65" s="407" t="s">
        <v>578</v>
      </c>
      <c r="D65" s="412"/>
      <c r="E65" s="766"/>
      <c r="F65" s="766"/>
      <c r="G65" s="767"/>
      <c r="H65" s="411"/>
      <c r="I65" s="411"/>
      <c r="J65" s="411"/>
      <c r="K65" s="403">
        <f>SUM(K58:K64)-K59</f>
        <v>15417.251111467123</v>
      </c>
      <c r="L65" s="601"/>
      <c r="M65" s="213"/>
      <c r="N65" s="213"/>
      <c r="O65" s="213"/>
    </row>
    <row r="66" spans="1:15" ht="24.75" hidden="1" customHeight="1">
      <c r="A66" s="200"/>
      <c r="B66" s="635" t="s">
        <v>136</v>
      </c>
      <c r="C66" s="636" t="s">
        <v>579</v>
      </c>
      <c r="D66" s="660"/>
      <c r="E66" s="781"/>
      <c r="F66" s="781"/>
      <c r="G66" s="780"/>
      <c r="H66" s="746"/>
      <c r="I66" s="746"/>
      <c r="J66" s="746"/>
      <c r="K66" s="638"/>
      <c r="L66" s="763"/>
      <c r="M66" s="213"/>
      <c r="N66" s="213"/>
      <c r="O66" s="213"/>
    </row>
    <row r="67" spans="1:15" ht="78.75" hidden="1">
      <c r="B67" s="457" t="s">
        <v>580</v>
      </c>
      <c r="C67" s="484" t="s">
        <v>551</v>
      </c>
      <c r="D67" s="605"/>
      <c r="E67" s="718"/>
      <c r="F67" s="718"/>
      <c r="G67" s="782"/>
      <c r="H67" s="734"/>
      <c r="I67" s="734"/>
      <c r="J67" s="734"/>
      <c r="K67" s="477">
        <f>K40</f>
        <v>1500</v>
      </c>
      <c r="L67" s="409" t="s">
        <v>581</v>
      </c>
    </row>
    <row r="68" spans="1:15" ht="20.100000000000001" hidden="1" customHeight="1">
      <c r="B68" s="457" t="s">
        <v>582</v>
      </c>
      <c r="C68" s="484" t="s">
        <v>583</v>
      </c>
      <c r="D68" s="605"/>
      <c r="E68" s="718"/>
      <c r="F68" s="718"/>
      <c r="G68" s="432">
        <v>2.5000000000000001E-2</v>
      </c>
      <c r="H68" s="734"/>
      <c r="I68" s="734"/>
      <c r="J68" s="734"/>
      <c r="K68" s="477">
        <f>K67*G68</f>
        <v>37.5</v>
      </c>
      <c r="L68" s="609"/>
    </row>
    <row r="69" spans="1:15" ht="20.100000000000001" hidden="1" customHeight="1">
      <c r="B69" s="457" t="s">
        <v>584</v>
      </c>
      <c r="C69" s="484" t="s">
        <v>585</v>
      </c>
      <c r="D69" s="605"/>
      <c r="E69" s="718"/>
      <c r="F69" s="718"/>
      <c r="G69" s="433">
        <f>G55</f>
        <v>3.4770000000000002E-2</v>
      </c>
      <c r="H69" s="734"/>
      <c r="I69" s="734"/>
      <c r="J69" s="734"/>
      <c r="K69" s="477">
        <f>(K67+K68)*G69</f>
        <v>53.458875000000006</v>
      </c>
      <c r="L69" s="609"/>
    </row>
    <row r="70" spans="1:15" ht="20.100000000000001" hidden="1" customHeight="1">
      <c r="B70" s="457" t="s">
        <v>586</v>
      </c>
      <c r="C70" s="484" t="s">
        <v>587</v>
      </c>
      <c r="D70" s="605"/>
      <c r="E70" s="718"/>
      <c r="F70" s="718"/>
      <c r="G70" s="782"/>
      <c r="H70" s="734"/>
      <c r="I70" s="734"/>
      <c r="J70" s="734"/>
      <c r="K70" s="477">
        <f>K67+K68+K69</f>
        <v>1590.958875</v>
      </c>
      <c r="L70" s="609"/>
    </row>
    <row r="71" spans="1:15" s="451" customFormat="1" ht="20.100000000000001" hidden="1" customHeight="1">
      <c r="B71" s="772" t="s">
        <v>146</v>
      </c>
      <c r="C71" s="773" t="s">
        <v>588</v>
      </c>
      <c r="D71" s="774"/>
      <c r="E71" s="747"/>
      <c r="F71" s="747"/>
      <c r="G71" s="783"/>
      <c r="H71" s="731"/>
      <c r="I71" s="731"/>
      <c r="J71" s="731"/>
      <c r="K71" s="476">
        <f>K56+K65+K70</f>
        <v>19640.762528059728</v>
      </c>
      <c r="L71" s="775"/>
    </row>
    <row r="72" spans="1:15">
      <c r="A72" s="217"/>
      <c r="B72" s="498"/>
      <c r="C72" s="217"/>
      <c r="D72" s="498"/>
      <c r="E72" s="742"/>
      <c r="F72" s="742"/>
      <c r="G72" s="741"/>
      <c r="H72" s="740"/>
      <c r="I72" s="740"/>
      <c r="J72" s="740"/>
      <c r="K72" s="497"/>
      <c r="M72" s="184"/>
      <c r="N72" s="184"/>
      <c r="O72" s="184"/>
    </row>
    <row r="73" spans="1:15">
      <c r="A73" s="217"/>
      <c r="B73" s="498"/>
      <c r="C73" s="217"/>
      <c r="D73" s="498"/>
      <c r="E73" s="742"/>
      <c r="F73" s="742"/>
      <c r="G73" s="741"/>
      <c r="H73" s="740"/>
      <c r="I73" s="740"/>
      <c r="J73" s="740"/>
      <c r="K73" s="497"/>
      <c r="M73" s="184"/>
      <c r="N73" s="184"/>
      <c r="O73" s="184"/>
    </row>
    <row r="74" spans="1:15">
      <c r="A74" s="217"/>
      <c r="B74" s="498"/>
      <c r="C74" s="217"/>
      <c r="D74" s="498"/>
      <c r="E74" s="742"/>
      <c r="F74" s="742"/>
      <c r="G74" s="741"/>
      <c r="H74" s="740"/>
      <c r="I74" s="740"/>
      <c r="J74" s="740"/>
      <c r="K74" s="497"/>
      <c r="M74" s="184"/>
      <c r="N74" s="184"/>
      <c r="O74" s="184"/>
    </row>
    <row r="75" spans="1:15">
      <c r="A75" s="217"/>
      <c r="B75" s="498"/>
      <c r="C75" s="217"/>
      <c r="D75" s="498"/>
      <c r="E75" s="742"/>
      <c r="F75" s="742"/>
      <c r="G75" s="741"/>
      <c r="H75" s="740"/>
      <c r="I75" s="740"/>
      <c r="J75" s="740"/>
      <c r="K75" s="497"/>
      <c r="M75" s="184"/>
      <c r="N75" s="184"/>
      <c r="O75" s="184"/>
    </row>
    <row r="76" spans="1:15">
      <c r="A76" s="217"/>
      <c r="B76" s="498"/>
      <c r="C76" s="217"/>
      <c r="D76" s="498"/>
      <c r="E76" s="742"/>
      <c r="F76" s="742"/>
      <c r="G76" s="741"/>
      <c r="H76" s="740"/>
      <c r="I76" s="740"/>
      <c r="J76" s="740"/>
      <c r="K76" s="497"/>
      <c r="M76" s="184"/>
      <c r="N76" s="184"/>
      <c r="O76" s="184"/>
    </row>
    <row r="77" spans="1:15">
      <c r="A77" s="217"/>
      <c r="B77" s="498"/>
      <c r="C77" s="217"/>
      <c r="D77" s="498"/>
      <c r="E77" s="742"/>
      <c r="F77" s="742"/>
      <c r="G77" s="741"/>
      <c r="H77" s="740"/>
      <c r="I77" s="740"/>
      <c r="J77" s="740"/>
      <c r="K77" s="497"/>
      <c r="M77" s="184"/>
      <c r="N77" s="184"/>
      <c r="O77" s="184"/>
    </row>
    <row r="78" spans="1:15">
      <c r="A78" s="217"/>
      <c r="B78" s="498"/>
      <c r="C78" s="217"/>
      <c r="D78" s="498"/>
      <c r="E78" s="742"/>
      <c r="F78" s="742"/>
      <c r="G78" s="741"/>
      <c r="H78" s="740"/>
      <c r="I78" s="740"/>
      <c r="J78" s="740"/>
      <c r="K78" s="497"/>
      <c r="M78" s="184"/>
      <c r="N78" s="184"/>
      <c r="O78" s="184"/>
    </row>
    <row r="79" spans="1:15">
      <c r="A79" s="217"/>
      <c r="B79" s="498"/>
      <c r="C79" s="217"/>
      <c r="D79" s="498"/>
      <c r="E79" s="742"/>
      <c r="F79" s="742"/>
      <c r="G79" s="741"/>
      <c r="H79" s="740"/>
      <c r="I79" s="740"/>
      <c r="J79" s="740"/>
      <c r="K79" s="497"/>
      <c r="M79" s="184"/>
      <c r="N79" s="184"/>
      <c r="O79" s="184"/>
    </row>
    <row r="80" spans="1:15">
      <c r="A80" s="217"/>
      <c r="B80" s="498"/>
      <c r="C80" s="217"/>
      <c r="D80" s="498"/>
      <c r="E80" s="742"/>
      <c r="F80" s="742"/>
      <c r="G80" s="741"/>
      <c r="H80" s="740"/>
      <c r="I80" s="740"/>
      <c r="J80" s="740"/>
      <c r="K80" s="497"/>
      <c r="M80" s="184"/>
      <c r="N80" s="184"/>
      <c r="O80" s="184"/>
    </row>
    <row r="81" spans="1:15">
      <c r="A81" s="217"/>
      <c r="B81" s="498"/>
      <c r="C81" s="217"/>
      <c r="D81" s="498"/>
      <c r="E81" s="742"/>
      <c r="F81" s="742"/>
      <c r="G81" s="741"/>
      <c r="H81" s="740"/>
      <c r="I81" s="740"/>
      <c r="J81" s="740"/>
      <c r="K81" s="497"/>
      <c r="M81" s="184"/>
      <c r="N81" s="184"/>
      <c r="O81" s="184"/>
    </row>
    <row r="82" spans="1:15">
      <c r="A82" s="217"/>
      <c r="B82" s="498"/>
      <c r="C82" s="217"/>
      <c r="D82" s="498"/>
      <c r="E82" s="742"/>
      <c r="F82" s="742"/>
      <c r="G82" s="741"/>
      <c r="H82" s="740"/>
      <c r="I82" s="740"/>
      <c r="J82" s="740"/>
      <c r="K82" s="497"/>
      <c r="M82" s="184"/>
      <c r="N82" s="184"/>
      <c r="O82" s="184"/>
    </row>
    <row r="83" spans="1:15">
      <c r="A83" s="217"/>
      <c r="B83" s="498"/>
      <c r="C83" s="217"/>
      <c r="D83" s="498"/>
      <c r="E83" s="742"/>
      <c r="F83" s="742"/>
      <c r="G83" s="741"/>
      <c r="H83" s="740"/>
      <c r="I83" s="740"/>
      <c r="J83" s="740"/>
      <c r="K83" s="497"/>
      <c r="M83" s="184"/>
      <c r="N83" s="184"/>
      <c r="O83" s="184"/>
    </row>
    <row r="84" spans="1:15">
      <c r="A84" s="217"/>
      <c r="B84" s="498"/>
      <c r="C84" s="217"/>
      <c r="D84" s="498"/>
      <c r="E84" s="742"/>
      <c r="F84" s="742"/>
      <c r="G84" s="741"/>
      <c r="H84" s="740"/>
      <c r="I84" s="740"/>
      <c r="J84" s="740"/>
      <c r="K84" s="497"/>
      <c r="M84" s="184"/>
      <c r="N84" s="184"/>
      <c r="O84" s="184"/>
    </row>
    <row r="85" spans="1:15">
      <c r="A85" s="217"/>
      <c r="B85" s="498"/>
      <c r="C85" s="217"/>
      <c r="D85" s="498"/>
      <c r="E85" s="742"/>
      <c r="F85" s="742"/>
      <c r="G85" s="741"/>
      <c r="H85" s="740"/>
      <c r="I85" s="740"/>
      <c r="J85" s="740"/>
      <c r="K85" s="497"/>
      <c r="M85" s="184"/>
      <c r="N85" s="184"/>
      <c r="O85" s="184"/>
    </row>
    <row r="86" spans="1:15">
      <c r="A86" s="217"/>
      <c r="B86" s="498"/>
      <c r="C86" s="217"/>
      <c r="D86" s="498"/>
      <c r="E86" s="742"/>
      <c r="F86" s="742"/>
      <c r="G86" s="741"/>
      <c r="H86" s="740"/>
      <c r="I86" s="740"/>
      <c r="J86" s="740"/>
      <c r="K86" s="497"/>
      <c r="M86" s="184"/>
      <c r="N86" s="184"/>
      <c r="O86" s="184"/>
    </row>
    <row r="87" spans="1:15">
      <c r="A87" s="217"/>
      <c r="B87" s="498"/>
      <c r="C87" s="217"/>
      <c r="D87" s="498"/>
      <c r="E87" s="742"/>
      <c r="F87" s="742"/>
      <c r="G87" s="741"/>
      <c r="H87" s="740"/>
      <c r="I87" s="740"/>
      <c r="J87" s="740"/>
      <c r="K87" s="497"/>
      <c r="M87" s="184"/>
      <c r="N87" s="184"/>
      <c r="O87" s="184"/>
    </row>
    <row r="88" spans="1:15">
      <c r="A88" s="217"/>
      <c r="B88" s="498"/>
      <c r="C88" s="217"/>
      <c r="D88" s="498"/>
      <c r="E88" s="742"/>
      <c r="F88" s="742"/>
      <c r="G88" s="741"/>
      <c r="H88" s="740"/>
      <c r="I88" s="740"/>
      <c r="J88" s="740"/>
      <c r="K88" s="497"/>
      <c r="M88" s="184"/>
      <c r="N88" s="184"/>
      <c r="O88" s="184"/>
    </row>
    <row r="89" spans="1:15">
      <c r="A89" s="217"/>
      <c r="B89" s="498"/>
      <c r="C89" s="217"/>
      <c r="D89" s="498"/>
      <c r="E89" s="742"/>
      <c r="F89" s="742"/>
      <c r="G89" s="741"/>
      <c r="H89" s="740"/>
      <c r="I89" s="740"/>
      <c r="J89" s="740"/>
      <c r="K89" s="497"/>
      <c r="M89" s="184"/>
      <c r="N89" s="184"/>
      <c r="O89" s="184"/>
    </row>
    <row r="90" spans="1:15">
      <c r="A90" s="217"/>
      <c r="B90" s="498"/>
      <c r="C90" s="217"/>
      <c r="D90" s="498"/>
      <c r="E90" s="742"/>
      <c r="F90" s="742"/>
      <c r="G90" s="741"/>
      <c r="H90" s="740"/>
      <c r="I90" s="740"/>
      <c r="J90" s="740"/>
      <c r="K90" s="497"/>
      <c r="M90" s="184"/>
      <c r="N90" s="184"/>
      <c r="O90" s="184"/>
    </row>
    <row r="91" spans="1:15">
      <c r="A91" s="217"/>
      <c r="B91" s="498"/>
      <c r="C91" s="217"/>
      <c r="D91" s="498"/>
      <c r="E91" s="742"/>
      <c r="F91" s="742"/>
      <c r="G91" s="741"/>
      <c r="H91" s="740"/>
      <c r="I91" s="740"/>
      <c r="J91" s="740"/>
      <c r="K91" s="497"/>
      <c r="M91" s="184"/>
      <c r="N91" s="184"/>
      <c r="O91" s="184"/>
    </row>
    <row r="92" spans="1:15">
      <c r="A92" s="217"/>
      <c r="B92" s="498"/>
      <c r="C92" s="217"/>
      <c r="D92" s="498"/>
      <c r="E92" s="742"/>
      <c r="F92" s="742"/>
      <c r="G92" s="741"/>
      <c r="H92" s="740"/>
      <c r="I92" s="740"/>
      <c r="J92" s="740"/>
      <c r="K92" s="497"/>
      <c r="M92" s="184"/>
      <c r="N92" s="184"/>
      <c r="O92" s="184"/>
    </row>
    <row r="93" spans="1:15">
      <c r="A93" s="217"/>
      <c r="B93" s="498"/>
      <c r="C93" s="217"/>
      <c r="D93" s="498"/>
      <c r="E93" s="742"/>
      <c r="F93" s="742"/>
      <c r="G93" s="741"/>
      <c r="H93" s="740"/>
      <c r="I93" s="740"/>
      <c r="J93" s="740"/>
      <c r="K93" s="497"/>
      <c r="M93" s="184"/>
      <c r="N93" s="184"/>
      <c r="O93" s="184"/>
    </row>
    <row r="94" spans="1:15">
      <c r="A94" s="217"/>
      <c r="B94" s="498"/>
      <c r="C94" s="217"/>
      <c r="D94" s="498"/>
      <c r="E94" s="742"/>
      <c r="F94" s="742"/>
      <c r="G94" s="741"/>
      <c r="H94" s="740"/>
      <c r="I94" s="740"/>
      <c r="J94" s="740"/>
      <c r="K94" s="497"/>
      <c r="M94" s="184"/>
      <c r="N94" s="184"/>
      <c r="O94" s="184"/>
    </row>
    <row r="95" spans="1:15">
      <c r="A95" s="217"/>
      <c r="B95" s="498"/>
      <c r="C95" s="217"/>
      <c r="D95" s="498"/>
      <c r="E95" s="742"/>
      <c r="F95" s="742"/>
      <c r="G95" s="741"/>
      <c r="H95" s="740"/>
      <c r="I95" s="740"/>
      <c r="J95" s="740"/>
      <c r="K95" s="497"/>
      <c r="M95" s="184"/>
      <c r="N95" s="184"/>
      <c r="O95" s="184"/>
    </row>
    <row r="96" spans="1:15">
      <c r="A96" s="217"/>
      <c r="B96" s="498"/>
      <c r="C96" s="217"/>
      <c r="D96" s="498"/>
      <c r="E96" s="742"/>
      <c r="F96" s="742"/>
      <c r="G96" s="741"/>
      <c r="H96" s="740"/>
      <c r="I96" s="740"/>
      <c r="J96" s="740"/>
      <c r="K96" s="497"/>
      <c r="M96" s="184"/>
      <c r="N96" s="184"/>
      <c r="O96" s="184"/>
    </row>
    <row r="97" spans="1:15">
      <c r="A97" s="217"/>
      <c r="B97" s="498"/>
      <c r="C97" s="217"/>
      <c r="D97" s="498"/>
      <c r="E97" s="742"/>
      <c r="F97" s="742"/>
      <c r="G97" s="741"/>
      <c r="H97" s="740"/>
      <c r="I97" s="740"/>
      <c r="J97" s="740"/>
      <c r="K97" s="497"/>
      <c r="M97" s="184"/>
      <c r="N97" s="184"/>
      <c r="O97" s="184"/>
    </row>
    <row r="98" spans="1:15">
      <c r="A98" s="217"/>
      <c r="B98" s="498"/>
      <c r="C98" s="217"/>
      <c r="D98" s="498"/>
      <c r="E98" s="742"/>
      <c r="F98" s="742"/>
      <c r="G98" s="741"/>
      <c r="H98" s="740"/>
      <c r="I98" s="740"/>
      <c r="J98" s="740"/>
      <c r="K98" s="497"/>
      <c r="M98" s="184"/>
      <c r="N98" s="184"/>
      <c r="O98" s="184"/>
    </row>
    <row r="99" spans="1:15">
      <c r="A99" s="217"/>
      <c r="B99" s="498"/>
      <c r="C99" s="217"/>
      <c r="D99" s="498"/>
      <c r="E99" s="742"/>
      <c r="F99" s="742"/>
      <c r="G99" s="741"/>
      <c r="H99" s="740"/>
      <c r="I99" s="740"/>
      <c r="J99" s="740"/>
      <c r="K99" s="497"/>
      <c r="M99" s="184"/>
      <c r="N99" s="184"/>
      <c r="O99" s="184"/>
    </row>
    <row r="100" spans="1:15">
      <c r="A100" s="217"/>
      <c r="B100" s="498"/>
      <c r="C100" s="217"/>
      <c r="D100" s="498"/>
      <c r="E100" s="742"/>
      <c r="F100" s="742"/>
      <c r="G100" s="741"/>
      <c r="H100" s="740"/>
      <c r="I100" s="740"/>
      <c r="J100" s="740"/>
      <c r="K100" s="497"/>
      <c r="M100" s="184"/>
      <c r="N100" s="184"/>
      <c r="O100" s="184"/>
    </row>
    <row r="101" spans="1:15">
      <c r="A101" s="217"/>
      <c r="B101" s="498"/>
      <c r="C101" s="217"/>
      <c r="D101" s="498"/>
      <c r="E101" s="742"/>
      <c r="F101" s="742"/>
      <c r="G101" s="741"/>
      <c r="H101" s="740"/>
      <c r="I101" s="740"/>
      <c r="J101" s="740"/>
      <c r="K101" s="497"/>
      <c r="M101" s="184"/>
      <c r="N101" s="184"/>
      <c r="O101" s="184"/>
    </row>
    <row r="102" spans="1:15">
      <c r="A102" s="217"/>
      <c r="B102" s="498"/>
      <c r="C102" s="217"/>
      <c r="D102" s="498"/>
      <c r="E102" s="742"/>
      <c r="F102" s="742"/>
      <c r="G102" s="741"/>
      <c r="H102" s="740"/>
      <c r="I102" s="740"/>
      <c r="J102" s="740"/>
      <c r="K102" s="497"/>
      <c r="M102" s="184"/>
      <c r="N102" s="184"/>
      <c r="O102" s="184"/>
    </row>
    <row r="103" spans="1:15">
      <c r="A103" s="217"/>
      <c r="B103" s="498"/>
      <c r="C103" s="217"/>
      <c r="D103" s="498"/>
      <c r="E103" s="742"/>
      <c r="F103" s="742"/>
      <c r="G103" s="741"/>
      <c r="H103" s="740"/>
      <c r="I103" s="740"/>
      <c r="J103" s="740"/>
      <c r="K103" s="497"/>
      <c r="M103" s="184"/>
      <c r="N103" s="184"/>
      <c r="O103" s="184"/>
    </row>
    <row r="104" spans="1:15">
      <c r="A104" s="217"/>
      <c r="B104" s="498"/>
      <c r="C104" s="217"/>
      <c r="D104" s="498"/>
      <c r="E104" s="742"/>
      <c r="F104" s="742"/>
      <c r="G104" s="741"/>
      <c r="H104" s="740"/>
      <c r="I104" s="740"/>
      <c r="J104" s="740"/>
      <c r="K104" s="497"/>
      <c r="M104" s="184"/>
      <c r="N104" s="184"/>
      <c r="O104" s="184"/>
    </row>
    <row r="105" spans="1:15">
      <c r="A105" s="217"/>
      <c r="B105" s="498"/>
      <c r="C105" s="217"/>
      <c r="D105" s="498"/>
      <c r="E105" s="742"/>
      <c r="F105" s="742"/>
      <c r="G105" s="741"/>
      <c r="H105" s="740"/>
      <c r="I105" s="740"/>
      <c r="J105" s="740"/>
      <c r="K105" s="497"/>
      <c r="M105" s="184"/>
      <c r="N105" s="184"/>
      <c r="O105" s="184"/>
    </row>
  </sheetData>
  <sheetProtection formatCells="0" formatColumns="0" formatRows="0" insertRows="0" autoFilter="0"/>
  <protectedRanges>
    <protectedRange sqref="A31:C47 D31:D34 D36:D47 E32:XFD47 M31:XFD31" name="区域4" securityDescriptor=""/>
    <protectedRange sqref="E8:F8 E10:F14 E16:F20 E22:F30 E32:F47" name="区域3" securityDescriptor=""/>
    <protectedRange sqref="B2" name="区域2" securityDescriptor=""/>
    <protectedRange sqref="B1" name="区域1" securityDescriptor=""/>
    <protectedRange sqref="E3:F3" name="区域3_1_1" securityDescriptor=""/>
    <protectedRange sqref="E4:F5" name="区域3_2_1" securityDescriptor=""/>
    <protectedRange sqref="E6:F6" name="区域1_1_1_1" securityDescriptor=""/>
    <protectedRange sqref="K4:K5" name="区域1_1_3" securityDescriptor=""/>
    <protectedRange sqref="M6:O6 N5" name="区域1_1_2_1" securityDescriptor=""/>
  </protectedRanges>
  <autoFilter ref="A6:O71">
    <filterColumn colId="4">
      <customFilters>
        <customFilter operator="notEqual" val=" "/>
      </customFilters>
    </filterColumn>
  </autoFilter>
  <mergeCells count="14">
    <mergeCell ref="B1:C1"/>
    <mergeCell ref="B2:L2"/>
    <mergeCell ref="H3:J3"/>
    <mergeCell ref="M3:O3"/>
    <mergeCell ref="B3:B6"/>
    <mergeCell ref="C3:C6"/>
    <mergeCell ref="D3:D6"/>
    <mergeCell ref="G3:G5"/>
    <mergeCell ref="H4:H5"/>
    <mergeCell ref="I4:I5"/>
    <mergeCell ref="J4:J5"/>
    <mergeCell ref="L3:L5"/>
    <mergeCell ref="K1:L1"/>
    <mergeCell ref="F3:F6"/>
  </mergeCells>
  <phoneticPr fontId="7" type="noConversion"/>
  <conditionalFormatting sqref="G8:H8 J8 J16:J19 G16:H19 J13 G13:H13 G22:H30 J22:J30 J37 H39 H35:H37 J39 G32:G47 J10:J11 G10:H11">
    <cfRule type="cellIs" dxfId="6" priority="1" stopIfTrue="1" operator="equal">
      <formula>0</formula>
    </cfRule>
  </conditionalFormatting>
  <conditionalFormatting sqref="G14:H14 J14">
    <cfRule type="cellIs" dxfId="5" priority="2" stopIfTrue="1" operator="equal">
      <formula>0</formula>
    </cfRule>
  </conditionalFormatting>
  <conditionalFormatting sqref="G49">
    <cfRule type="cellIs" dxfId="4" priority="3" stopIfTrue="1" operator="equal">
      <formula>0</formula>
    </cfRule>
  </conditionalFormatting>
  <conditionalFormatting sqref="G12:H12 J12">
    <cfRule type="cellIs" dxfId="3" priority="4" stopIfTrue="1" operator="equal">
      <formula>0</formula>
    </cfRule>
  </conditionalFormatting>
  <conditionalFormatting sqref="J20 G20:H20">
    <cfRule type="cellIs" dxfId="2" priority="5" stopIfTrue="1" operator="equal">
      <formula>0</formula>
    </cfRule>
  </conditionalFormatting>
  <conditionalFormatting sqref="H34">
    <cfRule type="cellIs" dxfId="1" priority="6" stopIfTrue="1" operator="equal">
      <formula>0</formula>
    </cfRule>
  </conditionalFormatting>
  <printOptions horizontalCentered="1"/>
  <pageMargins left="0.39370078740157483" right="0.19685039370078741" top="0.39370078740157483" bottom="0.39370078740157483" header="0.19685039370078741" footer="0.19685039370078741"/>
  <pageSetup paperSize="9" scale="76" fitToHeight="0" orientation="portrait" blackAndWhite="1" r:id="rId1"/>
  <headerFooter alignWithMargins="0">
    <oddFooter>&amp;C第 &amp;P 页，共 &amp;N 页</oddFooter>
  </headerFooter>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S243"/>
  <sheetViews>
    <sheetView view="pageBreakPreview" zoomScaleSheetLayoutView="100" workbookViewId="0">
      <pane ySplit="4" topLeftCell="A230" activePane="bottomLeft" state="frozen"/>
      <selection pane="bottomLeft" activeCell="O239" sqref="O239"/>
    </sheetView>
  </sheetViews>
  <sheetFormatPr defaultColWidth="5.125" defaultRowHeight="11.25"/>
  <cols>
    <col min="1" max="1" width="7.125" style="448" customWidth="1"/>
    <col min="2" max="2" width="7.375" style="448" customWidth="1"/>
    <col min="3" max="3" width="21.75" style="523" customWidth="1"/>
    <col min="4" max="4" width="12" style="448" customWidth="1"/>
    <col min="5" max="5" width="7.25" style="448" customWidth="1"/>
    <col min="6" max="6" width="12.75" style="448" customWidth="1"/>
    <col min="7" max="7" width="15" style="448" customWidth="1"/>
    <col min="8" max="8" width="8.625" style="448" customWidth="1"/>
    <col min="9" max="9" width="11" style="448" customWidth="1"/>
    <col min="10" max="10" width="5.75" style="448" customWidth="1"/>
    <col min="11" max="11" width="10.625" style="448" customWidth="1"/>
    <col min="12" max="12" width="16.75" style="448" customWidth="1"/>
    <col min="13" max="13" width="13.75" style="448" customWidth="1"/>
    <col min="14" max="14" width="15.125" style="448" customWidth="1"/>
    <col min="15" max="32" width="9" style="448" customWidth="1"/>
    <col min="33" max="224" width="5.125" style="448" customWidth="1"/>
    <col min="225" max="247" width="9" style="448" customWidth="1"/>
    <col min="248" max="16384" width="5.125" style="448"/>
  </cols>
  <sheetData>
    <row r="1" spans="1:14">
      <c r="A1" s="965" t="s">
        <v>1259</v>
      </c>
      <c r="B1" s="966"/>
      <c r="C1" s="966"/>
    </row>
    <row r="2" spans="1:14" ht="27" customHeight="1">
      <c r="A2" s="967" t="s">
        <v>1260</v>
      </c>
      <c r="B2" s="968"/>
      <c r="C2" s="968"/>
      <c r="D2" s="968"/>
      <c r="E2" s="968"/>
      <c r="F2" s="968"/>
      <c r="G2" s="968"/>
      <c r="H2" s="968"/>
      <c r="I2" s="968"/>
      <c r="J2" s="968"/>
      <c r="K2" s="968"/>
      <c r="L2" s="968"/>
    </row>
    <row r="3" spans="1:14" ht="19.5" customHeight="1">
      <c r="A3" s="969" t="s">
        <v>1261</v>
      </c>
      <c r="B3" s="969"/>
      <c r="C3" s="969"/>
      <c r="J3" s="970" t="s">
        <v>1262</v>
      </c>
      <c r="K3" s="971"/>
      <c r="L3" s="971"/>
    </row>
    <row r="4" spans="1:14" s="465" customFormat="1" ht="16.350000000000001" customHeight="1">
      <c r="A4" s="118" t="s">
        <v>54</v>
      </c>
      <c r="B4" s="118" t="s">
        <v>1263</v>
      </c>
      <c r="C4" s="118" t="s">
        <v>1264</v>
      </c>
      <c r="D4" s="119" t="s">
        <v>1265</v>
      </c>
      <c r="E4" s="118" t="s">
        <v>1266</v>
      </c>
      <c r="F4" s="118" t="s">
        <v>1267</v>
      </c>
      <c r="G4" s="118" t="s">
        <v>1268</v>
      </c>
      <c r="H4" s="118" t="s">
        <v>1269</v>
      </c>
      <c r="I4" s="118" t="s">
        <v>1270</v>
      </c>
      <c r="J4" s="118" t="s">
        <v>198</v>
      </c>
      <c r="K4" s="134" t="s">
        <v>1271</v>
      </c>
      <c r="L4" s="118" t="s">
        <v>57</v>
      </c>
    </row>
    <row r="5" spans="1:14" s="462" customFormat="1" ht="16.350000000000001" customHeight="1">
      <c r="A5" s="662"/>
      <c r="B5" s="972" t="s">
        <v>1272</v>
      </c>
      <c r="C5" s="972"/>
      <c r="D5" s="663"/>
      <c r="E5" s="662"/>
      <c r="F5" s="662"/>
      <c r="G5" s="662"/>
      <c r="H5" s="662"/>
      <c r="I5" s="662"/>
      <c r="J5" s="662"/>
      <c r="K5" s="664"/>
      <c r="L5" s="662"/>
    </row>
    <row r="6" spans="1:14">
      <c r="A6" s="662" t="s">
        <v>58</v>
      </c>
      <c r="B6" s="972" t="s">
        <v>1273</v>
      </c>
      <c r="C6" s="972"/>
      <c r="D6" s="663"/>
      <c r="E6" s="662"/>
      <c r="F6" s="662"/>
      <c r="G6" s="662"/>
      <c r="H6" s="662"/>
      <c r="I6" s="662"/>
      <c r="J6" s="662"/>
      <c r="K6" s="664"/>
      <c r="L6" s="662"/>
    </row>
    <row r="7" spans="1:14">
      <c r="A7" s="397">
        <v>1</v>
      </c>
      <c r="B7" s="974" t="s">
        <v>1274</v>
      </c>
      <c r="C7" s="977" t="s">
        <v>1275</v>
      </c>
      <c r="D7" s="120" t="s">
        <v>1276</v>
      </c>
      <c r="E7" s="985"/>
      <c r="F7" s="399" t="s">
        <v>1277</v>
      </c>
      <c r="G7" s="974" t="s">
        <v>1278</v>
      </c>
      <c r="H7" s="399" t="s">
        <v>1279</v>
      </c>
      <c r="I7" s="135">
        <v>10008570</v>
      </c>
      <c r="J7" s="399" t="s">
        <v>1280</v>
      </c>
      <c r="K7" s="133">
        <v>50</v>
      </c>
      <c r="L7" s="397"/>
      <c r="M7" s="136">
        <f>K7/(0.8*0.8)</f>
        <v>78.124999999999986</v>
      </c>
      <c r="N7" s="136"/>
    </row>
    <row r="8" spans="1:14">
      <c r="A8" s="397">
        <v>2</v>
      </c>
      <c r="B8" s="974"/>
      <c r="C8" s="977"/>
      <c r="D8" s="120"/>
      <c r="E8" s="985"/>
      <c r="F8" s="399" t="s">
        <v>1281</v>
      </c>
      <c r="G8" s="974"/>
      <c r="H8" s="399" t="s">
        <v>1279</v>
      </c>
      <c r="I8" s="399"/>
      <c r="J8" s="399" t="s">
        <v>1280</v>
      </c>
      <c r="K8" s="133">
        <v>15</v>
      </c>
      <c r="L8" s="397" t="s">
        <v>1282</v>
      </c>
      <c r="M8" s="136">
        <f>K8/(0.4*0.4)</f>
        <v>93.749999999999986</v>
      </c>
      <c r="N8" s="136"/>
    </row>
    <row r="9" spans="1:14" ht="19.5" customHeight="1">
      <c r="A9" s="397">
        <v>3</v>
      </c>
      <c r="B9" s="399" t="s">
        <v>1283</v>
      </c>
      <c r="C9" s="503" t="s">
        <v>1284</v>
      </c>
      <c r="D9" s="120" t="s">
        <v>1285</v>
      </c>
      <c r="E9" s="397"/>
      <c r="F9" s="399" t="s">
        <v>1286</v>
      </c>
      <c r="G9" s="399" t="s">
        <v>1287</v>
      </c>
      <c r="H9" s="399" t="s">
        <v>1288</v>
      </c>
      <c r="I9" s="135">
        <v>10000254</v>
      </c>
      <c r="J9" s="399" t="s">
        <v>1280</v>
      </c>
      <c r="K9" s="133">
        <v>12</v>
      </c>
      <c r="L9" s="397"/>
      <c r="M9" s="136">
        <f>K9/0.8</f>
        <v>15</v>
      </c>
      <c r="N9" s="136"/>
    </row>
    <row r="10" spans="1:14">
      <c r="A10" s="397">
        <v>4</v>
      </c>
      <c r="B10" s="399"/>
      <c r="C10" s="503" t="s">
        <v>1284</v>
      </c>
      <c r="D10" s="120" t="s">
        <v>1289</v>
      </c>
      <c r="E10" s="397"/>
      <c r="F10" s="399" t="s">
        <v>1290</v>
      </c>
      <c r="G10" s="399" t="s">
        <v>1287</v>
      </c>
      <c r="H10" s="399" t="s">
        <v>1288</v>
      </c>
      <c r="I10" s="135">
        <v>10000252</v>
      </c>
      <c r="J10" s="399" t="s">
        <v>1280</v>
      </c>
      <c r="K10" s="133">
        <v>64</v>
      </c>
      <c r="L10" s="397"/>
      <c r="M10" s="136">
        <f>K10/(0.8*0.8)</f>
        <v>99.999999999999986</v>
      </c>
      <c r="N10" s="136"/>
    </row>
    <row r="11" spans="1:14" ht="22.5">
      <c r="A11" s="397">
        <v>5</v>
      </c>
      <c r="B11" s="399" t="s">
        <v>1283</v>
      </c>
      <c r="C11" s="503" t="s">
        <v>1284</v>
      </c>
      <c r="D11" s="120" t="s">
        <v>1291</v>
      </c>
      <c r="E11" s="397"/>
      <c r="F11" s="399" t="s">
        <v>1292</v>
      </c>
      <c r="G11" s="399" t="s">
        <v>1293</v>
      </c>
      <c r="H11" s="399" t="s">
        <v>1288</v>
      </c>
      <c r="I11" s="135">
        <v>10000253</v>
      </c>
      <c r="J11" s="399" t="s">
        <v>1280</v>
      </c>
      <c r="K11" s="133">
        <v>12</v>
      </c>
      <c r="L11" s="397"/>
      <c r="M11" s="136">
        <f>K11/0.8</f>
        <v>15</v>
      </c>
      <c r="N11" s="136"/>
    </row>
    <row r="12" spans="1:14" ht="33.75">
      <c r="A12" s="397">
        <v>6</v>
      </c>
      <c r="B12" s="399" t="s">
        <v>1294</v>
      </c>
      <c r="C12" s="503" t="s">
        <v>1295</v>
      </c>
      <c r="D12" s="120" t="s">
        <v>1296</v>
      </c>
      <c r="E12" s="397"/>
      <c r="F12" s="399" t="s">
        <v>1297</v>
      </c>
      <c r="G12" s="399" t="s">
        <v>1298</v>
      </c>
      <c r="H12" s="399" t="s">
        <v>1299</v>
      </c>
      <c r="I12" s="399">
        <v>10000280</v>
      </c>
      <c r="J12" s="399" t="s">
        <v>1280</v>
      </c>
      <c r="K12" s="133">
        <v>11</v>
      </c>
      <c r="L12" s="397"/>
      <c r="M12" s="136">
        <f t="shared" ref="M12" si="0">K12/(0.3*0.6)</f>
        <v>61.111111111111114</v>
      </c>
      <c r="N12" s="136"/>
    </row>
    <row r="13" spans="1:14">
      <c r="A13" s="397">
        <v>7</v>
      </c>
      <c r="B13" s="399"/>
      <c r="C13" s="503" t="s">
        <v>1295</v>
      </c>
      <c r="D13" s="120" t="s">
        <v>1300</v>
      </c>
      <c r="E13" s="397"/>
      <c r="F13" s="399" t="s">
        <v>1301</v>
      </c>
      <c r="G13" s="399" t="s">
        <v>1302</v>
      </c>
      <c r="H13" s="399" t="s">
        <v>1299</v>
      </c>
      <c r="I13" s="137">
        <v>10000301</v>
      </c>
      <c r="J13" s="399" t="s">
        <v>1280</v>
      </c>
      <c r="K13" s="133">
        <v>9.26</v>
      </c>
      <c r="L13" s="138"/>
      <c r="M13" s="136">
        <f t="shared" ref="M13" si="1">K13/(0.4*0.4)</f>
        <v>57.874999999999986</v>
      </c>
      <c r="N13" s="136"/>
    </row>
    <row r="14" spans="1:14" ht="22.5">
      <c r="A14" s="397">
        <v>8</v>
      </c>
      <c r="B14" s="399" t="s">
        <v>1303</v>
      </c>
      <c r="C14" s="503" t="s">
        <v>1304</v>
      </c>
      <c r="D14" s="120" t="s">
        <v>1300</v>
      </c>
      <c r="E14" s="397"/>
      <c r="F14" s="399" t="s">
        <v>1301</v>
      </c>
      <c r="G14" s="399" t="s">
        <v>1305</v>
      </c>
      <c r="H14" s="399" t="s">
        <v>1299</v>
      </c>
      <c r="I14" s="137">
        <v>10000301</v>
      </c>
      <c r="J14" s="399" t="s">
        <v>1280</v>
      </c>
      <c r="K14" s="133">
        <v>9.26</v>
      </c>
      <c r="L14" s="138"/>
      <c r="M14" s="136">
        <f>K14/(0.4*0.4)</f>
        <v>57.874999999999986</v>
      </c>
      <c r="N14" s="136"/>
    </row>
    <row r="15" spans="1:14">
      <c r="A15" s="397">
        <v>9</v>
      </c>
      <c r="B15" s="399" t="s">
        <v>1306</v>
      </c>
      <c r="C15" s="503" t="s">
        <v>1307</v>
      </c>
      <c r="D15" s="120" t="s">
        <v>1308</v>
      </c>
      <c r="E15" s="397"/>
      <c r="F15" s="399" t="s">
        <v>1309</v>
      </c>
      <c r="G15" s="399" t="s">
        <v>1310</v>
      </c>
      <c r="H15" s="399" t="s">
        <v>1311</v>
      </c>
      <c r="I15" s="137">
        <v>10000276</v>
      </c>
      <c r="J15" s="399" t="s">
        <v>1280</v>
      </c>
      <c r="K15" s="133">
        <v>7.32</v>
      </c>
      <c r="L15" s="397"/>
      <c r="M15" s="136">
        <f>K15/(0.3*0.6)</f>
        <v>40.666666666666671</v>
      </c>
      <c r="N15" s="136"/>
    </row>
    <row r="16" spans="1:14">
      <c r="A16" s="397">
        <v>10</v>
      </c>
      <c r="B16" s="399" t="s">
        <v>1312</v>
      </c>
      <c r="C16" s="503" t="s">
        <v>1307</v>
      </c>
      <c r="D16" s="120" t="s">
        <v>1308</v>
      </c>
      <c r="E16" s="397"/>
      <c r="F16" s="399" t="s">
        <v>1309</v>
      </c>
      <c r="G16" s="399" t="s">
        <v>1313</v>
      </c>
      <c r="H16" s="399" t="s">
        <v>1311</v>
      </c>
      <c r="I16" s="137">
        <v>10000276</v>
      </c>
      <c r="J16" s="399" t="s">
        <v>1280</v>
      </c>
      <c r="K16" s="133">
        <v>7.32</v>
      </c>
      <c r="L16" s="397"/>
      <c r="M16" s="136">
        <f>K16/(0.3*0.6)</f>
        <v>40.666666666666671</v>
      </c>
      <c r="N16" s="136"/>
    </row>
    <row r="17" spans="1:14">
      <c r="A17" s="397">
        <v>11</v>
      </c>
      <c r="B17" s="399" t="s">
        <v>1314</v>
      </c>
      <c r="C17" s="503" t="s">
        <v>1304</v>
      </c>
      <c r="D17" s="120" t="s">
        <v>1300</v>
      </c>
      <c r="E17" s="397"/>
      <c r="F17" s="399" t="s">
        <v>1301</v>
      </c>
      <c r="G17" s="399" t="s">
        <v>1315</v>
      </c>
      <c r="H17" s="399" t="s">
        <v>1299</v>
      </c>
      <c r="I17" s="137">
        <v>10000301</v>
      </c>
      <c r="J17" s="399" t="s">
        <v>1280</v>
      </c>
      <c r="K17" s="133">
        <v>9.26</v>
      </c>
      <c r="L17" s="397"/>
      <c r="M17" s="136">
        <f>K17/(0.4*0.4)</f>
        <v>57.874999999999986</v>
      </c>
      <c r="N17" s="136"/>
    </row>
    <row r="18" spans="1:14">
      <c r="A18" s="397">
        <v>12</v>
      </c>
      <c r="B18" s="399"/>
      <c r="C18" s="503" t="s">
        <v>1304</v>
      </c>
      <c r="D18" s="120" t="s">
        <v>1308</v>
      </c>
      <c r="E18" s="397"/>
      <c r="F18" s="399" t="s">
        <v>1309</v>
      </c>
      <c r="G18" s="399" t="s">
        <v>1316</v>
      </c>
      <c r="H18" s="399" t="s">
        <v>1311</v>
      </c>
      <c r="I18" s="137">
        <v>10000276</v>
      </c>
      <c r="J18" s="399" t="s">
        <v>1280</v>
      </c>
      <c r="K18" s="133">
        <v>7.32</v>
      </c>
      <c r="L18" s="138"/>
      <c r="M18" s="136">
        <f>K18/(0.3*0.6)</f>
        <v>40.666666666666671</v>
      </c>
      <c r="N18" s="136"/>
    </row>
    <row r="19" spans="1:14" ht="22.5">
      <c r="A19" s="397" t="s">
        <v>278</v>
      </c>
      <c r="B19" s="399"/>
      <c r="C19" s="503" t="s">
        <v>1317</v>
      </c>
      <c r="D19" s="120"/>
      <c r="E19" s="397"/>
      <c r="F19" s="399"/>
      <c r="G19" s="399"/>
      <c r="H19" s="399"/>
      <c r="I19" s="137"/>
      <c r="J19" s="399" t="s">
        <v>1280</v>
      </c>
      <c r="K19" s="133">
        <v>13.38</v>
      </c>
      <c r="L19" s="138"/>
      <c r="M19" s="136">
        <f>K19/0.8</f>
        <v>16.725000000000001</v>
      </c>
      <c r="N19" s="136" t="s">
        <v>1318</v>
      </c>
    </row>
    <row r="20" spans="1:14">
      <c r="A20" s="665" t="s">
        <v>60</v>
      </c>
      <c r="B20" s="975" t="s">
        <v>1319</v>
      </c>
      <c r="C20" s="975"/>
      <c r="D20" s="666"/>
      <c r="E20" s="667"/>
      <c r="F20" s="667"/>
      <c r="G20" s="667"/>
      <c r="H20" s="668"/>
      <c r="I20" s="667"/>
      <c r="J20" s="668"/>
      <c r="K20" s="669"/>
      <c r="L20" s="670"/>
      <c r="M20" s="136"/>
      <c r="N20" s="136"/>
    </row>
    <row r="21" spans="1:14" ht="22.5">
      <c r="A21" s="393">
        <v>1</v>
      </c>
      <c r="B21" s="393"/>
      <c r="C21" s="504" t="s">
        <v>1320</v>
      </c>
      <c r="D21" s="121" t="s">
        <v>1321</v>
      </c>
      <c r="E21" s="397"/>
      <c r="F21" s="397"/>
      <c r="G21" s="985" t="s">
        <v>1322</v>
      </c>
      <c r="H21" s="123" t="s">
        <v>1323</v>
      </c>
      <c r="I21" s="397" t="s">
        <v>1324</v>
      </c>
      <c r="J21" s="122" t="s">
        <v>231</v>
      </c>
      <c r="K21" s="133">
        <v>124</v>
      </c>
      <c r="L21" s="138"/>
      <c r="M21" s="136"/>
      <c r="N21" s="136"/>
    </row>
    <row r="22" spans="1:14" ht="22.5">
      <c r="A22" s="982">
        <v>2</v>
      </c>
      <c r="B22" s="393"/>
      <c r="C22" s="504" t="s">
        <v>1325</v>
      </c>
      <c r="D22" s="121" t="s">
        <v>1321</v>
      </c>
      <c r="E22" s="397"/>
      <c r="F22" s="397"/>
      <c r="G22" s="985"/>
      <c r="H22" s="123" t="s">
        <v>1323</v>
      </c>
      <c r="I22" s="397" t="s">
        <v>1326</v>
      </c>
      <c r="J22" s="122" t="s">
        <v>231</v>
      </c>
      <c r="K22" s="133">
        <v>124</v>
      </c>
      <c r="L22" s="138"/>
      <c r="M22" s="136"/>
      <c r="N22" s="136"/>
    </row>
    <row r="23" spans="1:14" ht="22.5">
      <c r="A23" s="982"/>
      <c r="B23" s="393"/>
      <c r="C23" s="504" t="s">
        <v>1327</v>
      </c>
      <c r="D23" s="121" t="s">
        <v>1328</v>
      </c>
      <c r="E23" s="397"/>
      <c r="F23" s="397"/>
      <c r="G23" s="397"/>
      <c r="H23" s="123" t="s">
        <v>1323</v>
      </c>
      <c r="I23" s="123">
        <v>10028318</v>
      </c>
      <c r="J23" s="122" t="s">
        <v>235</v>
      </c>
      <c r="K23" s="133">
        <v>17</v>
      </c>
      <c r="L23" s="138"/>
      <c r="M23" s="136"/>
      <c r="N23" s="136"/>
    </row>
    <row r="24" spans="1:14">
      <c r="A24" s="665" t="s">
        <v>62</v>
      </c>
      <c r="B24" s="976" t="s">
        <v>1329</v>
      </c>
      <c r="C24" s="976"/>
      <c r="D24" s="671"/>
      <c r="E24" s="667"/>
      <c r="F24" s="667"/>
      <c r="G24" s="667"/>
      <c r="H24" s="667"/>
      <c r="I24" s="667"/>
      <c r="J24" s="667"/>
      <c r="K24" s="669"/>
      <c r="L24" s="667"/>
      <c r="M24" s="136"/>
      <c r="N24" s="136"/>
    </row>
    <row r="25" spans="1:14" ht="22.5">
      <c r="A25" s="393">
        <v>1</v>
      </c>
      <c r="B25" s="393"/>
      <c r="C25" s="505" t="s">
        <v>1330</v>
      </c>
      <c r="D25" s="120" t="s">
        <v>1331</v>
      </c>
      <c r="E25" s="397"/>
      <c r="F25" s="399" t="s">
        <v>1332</v>
      </c>
      <c r="G25" s="399" t="s">
        <v>1333</v>
      </c>
      <c r="H25" s="399" t="s">
        <v>1334</v>
      </c>
      <c r="I25" s="123">
        <v>10001155</v>
      </c>
      <c r="J25" s="393" t="s">
        <v>320</v>
      </c>
      <c r="K25" s="133">
        <v>253</v>
      </c>
      <c r="L25" s="397"/>
      <c r="M25" s="136"/>
      <c r="N25" s="136"/>
    </row>
    <row r="26" spans="1:14" ht="22.5">
      <c r="A26" s="393">
        <v>2</v>
      </c>
      <c r="B26" s="393"/>
      <c r="C26" s="505" t="s">
        <v>1335</v>
      </c>
      <c r="D26" s="120" t="s">
        <v>1336</v>
      </c>
      <c r="E26" s="397"/>
      <c r="F26" s="399" t="s">
        <v>1337</v>
      </c>
      <c r="G26" s="399" t="s">
        <v>1333</v>
      </c>
      <c r="H26" s="399" t="s">
        <v>1334</v>
      </c>
      <c r="I26" s="123">
        <v>10001156</v>
      </c>
      <c r="J26" s="393" t="s">
        <v>320</v>
      </c>
      <c r="K26" s="133">
        <v>446</v>
      </c>
      <c r="L26" s="397"/>
      <c r="M26" s="136"/>
      <c r="N26" s="136"/>
    </row>
    <row r="27" spans="1:14" ht="33.75">
      <c r="A27" s="393">
        <v>3</v>
      </c>
      <c r="B27" s="393"/>
      <c r="C27" s="505" t="s">
        <v>1338</v>
      </c>
      <c r="D27" s="120" t="s">
        <v>1339</v>
      </c>
      <c r="E27" s="397"/>
      <c r="F27" s="399" t="s">
        <v>1340</v>
      </c>
      <c r="G27" s="397"/>
      <c r="H27" s="399" t="s">
        <v>1334</v>
      </c>
      <c r="I27" s="123">
        <v>10001154</v>
      </c>
      <c r="J27" s="393" t="s">
        <v>320</v>
      </c>
      <c r="K27" s="387">
        <v>1134</v>
      </c>
      <c r="L27" s="397"/>
      <c r="M27" s="136"/>
      <c r="N27" s="136"/>
    </row>
    <row r="28" spans="1:14" ht="22.5">
      <c r="A28" s="393">
        <v>28</v>
      </c>
      <c r="B28" s="393"/>
      <c r="C28" s="504" t="s">
        <v>1341</v>
      </c>
      <c r="D28" s="120" t="s">
        <v>1342</v>
      </c>
      <c r="E28" s="397"/>
      <c r="F28" s="399" t="s">
        <v>1343</v>
      </c>
      <c r="G28" s="399" t="s">
        <v>1344</v>
      </c>
      <c r="H28" s="399" t="s">
        <v>1334</v>
      </c>
      <c r="I28" s="123">
        <v>10001157</v>
      </c>
      <c r="J28" s="399" t="s">
        <v>320</v>
      </c>
      <c r="K28" s="133">
        <v>404</v>
      </c>
      <c r="L28" s="138"/>
      <c r="M28" s="136"/>
      <c r="N28" s="136"/>
    </row>
    <row r="29" spans="1:14">
      <c r="A29" s="393">
        <v>4</v>
      </c>
      <c r="B29" s="393"/>
      <c r="C29" s="505" t="s">
        <v>1345</v>
      </c>
      <c r="D29" s="124" t="s">
        <v>1346</v>
      </c>
      <c r="E29" s="397"/>
      <c r="F29" s="397"/>
      <c r="G29" s="397"/>
      <c r="H29" s="399" t="s">
        <v>1334</v>
      </c>
      <c r="I29" s="123">
        <v>10001122</v>
      </c>
      <c r="J29" s="393" t="s">
        <v>320</v>
      </c>
      <c r="K29" s="133">
        <v>261</v>
      </c>
      <c r="L29" s="397"/>
      <c r="M29" s="136"/>
      <c r="N29" s="136"/>
    </row>
    <row r="30" spans="1:14" ht="22.5">
      <c r="A30" s="393">
        <v>5</v>
      </c>
      <c r="B30" s="393"/>
      <c r="C30" s="505" t="s">
        <v>1347</v>
      </c>
      <c r="D30" s="120" t="s">
        <v>1348</v>
      </c>
      <c r="E30" s="397"/>
      <c r="F30" s="399"/>
      <c r="G30" s="399" t="s">
        <v>1349</v>
      </c>
      <c r="H30" s="399" t="s">
        <v>1334</v>
      </c>
      <c r="I30" s="123">
        <v>10001124</v>
      </c>
      <c r="J30" s="393" t="s">
        <v>320</v>
      </c>
      <c r="K30" s="387">
        <v>275</v>
      </c>
      <c r="L30" s="397" t="s">
        <v>1350</v>
      </c>
      <c r="M30" s="136"/>
      <c r="N30" s="136"/>
    </row>
    <row r="31" spans="1:14" ht="22.5">
      <c r="A31" s="393">
        <v>6</v>
      </c>
      <c r="B31" s="393"/>
      <c r="C31" s="505" t="s">
        <v>1351</v>
      </c>
      <c r="D31" s="120">
        <v>526319610</v>
      </c>
      <c r="E31" s="397"/>
      <c r="F31" s="397"/>
      <c r="G31" s="399" t="s">
        <v>1349</v>
      </c>
      <c r="H31" s="399" t="s">
        <v>1334</v>
      </c>
      <c r="I31" s="123">
        <v>10001126</v>
      </c>
      <c r="J31" s="393" t="s">
        <v>320</v>
      </c>
      <c r="K31" s="133">
        <v>112</v>
      </c>
      <c r="L31" s="397"/>
      <c r="M31" s="136"/>
      <c r="N31" s="136"/>
    </row>
    <row r="32" spans="1:14">
      <c r="A32" s="393">
        <v>7</v>
      </c>
      <c r="B32" s="393"/>
      <c r="C32" s="505" t="s">
        <v>1352</v>
      </c>
      <c r="D32" s="120" t="s">
        <v>1353</v>
      </c>
      <c r="E32" s="397"/>
      <c r="F32" s="397"/>
      <c r="G32" s="399" t="s">
        <v>1354</v>
      </c>
      <c r="H32" s="399" t="s">
        <v>1334</v>
      </c>
      <c r="I32" s="123">
        <v>10001123</v>
      </c>
      <c r="J32" s="393" t="s">
        <v>320</v>
      </c>
      <c r="K32" s="133">
        <v>197</v>
      </c>
      <c r="L32" s="397"/>
      <c r="M32" s="136"/>
      <c r="N32" s="136"/>
    </row>
    <row r="33" spans="1:14">
      <c r="A33" s="393">
        <v>8</v>
      </c>
      <c r="B33" s="393"/>
      <c r="C33" s="506" t="s">
        <v>1355</v>
      </c>
      <c r="D33" s="125" t="s">
        <v>1356</v>
      </c>
      <c r="E33" s="397"/>
      <c r="F33" s="399" t="s">
        <v>1357</v>
      </c>
      <c r="G33" s="399" t="s">
        <v>1354</v>
      </c>
      <c r="H33" s="399" t="s">
        <v>1358</v>
      </c>
      <c r="I33" s="398">
        <v>10001120</v>
      </c>
      <c r="J33" s="140" t="s">
        <v>320</v>
      </c>
      <c r="K33" s="133">
        <v>292</v>
      </c>
      <c r="L33" s="397" t="s">
        <v>1359</v>
      </c>
      <c r="M33" s="136"/>
      <c r="N33" s="136"/>
    </row>
    <row r="34" spans="1:14">
      <c r="A34" s="393">
        <v>9</v>
      </c>
      <c r="B34" s="393"/>
      <c r="C34" s="506" t="s">
        <v>1360</v>
      </c>
      <c r="D34" s="125" t="s">
        <v>1356</v>
      </c>
      <c r="E34" s="397"/>
      <c r="F34" s="399" t="s">
        <v>1361</v>
      </c>
      <c r="G34" s="399" t="s">
        <v>1354</v>
      </c>
      <c r="H34" s="399" t="s">
        <v>1358</v>
      </c>
      <c r="I34" s="398">
        <v>10001121</v>
      </c>
      <c r="J34" s="140" t="s">
        <v>320</v>
      </c>
      <c r="K34" s="133">
        <v>162</v>
      </c>
      <c r="L34" s="397"/>
      <c r="M34" s="136"/>
      <c r="N34" s="136"/>
    </row>
    <row r="35" spans="1:14">
      <c r="A35" s="393">
        <v>10</v>
      </c>
      <c r="B35" s="393"/>
      <c r="C35" s="505" t="s">
        <v>1362</v>
      </c>
      <c r="D35" s="120" t="s">
        <v>1363</v>
      </c>
      <c r="E35" s="393"/>
      <c r="F35" s="393"/>
      <c r="G35" s="399" t="s">
        <v>299</v>
      </c>
      <c r="H35" s="399" t="s">
        <v>1364</v>
      </c>
      <c r="I35" s="123">
        <v>10000233</v>
      </c>
      <c r="J35" s="140" t="s">
        <v>320</v>
      </c>
      <c r="K35" s="133">
        <v>55</v>
      </c>
      <c r="L35" s="397"/>
      <c r="M35" s="136"/>
      <c r="N35" s="136"/>
    </row>
    <row r="36" spans="1:14">
      <c r="A36" s="393">
        <v>11</v>
      </c>
      <c r="B36" s="393"/>
      <c r="C36" s="505" t="s">
        <v>367</v>
      </c>
      <c r="D36" s="120" t="s">
        <v>1365</v>
      </c>
      <c r="E36" s="393"/>
      <c r="F36" s="393"/>
      <c r="G36" s="399" t="s">
        <v>299</v>
      </c>
      <c r="H36" s="399" t="s">
        <v>1364</v>
      </c>
      <c r="I36" s="123">
        <v>10000234</v>
      </c>
      <c r="J36" s="140" t="s">
        <v>320</v>
      </c>
      <c r="K36" s="133">
        <v>90</v>
      </c>
      <c r="L36" s="397"/>
      <c r="M36" s="136"/>
      <c r="N36" s="136"/>
    </row>
    <row r="37" spans="1:14">
      <c r="A37" s="665" t="s">
        <v>64</v>
      </c>
      <c r="B37" s="976" t="s">
        <v>1366</v>
      </c>
      <c r="C37" s="976"/>
      <c r="D37" s="671"/>
      <c r="E37" s="667"/>
      <c r="F37" s="667"/>
      <c r="G37" s="667"/>
      <c r="H37" s="667"/>
      <c r="I37" s="667"/>
      <c r="J37" s="667"/>
      <c r="K37" s="669"/>
      <c r="L37" s="667"/>
      <c r="M37" s="136"/>
      <c r="N37" s="136"/>
    </row>
    <row r="38" spans="1:14" ht="22.5">
      <c r="A38" s="393">
        <v>1</v>
      </c>
      <c r="B38" s="982"/>
      <c r="C38" s="505" t="s">
        <v>1367</v>
      </c>
      <c r="D38" s="117" t="s">
        <v>1368</v>
      </c>
      <c r="E38" s="397"/>
      <c r="F38" s="397" t="s">
        <v>1369</v>
      </c>
      <c r="G38" s="399" t="s">
        <v>1370</v>
      </c>
      <c r="H38" s="982" t="s">
        <v>1371</v>
      </c>
      <c r="I38" s="123">
        <v>10028369</v>
      </c>
      <c r="J38" s="393" t="s">
        <v>320</v>
      </c>
      <c r="K38" s="133">
        <v>695</v>
      </c>
      <c r="L38" s="393"/>
      <c r="M38" s="136"/>
      <c r="N38" s="136"/>
    </row>
    <row r="39" spans="1:14">
      <c r="A39" s="393">
        <v>2</v>
      </c>
      <c r="B39" s="982"/>
      <c r="C39" s="505" t="s">
        <v>1367</v>
      </c>
      <c r="D39" s="117" t="s">
        <v>1372</v>
      </c>
      <c r="E39" s="397"/>
      <c r="F39" s="397" t="s">
        <v>1373</v>
      </c>
      <c r="G39" s="399" t="s">
        <v>1374</v>
      </c>
      <c r="H39" s="982"/>
      <c r="I39" s="123">
        <v>10028370</v>
      </c>
      <c r="J39" s="393" t="s">
        <v>320</v>
      </c>
      <c r="K39" s="133">
        <v>439</v>
      </c>
      <c r="L39" s="393"/>
      <c r="M39" s="136"/>
      <c r="N39" s="136"/>
    </row>
    <row r="40" spans="1:14" ht="22.5">
      <c r="A40" s="393">
        <v>3</v>
      </c>
      <c r="B40" s="393"/>
      <c r="C40" s="505" t="s">
        <v>1367</v>
      </c>
      <c r="D40" s="124" t="s">
        <v>1375</v>
      </c>
      <c r="E40" s="397"/>
      <c r="F40" s="126" t="s">
        <v>1376</v>
      </c>
      <c r="G40" s="127" t="s">
        <v>1377</v>
      </c>
      <c r="H40" s="128" t="s">
        <v>1371</v>
      </c>
      <c r="I40" s="399">
        <v>110700023</v>
      </c>
      <c r="J40" s="393" t="s">
        <v>320</v>
      </c>
      <c r="K40" s="133">
        <v>535</v>
      </c>
      <c r="L40" s="393"/>
      <c r="M40" s="136"/>
      <c r="N40" s="136"/>
    </row>
    <row r="41" spans="1:14" ht="18.75" customHeight="1">
      <c r="A41" s="393">
        <v>4</v>
      </c>
      <c r="B41" s="393"/>
      <c r="C41" s="503" t="s">
        <v>1378</v>
      </c>
      <c r="D41" s="398" t="s">
        <v>1379</v>
      </c>
      <c r="E41" s="123"/>
      <c r="F41" s="394" t="s">
        <v>1380</v>
      </c>
      <c r="G41" s="397" t="s">
        <v>1381</v>
      </c>
      <c r="H41" s="394" t="s">
        <v>1382</v>
      </c>
      <c r="I41" s="123">
        <v>10000418</v>
      </c>
      <c r="J41" s="393" t="s">
        <v>320</v>
      </c>
      <c r="K41" s="133">
        <v>59</v>
      </c>
      <c r="L41" s="393"/>
      <c r="M41" s="136"/>
      <c r="N41" s="136"/>
    </row>
    <row r="42" spans="1:14" ht="22.5">
      <c r="A42" s="393">
        <v>5</v>
      </c>
      <c r="B42" s="393"/>
      <c r="C42" s="503" t="s">
        <v>1383</v>
      </c>
      <c r="D42" s="398" t="s">
        <v>1384</v>
      </c>
      <c r="E42" s="123" t="s">
        <v>1385</v>
      </c>
      <c r="F42" s="398" t="s">
        <v>1386</v>
      </c>
      <c r="G42" s="399" t="s">
        <v>1354</v>
      </c>
      <c r="H42" s="394" t="s">
        <v>1382</v>
      </c>
      <c r="I42" s="123">
        <v>10000421</v>
      </c>
      <c r="J42" s="393" t="s">
        <v>320</v>
      </c>
      <c r="K42" s="133">
        <v>195</v>
      </c>
      <c r="L42" s="393"/>
      <c r="M42" s="136"/>
      <c r="N42" s="136"/>
    </row>
    <row r="43" spans="1:14">
      <c r="A43" s="393">
        <v>6</v>
      </c>
      <c r="B43" s="393"/>
      <c r="C43" s="505" t="s">
        <v>1378</v>
      </c>
      <c r="D43" s="120" t="s">
        <v>1387</v>
      </c>
      <c r="E43" s="397"/>
      <c r="F43" s="398" t="s">
        <v>1388</v>
      </c>
      <c r="G43" s="399" t="s">
        <v>299</v>
      </c>
      <c r="H43" s="394" t="s">
        <v>1382</v>
      </c>
      <c r="I43" s="394">
        <v>10000425</v>
      </c>
      <c r="J43" s="393" t="s">
        <v>320</v>
      </c>
      <c r="K43" s="133">
        <v>42</v>
      </c>
      <c r="L43" s="393"/>
      <c r="M43" s="136"/>
      <c r="N43" s="136"/>
    </row>
    <row r="44" spans="1:14" ht="22.5">
      <c r="A44" s="393">
        <v>7</v>
      </c>
      <c r="B44" s="393"/>
      <c r="C44" s="505" t="s">
        <v>1378</v>
      </c>
      <c r="D44" s="120" t="s">
        <v>1389</v>
      </c>
      <c r="E44" s="397"/>
      <c r="F44" s="398" t="s">
        <v>1390</v>
      </c>
      <c r="G44" s="399" t="s">
        <v>1391</v>
      </c>
      <c r="H44" s="391" t="s">
        <v>1382</v>
      </c>
      <c r="I44" s="391">
        <v>10000426</v>
      </c>
      <c r="J44" s="393" t="s">
        <v>320</v>
      </c>
      <c r="K44" s="133">
        <v>41</v>
      </c>
      <c r="L44" s="393"/>
      <c r="M44" s="136"/>
      <c r="N44" s="136"/>
    </row>
    <row r="45" spans="1:14" ht="33.75">
      <c r="A45" s="393">
        <v>8</v>
      </c>
      <c r="B45" s="393"/>
      <c r="C45" s="507" t="s">
        <v>1392</v>
      </c>
      <c r="D45" s="131" t="s">
        <v>1393</v>
      </c>
      <c r="E45" s="397"/>
      <c r="F45" s="398" t="s">
        <v>1394</v>
      </c>
      <c r="G45" s="399" t="s">
        <v>1395</v>
      </c>
      <c r="H45" s="391" t="s">
        <v>1396</v>
      </c>
      <c r="I45" s="123">
        <v>10000450</v>
      </c>
      <c r="J45" s="393" t="s">
        <v>320</v>
      </c>
      <c r="K45" s="133">
        <v>16</v>
      </c>
      <c r="L45" s="393" t="s">
        <v>1397</v>
      </c>
      <c r="M45" s="136"/>
      <c r="N45" s="136"/>
    </row>
    <row r="46" spans="1:14" ht="33.75">
      <c r="A46" s="393">
        <v>9</v>
      </c>
      <c r="B46" s="393"/>
      <c r="C46" s="507" t="s">
        <v>1392</v>
      </c>
      <c r="D46" s="131" t="s">
        <v>1398</v>
      </c>
      <c r="E46" s="397"/>
      <c r="F46" s="398" t="s">
        <v>1399</v>
      </c>
      <c r="G46" s="399" t="s">
        <v>1400</v>
      </c>
      <c r="H46" s="391" t="s">
        <v>1396</v>
      </c>
      <c r="I46" s="123">
        <v>10000452</v>
      </c>
      <c r="J46" s="393" t="s">
        <v>320</v>
      </c>
      <c r="K46" s="133">
        <v>25</v>
      </c>
      <c r="L46" s="393" t="s">
        <v>1397</v>
      </c>
      <c r="M46" s="136"/>
      <c r="N46" s="136"/>
    </row>
    <row r="47" spans="1:14" ht="22.5">
      <c r="A47" s="393">
        <v>10</v>
      </c>
      <c r="B47" s="393"/>
      <c r="C47" s="507" t="s">
        <v>1401</v>
      </c>
      <c r="D47" s="123" t="s">
        <v>1402</v>
      </c>
      <c r="E47" s="397"/>
      <c r="F47" s="394" t="s">
        <v>1403</v>
      </c>
      <c r="G47" s="399" t="s">
        <v>299</v>
      </c>
      <c r="H47" s="391" t="s">
        <v>1396</v>
      </c>
      <c r="I47" s="123">
        <v>10000466</v>
      </c>
      <c r="J47" s="393" t="s">
        <v>320</v>
      </c>
      <c r="K47" s="133">
        <v>20</v>
      </c>
      <c r="L47" s="393" t="s">
        <v>1397</v>
      </c>
      <c r="M47" s="136"/>
      <c r="N47" s="136"/>
    </row>
    <row r="48" spans="1:14">
      <c r="A48" s="393">
        <v>11</v>
      </c>
      <c r="B48" s="397"/>
      <c r="C48" s="392" t="s">
        <v>1209</v>
      </c>
      <c r="D48" s="117" t="s">
        <v>1404</v>
      </c>
      <c r="E48" s="397"/>
      <c r="F48" s="397" t="s">
        <v>1405</v>
      </c>
      <c r="G48" s="397" t="s">
        <v>1406</v>
      </c>
      <c r="H48" s="393" t="s">
        <v>1371</v>
      </c>
      <c r="I48" s="123">
        <v>10000505</v>
      </c>
      <c r="J48" s="122" t="s">
        <v>320</v>
      </c>
      <c r="K48" s="133">
        <v>85</v>
      </c>
      <c r="L48" s="397"/>
      <c r="M48" s="136"/>
      <c r="N48" s="136"/>
    </row>
    <row r="49" spans="1:14" ht="22.5">
      <c r="A49" s="393">
        <v>12</v>
      </c>
      <c r="B49" s="393"/>
      <c r="C49" s="505" t="s">
        <v>1407</v>
      </c>
      <c r="D49" s="123" t="s">
        <v>1408</v>
      </c>
      <c r="E49" s="397"/>
      <c r="F49" s="397" t="s">
        <v>1409</v>
      </c>
      <c r="G49" s="397" t="s">
        <v>1410</v>
      </c>
      <c r="H49" s="393" t="s">
        <v>1411</v>
      </c>
      <c r="I49" s="123">
        <v>10000209</v>
      </c>
      <c r="J49" s="393" t="s">
        <v>1412</v>
      </c>
      <c r="K49" s="133">
        <v>89</v>
      </c>
      <c r="L49" s="393" t="s">
        <v>1413</v>
      </c>
      <c r="M49" s="136"/>
      <c r="N49" s="136"/>
    </row>
    <row r="50" spans="1:14">
      <c r="A50" s="665" t="s">
        <v>111</v>
      </c>
      <c r="B50" s="976" t="s">
        <v>1414</v>
      </c>
      <c r="C50" s="976"/>
      <c r="D50" s="671"/>
      <c r="E50" s="667"/>
      <c r="F50" s="667"/>
      <c r="G50" s="667"/>
      <c r="H50" s="667"/>
      <c r="I50" s="667"/>
      <c r="J50" s="667"/>
      <c r="K50" s="669"/>
      <c r="L50" s="667"/>
      <c r="M50" s="136"/>
      <c r="N50" s="136"/>
    </row>
    <row r="51" spans="1:14" ht="22.5" customHeight="1">
      <c r="A51" s="982">
        <v>1</v>
      </c>
      <c r="B51" s="982"/>
      <c r="C51" s="977" t="s">
        <v>1415</v>
      </c>
      <c r="D51" s="120" t="s">
        <v>1416</v>
      </c>
      <c r="E51" s="397"/>
      <c r="F51" s="393" t="s">
        <v>1417</v>
      </c>
      <c r="G51" s="985" t="s">
        <v>1418</v>
      </c>
      <c r="H51" s="399" t="s">
        <v>1419</v>
      </c>
      <c r="I51" s="132">
        <v>10000855</v>
      </c>
      <c r="J51" s="399" t="s">
        <v>320</v>
      </c>
      <c r="K51" s="133">
        <v>240</v>
      </c>
      <c r="L51" s="393"/>
      <c r="M51" s="136"/>
      <c r="N51" s="136"/>
    </row>
    <row r="52" spans="1:14" ht="22.5" customHeight="1">
      <c r="A52" s="982"/>
      <c r="B52" s="982"/>
      <c r="C52" s="977"/>
      <c r="D52" s="120" t="s">
        <v>1420</v>
      </c>
      <c r="E52" s="397"/>
      <c r="F52" s="393" t="s">
        <v>1421</v>
      </c>
      <c r="G52" s="985"/>
      <c r="H52" s="123" t="s">
        <v>1422</v>
      </c>
      <c r="I52" s="132">
        <v>10000856</v>
      </c>
      <c r="J52" s="399" t="s">
        <v>320</v>
      </c>
      <c r="K52" s="133">
        <v>240</v>
      </c>
      <c r="L52" s="393"/>
      <c r="M52" s="136"/>
      <c r="N52" s="136"/>
    </row>
    <row r="53" spans="1:14" ht="22.5" customHeight="1">
      <c r="A53" s="982"/>
      <c r="B53" s="982"/>
      <c r="C53" s="977"/>
      <c r="D53" s="120" t="s">
        <v>1423</v>
      </c>
      <c r="E53" s="397"/>
      <c r="F53" s="393" t="s">
        <v>1424</v>
      </c>
      <c r="G53" s="985"/>
      <c r="H53" s="123" t="s">
        <v>1422</v>
      </c>
      <c r="I53" s="132">
        <v>10000859</v>
      </c>
      <c r="J53" s="399" t="s">
        <v>320</v>
      </c>
      <c r="K53" s="133">
        <v>185</v>
      </c>
      <c r="L53" s="393"/>
      <c r="M53" s="136"/>
      <c r="N53" s="136"/>
    </row>
    <row r="54" spans="1:14" ht="22.5" customHeight="1">
      <c r="A54" s="982"/>
      <c r="B54" s="982"/>
      <c r="C54" s="977"/>
      <c r="D54" s="120" t="s">
        <v>1425</v>
      </c>
      <c r="E54" s="397"/>
      <c r="F54" s="393" t="s">
        <v>1426</v>
      </c>
      <c r="G54" s="985"/>
      <c r="H54" s="123" t="s">
        <v>1422</v>
      </c>
      <c r="I54" s="132">
        <v>10000860</v>
      </c>
      <c r="J54" s="399" t="s">
        <v>320</v>
      </c>
      <c r="K54" s="133">
        <v>185</v>
      </c>
      <c r="L54" s="393"/>
      <c r="M54" s="136"/>
      <c r="N54" s="136"/>
    </row>
    <row r="55" spans="1:14" ht="22.5">
      <c r="A55" s="393">
        <v>2</v>
      </c>
      <c r="B55" s="393"/>
      <c r="C55" s="505" t="s">
        <v>1427</v>
      </c>
      <c r="D55" s="120" t="s">
        <v>1428</v>
      </c>
      <c r="E55" s="393"/>
      <c r="F55" s="393"/>
      <c r="G55" s="986" t="s">
        <v>1418</v>
      </c>
      <c r="H55" s="123" t="s">
        <v>1422</v>
      </c>
      <c r="I55" s="132">
        <v>10028310</v>
      </c>
      <c r="J55" s="393" t="s">
        <v>270</v>
      </c>
      <c r="K55" s="133">
        <v>30</v>
      </c>
      <c r="L55" s="397"/>
      <c r="M55" s="136"/>
      <c r="N55" s="136"/>
    </row>
    <row r="56" spans="1:14" ht="22.5">
      <c r="A56" s="393">
        <v>3</v>
      </c>
      <c r="B56" s="393"/>
      <c r="C56" s="505" t="s">
        <v>1429</v>
      </c>
      <c r="D56" s="120" t="s">
        <v>1430</v>
      </c>
      <c r="E56" s="393"/>
      <c r="F56" s="393"/>
      <c r="G56" s="986"/>
      <c r="H56" s="123" t="s">
        <v>1422</v>
      </c>
      <c r="I56" s="132">
        <v>10028312</v>
      </c>
      <c r="J56" s="393" t="s">
        <v>270</v>
      </c>
      <c r="K56" s="133">
        <v>33</v>
      </c>
      <c r="L56" s="397"/>
      <c r="M56" s="136"/>
      <c r="N56" s="136"/>
    </row>
    <row r="57" spans="1:14" ht="22.5">
      <c r="A57" s="393">
        <v>4</v>
      </c>
      <c r="B57" s="393"/>
      <c r="C57" s="505" t="s">
        <v>1431</v>
      </c>
      <c r="D57" s="120" t="s">
        <v>1432</v>
      </c>
      <c r="E57" s="393"/>
      <c r="F57" s="393"/>
      <c r="G57" s="986"/>
      <c r="H57" s="123" t="s">
        <v>1422</v>
      </c>
      <c r="I57" s="132">
        <v>10028311</v>
      </c>
      <c r="J57" s="393" t="s">
        <v>270</v>
      </c>
      <c r="K57" s="133">
        <v>37</v>
      </c>
      <c r="L57" s="397"/>
      <c r="M57" s="136"/>
      <c r="N57" s="136"/>
    </row>
    <row r="58" spans="1:14" ht="33.75">
      <c r="A58" s="982">
        <v>5</v>
      </c>
      <c r="B58" s="982"/>
      <c r="C58" s="977" t="s">
        <v>1433</v>
      </c>
      <c r="D58" s="132" t="s">
        <v>1434</v>
      </c>
      <c r="E58" s="397"/>
      <c r="F58" s="393" t="s">
        <v>1417</v>
      </c>
      <c r="G58" s="985" t="s">
        <v>1435</v>
      </c>
      <c r="H58" s="123" t="s">
        <v>1422</v>
      </c>
      <c r="I58" s="132">
        <v>10000873</v>
      </c>
      <c r="J58" s="399" t="s">
        <v>320</v>
      </c>
      <c r="K58" s="133">
        <v>100</v>
      </c>
      <c r="L58" s="393"/>
      <c r="M58" s="136"/>
      <c r="N58" s="136"/>
    </row>
    <row r="59" spans="1:14" ht="33.75">
      <c r="A59" s="982"/>
      <c r="B59" s="982"/>
      <c r="C59" s="977"/>
      <c r="D59" s="132" t="s">
        <v>1436</v>
      </c>
      <c r="E59" s="397"/>
      <c r="F59" s="393" t="s">
        <v>1421</v>
      </c>
      <c r="G59" s="985"/>
      <c r="H59" s="123" t="s">
        <v>1422</v>
      </c>
      <c r="I59" s="132">
        <v>10000874</v>
      </c>
      <c r="J59" s="399" t="s">
        <v>320</v>
      </c>
      <c r="K59" s="133">
        <v>100</v>
      </c>
      <c r="L59" s="393"/>
      <c r="M59" s="136"/>
      <c r="N59" s="136"/>
    </row>
    <row r="60" spans="1:14" ht="33.75">
      <c r="A60" s="982"/>
      <c r="B60" s="982"/>
      <c r="C60" s="977"/>
      <c r="D60" s="132" t="s">
        <v>1437</v>
      </c>
      <c r="E60" s="397"/>
      <c r="F60" s="393" t="s">
        <v>1424</v>
      </c>
      <c r="G60" s="985"/>
      <c r="H60" s="123" t="s">
        <v>1422</v>
      </c>
      <c r="I60" s="132">
        <v>10000875</v>
      </c>
      <c r="J60" s="399" t="s">
        <v>320</v>
      </c>
      <c r="K60" s="133">
        <v>78</v>
      </c>
      <c r="L60" s="393"/>
      <c r="M60" s="136"/>
      <c r="N60" s="136"/>
    </row>
    <row r="61" spans="1:14" ht="33.75">
      <c r="A61" s="982"/>
      <c r="B61" s="982"/>
      <c r="C61" s="977"/>
      <c r="D61" s="132" t="s">
        <v>1438</v>
      </c>
      <c r="E61" s="397"/>
      <c r="F61" s="393" t="s">
        <v>1426</v>
      </c>
      <c r="G61" s="985"/>
      <c r="H61" s="123" t="s">
        <v>1422</v>
      </c>
      <c r="I61" s="132">
        <v>10000876</v>
      </c>
      <c r="J61" s="399" t="s">
        <v>320</v>
      </c>
      <c r="K61" s="133">
        <v>78</v>
      </c>
      <c r="L61" s="393"/>
      <c r="M61" s="136"/>
      <c r="N61" s="136"/>
    </row>
    <row r="62" spans="1:14" ht="33.75">
      <c r="A62" s="982">
        <v>6</v>
      </c>
      <c r="B62" s="982"/>
      <c r="C62" s="977" t="s">
        <v>1439</v>
      </c>
      <c r="D62" s="132" t="s">
        <v>1440</v>
      </c>
      <c r="E62" s="397"/>
      <c r="F62" s="393" t="s">
        <v>1417</v>
      </c>
      <c r="G62" s="985" t="s">
        <v>1435</v>
      </c>
      <c r="H62" s="123" t="s">
        <v>1422</v>
      </c>
      <c r="I62" s="132">
        <v>10000881</v>
      </c>
      <c r="J62" s="399" t="s">
        <v>320</v>
      </c>
      <c r="K62" s="133">
        <v>98</v>
      </c>
      <c r="L62" s="393"/>
      <c r="M62" s="136"/>
      <c r="N62" s="136"/>
    </row>
    <row r="63" spans="1:14" ht="33.75">
      <c r="A63" s="982"/>
      <c r="B63" s="982"/>
      <c r="C63" s="977"/>
      <c r="D63" s="132" t="s">
        <v>1441</v>
      </c>
      <c r="E63" s="397"/>
      <c r="F63" s="393" t="s">
        <v>1421</v>
      </c>
      <c r="G63" s="985"/>
      <c r="H63" s="123" t="s">
        <v>1422</v>
      </c>
      <c r="I63" s="132">
        <v>10000882</v>
      </c>
      <c r="J63" s="399" t="s">
        <v>320</v>
      </c>
      <c r="K63" s="133">
        <v>98</v>
      </c>
      <c r="L63" s="393"/>
      <c r="M63" s="136"/>
      <c r="N63" s="136"/>
    </row>
    <row r="64" spans="1:14" ht="22.5">
      <c r="A64" s="393">
        <v>7</v>
      </c>
      <c r="B64" s="393"/>
      <c r="C64" s="503" t="s">
        <v>1442</v>
      </c>
      <c r="D64" s="132" t="s">
        <v>1443</v>
      </c>
      <c r="E64" s="393"/>
      <c r="F64" s="393"/>
      <c r="G64" s="393" t="s">
        <v>1444</v>
      </c>
      <c r="H64" s="123" t="s">
        <v>1422</v>
      </c>
      <c r="I64" s="132">
        <v>10028306</v>
      </c>
      <c r="J64" s="399" t="s">
        <v>320</v>
      </c>
      <c r="K64" s="133">
        <v>60</v>
      </c>
      <c r="L64" s="141"/>
      <c r="M64" s="136"/>
      <c r="N64" s="136"/>
    </row>
    <row r="65" spans="1:14">
      <c r="A65" s="393">
        <v>8</v>
      </c>
      <c r="B65" s="393"/>
      <c r="C65" s="395" t="s">
        <v>1445</v>
      </c>
      <c r="D65" s="142" t="s">
        <v>1446</v>
      </c>
      <c r="E65" s="397"/>
      <c r="F65" s="399" t="s">
        <v>1447</v>
      </c>
      <c r="G65" s="397" t="s">
        <v>1435</v>
      </c>
      <c r="H65" s="123" t="s">
        <v>1422</v>
      </c>
      <c r="I65" s="132">
        <v>10028313</v>
      </c>
      <c r="J65" s="393" t="s">
        <v>270</v>
      </c>
      <c r="K65" s="133">
        <v>24</v>
      </c>
      <c r="L65" s="397"/>
      <c r="M65" s="136" t="s">
        <v>1446</v>
      </c>
      <c r="N65" s="136"/>
    </row>
    <row r="66" spans="1:14">
      <c r="A66" s="393">
        <v>9</v>
      </c>
      <c r="B66" s="393"/>
      <c r="C66" s="503" t="s">
        <v>1448</v>
      </c>
      <c r="D66" s="120" t="s">
        <v>1449</v>
      </c>
      <c r="E66" s="393"/>
      <c r="F66" s="393"/>
      <c r="G66" s="399" t="s">
        <v>1450</v>
      </c>
      <c r="H66" s="123" t="s">
        <v>1422</v>
      </c>
      <c r="I66" s="132">
        <v>10028309</v>
      </c>
      <c r="J66" s="393" t="s">
        <v>270</v>
      </c>
      <c r="K66" s="133">
        <v>28</v>
      </c>
      <c r="L66" s="397"/>
      <c r="M66" s="136"/>
      <c r="N66" s="136"/>
    </row>
    <row r="67" spans="1:14">
      <c r="A67" s="393">
        <v>10</v>
      </c>
      <c r="B67" s="393"/>
      <c r="C67" s="395" t="s">
        <v>1451</v>
      </c>
      <c r="D67" s="120" t="s">
        <v>1452</v>
      </c>
      <c r="E67" s="397"/>
      <c r="F67" s="143"/>
      <c r="G67" s="399" t="s">
        <v>1435</v>
      </c>
      <c r="H67" s="123" t="s">
        <v>1422</v>
      </c>
      <c r="I67" s="132">
        <v>10028307</v>
      </c>
      <c r="J67" s="393" t="s">
        <v>270</v>
      </c>
      <c r="K67" s="133">
        <v>17</v>
      </c>
      <c r="L67" s="397"/>
      <c r="M67" s="136"/>
      <c r="N67" s="136"/>
    </row>
    <row r="68" spans="1:14">
      <c r="A68" s="665" t="s">
        <v>113</v>
      </c>
      <c r="B68" s="665"/>
      <c r="C68" s="672" t="s">
        <v>1453</v>
      </c>
      <c r="D68" s="673"/>
      <c r="E68" s="667"/>
      <c r="F68" s="667"/>
      <c r="G68" s="667"/>
      <c r="H68" s="665"/>
      <c r="I68" s="667"/>
      <c r="J68" s="668"/>
      <c r="K68" s="674"/>
      <c r="L68" s="675"/>
      <c r="M68" s="136"/>
      <c r="N68" s="136"/>
    </row>
    <row r="69" spans="1:14" ht="78.75">
      <c r="A69" s="393">
        <v>1</v>
      </c>
      <c r="B69" s="393"/>
      <c r="C69" s="505" t="s">
        <v>1454</v>
      </c>
      <c r="D69" s="124" t="s">
        <v>1455</v>
      </c>
      <c r="E69" s="397"/>
      <c r="F69" s="397"/>
      <c r="G69" s="397"/>
      <c r="H69" s="393" t="s">
        <v>1456</v>
      </c>
      <c r="I69" s="397">
        <v>111800003</v>
      </c>
      <c r="J69" s="393" t="s">
        <v>320</v>
      </c>
      <c r="K69" s="151">
        <v>4140</v>
      </c>
      <c r="L69" s="126" t="s">
        <v>1457</v>
      </c>
      <c r="M69" s="136" t="s">
        <v>1282</v>
      </c>
      <c r="N69" s="136"/>
    </row>
    <row r="70" spans="1:14" ht="105.75" customHeight="1">
      <c r="A70" s="393" t="s">
        <v>1458</v>
      </c>
      <c r="B70" s="393"/>
      <c r="C70" s="144" t="s">
        <v>1254</v>
      </c>
      <c r="D70" s="124"/>
      <c r="E70" s="397"/>
      <c r="F70" s="397"/>
      <c r="G70" s="397"/>
      <c r="H70" s="393"/>
      <c r="I70" s="397"/>
      <c r="J70" s="393" t="s">
        <v>320</v>
      </c>
      <c r="K70" s="151">
        <v>1500</v>
      </c>
      <c r="L70" s="126" t="s">
        <v>1457</v>
      </c>
      <c r="M70" s="136" t="s">
        <v>1282</v>
      </c>
      <c r="N70" s="136"/>
    </row>
    <row r="71" spans="1:14">
      <c r="A71" s="393">
        <v>2</v>
      </c>
      <c r="B71" s="393"/>
      <c r="C71" s="504" t="s">
        <v>315</v>
      </c>
      <c r="D71" s="121" t="s">
        <v>1459</v>
      </c>
      <c r="E71" s="397"/>
      <c r="F71" s="397"/>
      <c r="G71" s="397" t="s">
        <v>1460</v>
      </c>
      <c r="H71" s="397" t="s">
        <v>1461</v>
      </c>
      <c r="I71" s="393">
        <v>10037346</v>
      </c>
      <c r="J71" s="122" t="s">
        <v>1462</v>
      </c>
      <c r="K71" s="133">
        <v>900</v>
      </c>
      <c r="L71" s="138" t="s">
        <v>1463</v>
      </c>
      <c r="M71" s="136"/>
      <c r="N71" s="136"/>
    </row>
    <row r="72" spans="1:14">
      <c r="A72" s="145"/>
      <c r="B72" s="145"/>
      <c r="C72" s="508"/>
      <c r="D72" s="146"/>
      <c r="E72" s="145"/>
      <c r="F72" s="145"/>
      <c r="G72" s="145"/>
      <c r="H72" s="145"/>
      <c r="I72" s="145"/>
      <c r="J72" s="145"/>
      <c r="K72" s="152"/>
      <c r="L72" s="145"/>
      <c r="M72" s="136"/>
      <c r="N72" s="136"/>
    </row>
    <row r="73" spans="1:14">
      <c r="A73" s="665" t="s">
        <v>115</v>
      </c>
      <c r="B73" s="665"/>
      <c r="C73" s="672" t="s">
        <v>1464</v>
      </c>
      <c r="D73" s="676"/>
      <c r="E73" s="667"/>
      <c r="F73" s="667"/>
      <c r="G73" s="667"/>
      <c r="H73" s="665"/>
      <c r="I73" s="667"/>
      <c r="J73" s="665"/>
      <c r="K73" s="674"/>
      <c r="L73" s="665"/>
      <c r="M73" s="136"/>
      <c r="N73" s="136"/>
    </row>
    <row r="74" spans="1:14" ht="31.5" customHeight="1">
      <c r="A74" s="393">
        <v>1</v>
      </c>
      <c r="B74" s="393"/>
      <c r="C74" s="509" t="s">
        <v>1465</v>
      </c>
      <c r="D74" s="147" t="s">
        <v>1466</v>
      </c>
      <c r="E74" s="393"/>
      <c r="F74" s="393"/>
      <c r="G74" s="393"/>
      <c r="H74" s="391" t="s">
        <v>1467</v>
      </c>
      <c r="I74" s="153">
        <v>10004505</v>
      </c>
      <c r="J74" s="393" t="s">
        <v>436</v>
      </c>
      <c r="K74" s="133">
        <v>2568</v>
      </c>
      <c r="L74" s="393"/>
      <c r="M74" s="136"/>
      <c r="N74" s="136"/>
    </row>
    <row r="75" spans="1:14" ht="31.5" customHeight="1">
      <c r="A75" s="393">
        <v>2</v>
      </c>
      <c r="B75" s="393"/>
      <c r="C75" s="509" t="s">
        <v>1465</v>
      </c>
      <c r="D75" s="147" t="s">
        <v>1468</v>
      </c>
      <c r="E75" s="393"/>
      <c r="F75" s="393"/>
      <c r="G75" s="393"/>
      <c r="H75" s="391" t="s">
        <v>1467</v>
      </c>
      <c r="I75" s="153">
        <v>10004505</v>
      </c>
      <c r="J75" s="393" t="s">
        <v>436</v>
      </c>
      <c r="K75" s="133">
        <v>2568</v>
      </c>
      <c r="L75" s="393"/>
      <c r="M75" s="136"/>
      <c r="N75" s="136"/>
    </row>
    <row r="76" spans="1:14" ht="31.5" customHeight="1">
      <c r="A76" s="393">
        <v>3</v>
      </c>
      <c r="B76" s="393"/>
      <c r="C76" s="509" t="s">
        <v>1469</v>
      </c>
      <c r="D76" s="147" t="s">
        <v>1470</v>
      </c>
      <c r="E76" s="393"/>
      <c r="F76" s="393"/>
      <c r="G76" s="393"/>
      <c r="H76" s="391" t="s">
        <v>1467</v>
      </c>
      <c r="I76" s="153">
        <v>10004507</v>
      </c>
      <c r="J76" s="393" t="s">
        <v>436</v>
      </c>
      <c r="K76" s="133">
        <v>3378</v>
      </c>
      <c r="L76" s="393"/>
      <c r="M76" s="136"/>
      <c r="N76" s="136"/>
    </row>
    <row r="77" spans="1:14" ht="31.5" customHeight="1">
      <c r="A77" s="393">
        <v>4</v>
      </c>
      <c r="B77" s="393"/>
      <c r="C77" s="509" t="s">
        <v>1469</v>
      </c>
      <c r="D77" s="147" t="s">
        <v>1471</v>
      </c>
      <c r="E77" s="393"/>
      <c r="F77" s="393"/>
      <c r="G77" s="393"/>
      <c r="H77" s="391" t="s">
        <v>1467</v>
      </c>
      <c r="I77" s="153">
        <v>10004507</v>
      </c>
      <c r="J77" s="393" t="s">
        <v>436</v>
      </c>
      <c r="K77" s="133">
        <v>3378</v>
      </c>
      <c r="L77" s="393"/>
      <c r="M77" s="136"/>
      <c r="N77" s="136"/>
    </row>
    <row r="78" spans="1:14" ht="31.5" customHeight="1">
      <c r="A78" s="393">
        <v>5</v>
      </c>
      <c r="B78" s="393"/>
      <c r="C78" s="509" t="s">
        <v>1472</v>
      </c>
      <c r="D78" s="147" t="s">
        <v>1473</v>
      </c>
      <c r="E78" s="393"/>
      <c r="F78" s="393"/>
      <c r="G78" s="393"/>
      <c r="H78" s="391" t="s">
        <v>1467</v>
      </c>
      <c r="I78" s="153">
        <v>10004463</v>
      </c>
      <c r="J78" s="393" t="s">
        <v>436</v>
      </c>
      <c r="K78" s="133">
        <v>2472</v>
      </c>
      <c r="L78" s="393"/>
      <c r="M78" s="136"/>
      <c r="N78" s="136"/>
    </row>
    <row r="79" spans="1:14" ht="31.5" customHeight="1">
      <c r="A79" s="393">
        <v>6</v>
      </c>
      <c r="B79" s="393"/>
      <c r="C79" s="509" t="s">
        <v>1474</v>
      </c>
      <c r="D79" s="147" t="s">
        <v>1475</v>
      </c>
      <c r="E79" s="393"/>
      <c r="F79" s="393"/>
      <c r="G79" s="393"/>
      <c r="H79" s="391" t="s">
        <v>1467</v>
      </c>
      <c r="I79" s="153">
        <v>10004563</v>
      </c>
      <c r="J79" s="393" t="s">
        <v>436</v>
      </c>
      <c r="K79" s="133">
        <v>3516</v>
      </c>
      <c r="L79" s="393"/>
      <c r="M79" s="136"/>
      <c r="N79" s="136"/>
    </row>
    <row r="80" spans="1:14" ht="31.5" customHeight="1">
      <c r="A80" s="393">
        <v>7</v>
      </c>
      <c r="B80" s="393"/>
      <c r="C80" s="509" t="s">
        <v>1476</v>
      </c>
      <c r="D80" s="147" t="s">
        <v>1466</v>
      </c>
      <c r="E80" s="393"/>
      <c r="F80" s="393"/>
      <c r="G80" s="393"/>
      <c r="H80" s="391" t="s">
        <v>1467</v>
      </c>
      <c r="I80" s="153">
        <v>10004575</v>
      </c>
      <c r="J80" s="393" t="s">
        <v>436</v>
      </c>
      <c r="K80" s="133">
        <v>2777</v>
      </c>
      <c r="L80" s="393"/>
      <c r="M80" s="136"/>
      <c r="N80" s="136"/>
    </row>
    <row r="81" spans="1:14" ht="31.5" customHeight="1">
      <c r="A81" s="393">
        <v>8</v>
      </c>
      <c r="B81" s="393"/>
      <c r="C81" s="509" t="s">
        <v>1476</v>
      </c>
      <c r="D81" s="147" t="s">
        <v>1468</v>
      </c>
      <c r="E81" s="393"/>
      <c r="F81" s="393"/>
      <c r="G81" s="393"/>
      <c r="H81" s="391" t="s">
        <v>1467</v>
      </c>
      <c r="I81" s="153">
        <v>10004575</v>
      </c>
      <c r="J81" s="393" t="s">
        <v>436</v>
      </c>
      <c r="K81" s="133">
        <v>2777</v>
      </c>
      <c r="L81" s="393"/>
      <c r="M81" s="136"/>
      <c r="N81" s="136"/>
    </row>
    <row r="82" spans="1:14">
      <c r="A82" s="393">
        <v>9</v>
      </c>
      <c r="B82" s="393"/>
      <c r="C82" s="503" t="s">
        <v>137</v>
      </c>
      <c r="D82" s="120" t="s">
        <v>1477</v>
      </c>
      <c r="E82" s="397"/>
      <c r="F82" s="397" t="s">
        <v>1478</v>
      </c>
      <c r="G82" s="397"/>
      <c r="H82" s="399" t="s">
        <v>1479</v>
      </c>
      <c r="I82" s="154">
        <v>10003819</v>
      </c>
      <c r="J82" s="399" t="s">
        <v>436</v>
      </c>
      <c r="K82" s="133">
        <v>2646</v>
      </c>
      <c r="L82" s="393"/>
      <c r="M82" s="136"/>
      <c r="N82" s="136"/>
    </row>
    <row r="83" spans="1:14">
      <c r="A83" s="393">
        <v>10</v>
      </c>
      <c r="B83" s="393"/>
      <c r="C83" s="503" t="s">
        <v>1480</v>
      </c>
      <c r="D83" s="120" t="s">
        <v>1481</v>
      </c>
      <c r="E83" s="397"/>
      <c r="F83" s="397" t="s">
        <v>1478</v>
      </c>
      <c r="G83" s="397"/>
      <c r="H83" s="399" t="s">
        <v>1479</v>
      </c>
      <c r="I83" s="154">
        <v>10003813</v>
      </c>
      <c r="J83" s="399" t="s">
        <v>436</v>
      </c>
      <c r="K83" s="133">
        <v>1377</v>
      </c>
      <c r="L83" s="393"/>
      <c r="M83" s="136"/>
      <c r="N83" s="136"/>
    </row>
    <row r="84" spans="1:14">
      <c r="A84" s="393">
        <v>11</v>
      </c>
      <c r="B84" s="393"/>
      <c r="C84" s="503" t="s">
        <v>1482</v>
      </c>
      <c r="D84" s="120" t="s">
        <v>1483</v>
      </c>
      <c r="E84" s="397"/>
      <c r="F84" s="397" t="s">
        <v>1478</v>
      </c>
      <c r="G84" s="397"/>
      <c r="H84" s="399" t="s">
        <v>1479</v>
      </c>
      <c r="I84" s="154">
        <v>10003855</v>
      </c>
      <c r="J84" s="155" t="s">
        <v>436</v>
      </c>
      <c r="K84" s="133">
        <v>1321</v>
      </c>
      <c r="L84" s="393"/>
      <c r="M84" s="136"/>
      <c r="N84" s="136"/>
    </row>
    <row r="85" spans="1:14" ht="21" customHeight="1">
      <c r="A85" s="393">
        <v>12</v>
      </c>
      <c r="B85" s="393"/>
      <c r="C85" s="503" t="s">
        <v>1484</v>
      </c>
      <c r="D85" s="120" t="s">
        <v>1485</v>
      </c>
      <c r="E85" s="397"/>
      <c r="F85" s="397" t="s">
        <v>1478</v>
      </c>
      <c r="G85" s="397"/>
      <c r="H85" s="399" t="s">
        <v>1479</v>
      </c>
      <c r="I85" s="154">
        <v>10003795</v>
      </c>
      <c r="J85" s="399" t="s">
        <v>436</v>
      </c>
      <c r="K85" s="133">
        <v>1414</v>
      </c>
      <c r="L85" s="393"/>
      <c r="M85" s="136"/>
      <c r="N85" s="136"/>
    </row>
    <row r="86" spans="1:14">
      <c r="A86" s="393">
        <v>13</v>
      </c>
      <c r="B86" s="393"/>
      <c r="C86" s="503" t="s">
        <v>1486</v>
      </c>
      <c r="D86" s="120" t="s">
        <v>1487</v>
      </c>
      <c r="E86" s="397"/>
      <c r="F86" s="397" t="s">
        <v>1478</v>
      </c>
      <c r="G86" s="397"/>
      <c r="H86" s="399" t="s">
        <v>1479</v>
      </c>
      <c r="I86" s="154">
        <v>10003573</v>
      </c>
      <c r="J86" s="399" t="s">
        <v>436</v>
      </c>
      <c r="K86" s="133">
        <v>1972</v>
      </c>
      <c r="L86" s="393"/>
      <c r="M86" s="136"/>
      <c r="N86" s="136"/>
    </row>
    <row r="87" spans="1:14">
      <c r="A87" s="393">
        <v>14</v>
      </c>
      <c r="B87" s="393"/>
      <c r="C87" s="503" t="s">
        <v>1488</v>
      </c>
      <c r="D87" s="120" t="s">
        <v>1483</v>
      </c>
      <c r="E87" s="397"/>
      <c r="F87" s="397" t="s">
        <v>1478</v>
      </c>
      <c r="G87" s="397"/>
      <c r="H87" s="399" t="s">
        <v>1479</v>
      </c>
      <c r="I87" s="154">
        <v>10003846</v>
      </c>
      <c r="J87" s="155" t="s">
        <v>436</v>
      </c>
      <c r="K87" s="133">
        <v>1334</v>
      </c>
      <c r="L87" s="393"/>
      <c r="M87" s="136"/>
      <c r="N87" s="136"/>
    </row>
    <row r="88" spans="1:14">
      <c r="A88" s="393">
        <v>15</v>
      </c>
      <c r="B88" s="393"/>
      <c r="C88" s="503" t="s">
        <v>1489</v>
      </c>
      <c r="D88" s="120" t="s">
        <v>1473</v>
      </c>
      <c r="E88" s="397"/>
      <c r="F88" s="397" t="s">
        <v>1478</v>
      </c>
      <c r="G88" s="397"/>
      <c r="H88" s="399" t="s">
        <v>1479</v>
      </c>
      <c r="I88" s="154">
        <v>10003801</v>
      </c>
      <c r="J88" s="399" t="s">
        <v>436</v>
      </c>
      <c r="K88" s="133">
        <v>1580</v>
      </c>
      <c r="L88" s="393"/>
      <c r="M88" s="136"/>
      <c r="N88" s="136"/>
    </row>
    <row r="89" spans="1:14">
      <c r="A89" s="393">
        <v>16</v>
      </c>
      <c r="B89" s="393"/>
      <c r="C89" s="515" t="s">
        <v>1879</v>
      </c>
      <c r="D89" s="120" t="s">
        <v>1485</v>
      </c>
      <c r="E89" s="397"/>
      <c r="F89" s="397" t="s">
        <v>1478</v>
      </c>
      <c r="G89" s="397"/>
      <c r="H89" s="399" t="s">
        <v>1479</v>
      </c>
      <c r="I89" s="154">
        <v>10003881</v>
      </c>
      <c r="J89" s="399" t="s">
        <v>436</v>
      </c>
      <c r="K89" s="133">
        <v>557</v>
      </c>
      <c r="L89" s="393"/>
      <c r="M89" s="136"/>
      <c r="N89" s="136"/>
    </row>
    <row r="90" spans="1:14" ht="27.75" customHeight="1">
      <c r="A90" s="665" t="s">
        <v>433</v>
      </c>
      <c r="B90" s="665"/>
      <c r="C90" s="672" t="s">
        <v>1490</v>
      </c>
      <c r="D90" s="673"/>
      <c r="E90" s="667"/>
      <c r="F90" s="667"/>
      <c r="G90" s="667"/>
      <c r="H90" s="665"/>
      <c r="I90" s="667"/>
      <c r="J90" s="668"/>
      <c r="K90" s="674"/>
      <c r="L90" s="668"/>
      <c r="M90" s="136"/>
      <c r="N90" s="156"/>
    </row>
    <row r="91" spans="1:14" ht="27.75" customHeight="1">
      <c r="A91" s="393">
        <v>1</v>
      </c>
      <c r="B91" s="393"/>
      <c r="C91" s="505" t="s">
        <v>1491</v>
      </c>
      <c r="D91" s="124"/>
      <c r="E91" s="397"/>
      <c r="F91" s="397"/>
      <c r="G91" s="397"/>
      <c r="H91" s="399" t="s">
        <v>1492</v>
      </c>
      <c r="I91" s="150">
        <v>10008440</v>
      </c>
      <c r="J91" s="399" t="s">
        <v>270</v>
      </c>
      <c r="K91" s="157">
        <v>45</v>
      </c>
      <c r="L91" s="393"/>
      <c r="M91" s="136"/>
      <c r="N91" s="156"/>
    </row>
    <row r="92" spans="1:14" ht="27.75" customHeight="1">
      <c r="A92" s="393">
        <v>2</v>
      </c>
      <c r="B92" s="393"/>
      <c r="C92" s="505" t="s">
        <v>1493</v>
      </c>
      <c r="D92" s="124"/>
      <c r="E92" s="397"/>
      <c r="F92" s="397"/>
      <c r="G92" s="397"/>
      <c r="H92" s="399" t="s">
        <v>1492</v>
      </c>
      <c r="I92" s="150">
        <v>10008439</v>
      </c>
      <c r="J92" s="399" t="s">
        <v>270</v>
      </c>
      <c r="K92" s="157">
        <v>90</v>
      </c>
      <c r="L92" s="393"/>
      <c r="M92" s="136"/>
      <c r="N92" s="156"/>
    </row>
    <row r="93" spans="1:14" ht="27.75" customHeight="1">
      <c r="A93" s="393">
        <v>3</v>
      </c>
      <c r="B93" s="393"/>
      <c r="C93" s="505" t="s">
        <v>1494</v>
      </c>
      <c r="D93" s="148"/>
      <c r="E93" s="397"/>
      <c r="F93" s="397"/>
      <c r="G93" s="397"/>
      <c r="H93" s="399" t="s">
        <v>1492</v>
      </c>
      <c r="I93" s="150">
        <v>10008420</v>
      </c>
      <c r="J93" s="399" t="s">
        <v>270</v>
      </c>
      <c r="K93" s="157">
        <v>5.72</v>
      </c>
      <c r="L93" s="393"/>
      <c r="M93" s="136"/>
      <c r="N93" s="158"/>
    </row>
    <row r="94" spans="1:14" ht="27.75" customHeight="1">
      <c r="A94" s="393">
        <v>4</v>
      </c>
      <c r="B94" s="393"/>
      <c r="C94" s="505" t="s">
        <v>1495</v>
      </c>
      <c r="D94" s="148"/>
      <c r="E94" s="397"/>
      <c r="F94" s="397"/>
      <c r="G94" s="397"/>
      <c r="H94" s="399" t="s">
        <v>1492</v>
      </c>
      <c r="I94" s="150">
        <v>10008421</v>
      </c>
      <c r="J94" s="399" t="s">
        <v>270</v>
      </c>
      <c r="K94" s="157">
        <v>8.33</v>
      </c>
      <c r="L94" s="393"/>
      <c r="M94" s="136"/>
      <c r="N94" s="158"/>
    </row>
    <row r="95" spans="1:14" ht="27.75" customHeight="1">
      <c r="A95" s="393">
        <v>7</v>
      </c>
      <c r="B95" s="393"/>
      <c r="C95" s="505" t="s">
        <v>1496</v>
      </c>
      <c r="D95" s="148"/>
      <c r="E95" s="397"/>
      <c r="F95" s="397"/>
      <c r="G95" s="397"/>
      <c r="H95" s="399" t="s">
        <v>1492</v>
      </c>
      <c r="I95" s="150">
        <v>10008422</v>
      </c>
      <c r="J95" s="399" t="s">
        <v>270</v>
      </c>
      <c r="K95" s="157">
        <v>12</v>
      </c>
      <c r="L95" s="393"/>
      <c r="M95" s="136"/>
      <c r="N95" s="158"/>
    </row>
    <row r="96" spans="1:14" ht="27.75" customHeight="1">
      <c r="A96" s="393">
        <v>8</v>
      </c>
      <c r="B96" s="393"/>
      <c r="C96" s="505" t="s">
        <v>1497</v>
      </c>
      <c r="D96" s="148"/>
      <c r="E96" s="397"/>
      <c r="F96" s="397"/>
      <c r="G96" s="397"/>
      <c r="H96" s="399" t="s">
        <v>1492</v>
      </c>
      <c r="I96" s="150">
        <v>10008423</v>
      </c>
      <c r="J96" s="399" t="s">
        <v>270</v>
      </c>
      <c r="K96" s="157">
        <v>19</v>
      </c>
      <c r="L96" s="393"/>
      <c r="M96" s="136"/>
      <c r="N96" s="158"/>
    </row>
    <row r="97" spans="1:14" ht="27.75" customHeight="1">
      <c r="A97" s="393">
        <v>5</v>
      </c>
      <c r="B97" s="393"/>
      <c r="C97" s="505" t="s">
        <v>1498</v>
      </c>
      <c r="D97" s="148"/>
      <c r="E97" s="397"/>
      <c r="F97" s="397"/>
      <c r="G97" s="397"/>
      <c r="H97" s="399" t="s">
        <v>1492</v>
      </c>
      <c r="I97" s="150">
        <v>10008424</v>
      </c>
      <c r="J97" s="399" t="s">
        <v>270</v>
      </c>
      <c r="K97" s="157">
        <v>7.34</v>
      </c>
      <c r="L97" s="393"/>
      <c r="M97" s="136"/>
      <c r="N97" s="158"/>
    </row>
    <row r="98" spans="1:14" ht="27.75" customHeight="1">
      <c r="A98" s="393">
        <v>6</v>
      </c>
      <c r="B98" s="393"/>
      <c r="C98" s="505" t="s">
        <v>1499</v>
      </c>
      <c r="D98" s="148"/>
      <c r="E98" s="397"/>
      <c r="F98" s="397"/>
      <c r="G98" s="397"/>
      <c r="H98" s="399" t="s">
        <v>1492</v>
      </c>
      <c r="I98" s="150">
        <v>10008425</v>
      </c>
      <c r="J98" s="399" t="s">
        <v>270</v>
      </c>
      <c r="K98" s="157">
        <v>11</v>
      </c>
      <c r="L98" s="393"/>
      <c r="M98" s="136"/>
      <c r="N98" s="158"/>
    </row>
    <row r="99" spans="1:14" ht="27.75" customHeight="1">
      <c r="A99" s="393">
        <v>9</v>
      </c>
      <c r="B99" s="393"/>
      <c r="C99" s="503" t="s">
        <v>1500</v>
      </c>
      <c r="D99" s="149"/>
      <c r="E99" s="394"/>
      <c r="F99" s="394"/>
      <c r="G99" s="394"/>
      <c r="H99" s="399" t="s">
        <v>1492</v>
      </c>
      <c r="I99" s="150">
        <v>10008445</v>
      </c>
      <c r="J99" s="399" t="s">
        <v>270</v>
      </c>
      <c r="K99" s="157">
        <v>6.32</v>
      </c>
      <c r="L99" s="393"/>
      <c r="M99" s="136"/>
      <c r="N99" s="159"/>
    </row>
    <row r="100" spans="1:14" ht="27.75" customHeight="1">
      <c r="A100" s="393">
        <v>10</v>
      </c>
      <c r="B100" s="393"/>
      <c r="C100" s="503" t="s">
        <v>1501</v>
      </c>
      <c r="D100" s="149"/>
      <c r="E100" s="394"/>
      <c r="F100" s="394"/>
      <c r="G100" s="394"/>
      <c r="H100" s="399" t="s">
        <v>1492</v>
      </c>
      <c r="I100" s="150">
        <v>10008446</v>
      </c>
      <c r="J100" s="399" t="s">
        <v>270</v>
      </c>
      <c r="K100" s="157">
        <v>11</v>
      </c>
      <c r="L100" s="393"/>
      <c r="M100" s="136"/>
      <c r="N100" s="156"/>
    </row>
    <row r="101" spans="1:14" ht="27.75" customHeight="1">
      <c r="A101" s="393">
        <v>11</v>
      </c>
      <c r="B101" s="393"/>
      <c r="C101" s="510" t="s">
        <v>1502</v>
      </c>
      <c r="D101" s="149"/>
      <c r="E101" s="394"/>
      <c r="F101" s="394"/>
      <c r="G101" s="394"/>
      <c r="H101" s="399" t="s">
        <v>1492</v>
      </c>
      <c r="I101" s="150">
        <v>10008441</v>
      </c>
      <c r="J101" s="399" t="s">
        <v>270</v>
      </c>
      <c r="K101" s="157">
        <v>7.2</v>
      </c>
      <c r="L101" s="393"/>
      <c r="M101" s="136"/>
      <c r="N101" s="156"/>
    </row>
    <row r="102" spans="1:14" ht="27.75" customHeight="1">
      <c r="A102" s="393">
        <v>12</v>
      </c>
      <c r="B102" s="393"/>
      <c r="C102" s="510" t="s">
        <v>1503</v>
      </c>
      <c r="D102" s="149"/>
      <c r="E102" s="394"/>
      <c r="F102" s="394"/>
      <c r="G102" s="394"/>
      <c r="H102" s="399" t="s">
        <v>1492</v>
      </c>
      <c r="I102" s="399"/>
      <c r="J102" s="399" t="s">
        <v>270</v>
      </c>
      <c r="K102" s="133">
        <v>7</v>
      </c>
      <c r="L102" s="393" t="s">
        <v>1504</v>
      </c>
      <c r="M102" s="136"/>
      <c r="N102" s="156"/>
    </row>
    <row r="103" spans="1:14" ht="27.75" customHeight="1">
      <c r="A103" s="393">
        <v>13</v>
      </c>
      <c r="B103" s="393"/>
      <c r="C103" s="511" t="s">
        <v>1505</v>
      </c>
      <c r="D103" s="149"/>
      <c r="E103" s="394"/>
      <c r="F103" s="394"/>
      <c r="G103" s="394"/>
      <c r="H103" s="399" t="s">
        <v>1492</v>
      </c>
      <c r="I103" s="150">
        <v>10008447</v>
      </c>
      <c r="J103" s="399" t="s">
        <v>270</v>
      </c>
      <c r="K103" s="157">
        <v>9.5299999999999994</v>
      </c>
      <c r="L103" s="393"/>
      <c r="M103" s="136"/>
      <c r="N103" s="159"/>
    </row>
    <row r="104" spans="1:14" ht="27.75" customHeight="1">
      <c r="A104" s="393">
        <v>14</v>
      </c>
      <c r="B104" s="393"/>
      <c r="C104" s="511" t="s">
        <v>1506</v>
      </c>
      <c r="D104" s="149"/>
      <c r="E104" s="394"/>
      <c r="F104" s="394"/>
      <c r="G104" s="394"/>
      <c r="H104" s="399" t="s">
        <v>1492</v>
      </c>
      <c r="I104" s="150">
        <v>10008442</v>
      </c>
      <c r="J104" s="399" t="s">
        <v>270</v>
      </c>
      <c r="K104" s="157">
        <v>11</v>
      </c>
      <c r="L104" s="393"/>
      <c r="M104" s="136"/>
      <c r="N104" s="156"/>
    </row>
    <row r="105" spans="1:14" ht="27.75" customHeight="1">
      <c r="A105" s="393">
        <v>15</v>
      </c>
      <c r="B105" s="393"/>
      <c r="C105" s="511" t="s">
        <v>1507</v>
      </c>
      <c r="D105" s="149"/>
      <c r="E105" s="394"/>
      <c r="F105" s="394"/>
      <c r="G105" s="394"/>
      <c r="H105" s="399" t="s">
        <v>1492</v>
      </c>
      <c r="I105" s="150">
        <v>10008462</v>
      </c>
      <c r="J105" s="399" t="s">
        <v>270</v>
      </c>
      <c r="K105" s="157">
        <v>6.95</v>
      </c>
      <c r="L105" s="393"/>
      <c r="M105" s="136"/>
      <c r="N105" s="156"/>
    </row>
    <row r="106" spans="1:14" ht="27.75" customHeight="1">
      <c r="A106" s="393">
        <v>16</v>
      </c>
      <c r="B106" s="393"/>
      <c r="C106" s="511" t="s">
        <v>1508</v>
      </c>
      <c r="D106" s="149"/>
      <c r="E106" s="394"/>
      <c r="F106" s="394"/>
      <c r="G106" s="394"/>
      <c r="H106" s="399" t="s">
        <v>1492</v>
      </c>
      <c r="I106" s="150">
        <v>10008463</v>
      </c>
      <c r="J106" s="399" t="s">
        <v>270</v>
      </c>
      <c r="K106" s="387">
        <v>3.62</v>
      </c>
      <c r="L106" s="393"/>
      <c r="M106" s="136"/>
      <c r="N106" s="156"/>
    </row>
    <row r="107" spans="1:14" ht="27.75" customHeight="1">
      <c r="A107" s="393">
        <v>17</v>
      </c>
      <c r="B107" s="393"/>
      <c r="C107" s="511" t="s">
        <v>1509</v>
      </c>
      <c r="D107" s="149"/>
      <c r="E107" s="394"/>
      <c r="F107" s="394"/>
      <c r="G107" s="394"/>
      <c r="H107" s="399" t="s">
        <v>1492</v>
      </c>
      <c r="I107" s="150">
        <v>10008478</v>
      </c>
      <c r="J107" s="399" t="s">
        <v>270</v>
      </c>
      <c r="K107" s="157">
        <v>31</v>
      </c>
      <c r="L107" s="393"/>
      <c r="M107" s="136"/>
      <c r="N107" s="156"/>
    </row>
    <row r="108" spans="1:14" ht="27.75" customHeight="1">
      <c r="A108" s="393">
        <v>18</v>
      </c>
      <c r="B108" s="393"/>
      <c r="C108" s="511" t="s">
        <v>1510</v>
      </c>
      <c r="D108" s="149"/>
      <c r="E108" s="394"/>
      <c r="F108" s="394"/>
      <c r="G108" s="394"/>
      <c r="H108" s="399" t="s">
        <v>1492</v>
      </c>
      <c r="I108" s="150">
        <v>10008450</v>
      </c>
      <c r="J108" s="399" t="s">
        <v>270</v>
      </c>
      <c r="K108" s="157">
        <v>12</v>
      </c>
      <c r="L108" s="393"/>
      <c r="M108" s="136"/>
      <c r="N108" s="156"/>
    </row>
    <row r="109" spans="1:14" ht="27.75" customHeight="1">
      <c r="A109" s="393">
        <v>19</v>
      </c>
      <c r="B109" s="128"/>
      <c r="C109" s="511" t="s">
        <v>1511</v>
      </c>
      <c r="D109" s="149"/>
      <c r="E109" s="394"/>
      <c r="F109" s="394"/>
      <c r="G109" s="394"/>
      <c r="H109" s="399" t="s">
        <v>1492</v>
      </c>
      <c r="I109" s="150">
        <v>10008453</v>
      </c>
      <c r="J109" s="399" t="s">
        <v>270</v>
      </c>
      <c r="K109" s="157">
        <v>14</v>
      </c>
      <c r="L109" s="122"/>
      <c r="M109" s="136"/>
      <c r="N109" s="156"/>
    </row>
    <row r="110" spans="1:14" ht="27.75" customHeight="1">
      <c r="A110" s="393">
        <v>20</v>
      </c>
      <c r="B110" s="128"/>
      <c r="C110" s="504" t="s">
        <v>1512</v>
      </c>
      <c r="D110" s="121" t="s">
        <v>1513</v>
      </c>
      <c r="E110" s="397"/>
      <c r="F110" s="397"/>
      <c r="G110" s="397"/>
      <c r="H110" s="399" t="s">
        <v>1514</v>
      </c>
      <c r="I110" s="516">
        <v>10004865</v>
      </c>
      <c r="J110" s="394" t="s">
        <v>1515</v>
      </c>
      <c r="K110" s="157">
        <v>1.47</v>
      </c>
      <c r="L110" s="122"/>
      <c r="M110" s="136"/>
      <c r="N110" s="156"/>
    </row>
    <row r="111" spans="1:14" ht="27.75" customHeight="1">
      <c r="A111" s="393">
        <v>21</v>
      </c>
      <c r="B111" s="393"/>
      <c r="C111" s="504" t="s">
        <v>1512</v>
      </c>
      <c r="D111" s="121" t="s">
        <v>1516</v>
      </c>
      <c r="E111" s="397"/>
      <c r="F111" s="397"/>
      <c r="G111" s="397"/>
      <c r="H111" s="399" t="s">
        <v>1514</v>
      </c>
      <c r="I111" s="516">
        <v>10041126</v>
      </c>
      <c r="J111" s="394" t="s">
        <v>1515</v>
      </c>
      <c r="K111" s="157">
        <v>2.4</v>
      </c>
      <c r="L111" s="122"/>
      <c r="M111" s="136"/>
      <c r="N111" s="156"/>
    </row>
    <row r="112" spans="1:14" ht="27.75" customHeight="1">
      <c r="A112" s="393">
        <v>22</v>
      </c>
      <c r="B112" s="393"/>
      <c r="C112" s="504" t="s">
        <v>1512</v>
      </c>
      <c r="D112" s="121" t="s">
        <v>1517</v>
      </c>
      <c r="E112" s="397"/>
      <c r="F112" s="397"/>
      <c r="G112" s="397"/>
      <c r="H112" s="399" t="s">
        <v>1514</v>
      </c>
      <c r="I112" s="516">
        <v>10004941</v>
      </c>
      <c r="J112" s="394" t="s">
        <v>1515</v>
      </c>
      <c r="K112" s="157">
        <v>1.5</v>
      </c>
      <c r="L112" s="122"/>
      <c r="M112" s="136"/>
      <c r="N112" s="156"/>
    </row>
    <row r="113" spans="1:14" ht="27.75" customHeight="1">
      <c r="A113" s="393">
        <v>23</v>
      </c>
      <c r="B113" s="393"/>
      <c r="C113" s="504" t="s">
        <v>1512</v>
      </c>
      <c r="D113" s="121" t="s">
        <v>1518</v>
      </c>
      <c r="E113" s="397"/>
      <c r="F113" s="397"/>
      <c r="G113" s="397"/>
      <c r="H113" s="399" t="s">
        <v>1514</v>
      </c>
      <c r="I113" s="516">
        <v>10004903</v>
      </c>
      <c r="J113" s="394" t="s">
        <v>1515</v>
      </c>
      <c r="K113" s="157">
        <v>2.0099999999999998</v>
      </c>
      <c r="L113" s="122"/>
      <c r="M113" s="136"/>
      <c r="N113" s="156"/>
    </row>
    <row r="114" spans="1:14" ht="27.75" customHeight="1">
      <c r="A114" s="393">
        <v>24</v>
      </c>
      <c r="B114" s="393"/>
      <c r="C114" s="504" t="s">
        <v>1512</v>
      </c>
      <c r="D114" s="121" t="s">
        <v>1519</v>
      </c>
      <c r="E114" s="397"/>
      <c r="F114" s="397"/>
      <c r="G114" s="397"/>
      <c r="H114" s="399" t="s">
        <v>1514</v>
      </c>
      <c r="I114" s="516">
        <v>10004866</v>
      </c>
      <c r="J114" s="394" t="s">
        <v>1515</v>
      </c>
      <c r="K114" s="157">
        <v>2.31</v>
      </c>
      <c r="L114" s="122"/>
      <c r="M114" s="136"/>
      <c r="N114" s="156"/>
    </row>
    <row r="115" spans="1:14" ht="27.75" customHeight="1">
      <c r="A115" s="393">
        <v>25</v>
      </c>
      <c r="B115" s="393"/>
      <c r="C115" s="504" t="s">
        <v>1512</v>
      </c>
      <c r="D115" s="121" t="s">
        <v>1520</v>
      </c>
      <c r="E115" s="397"/>
      <c r="F115" s="397"/>
      <c r="G115" s="397"/>
      <c r="H115" s="399" t="s">
        <v>1514</v>
      </c>
      <c r="I115" s="516">
        <v>10041111</v>
      </c>
      <c r="J115" s="394" t="s">
        <v>1515</v>
      </c>
      <c r="K115" s="157">
        <v>2.7</v>
      </c>
      <c r="L115" s="122"/>
      <c r="M115" s="136"/>
      <c r="N115" s="156"/>
    </row>
    <row r="116" spans="1:14" ht="27.75" customHeight="1">
      <c r="A116" s="393">
        <v>26</v>
      </c>
      <c r="B116" s="393"/>
      <c r="C116" s="395" t="s">
        <v>1521</v>
      </c>
      <c r="D116" s="120" t="s">
        <v>1522</v>
      </c>
      <c r="E116" s="122"/>
      <c r="F116" s="122"/>
      <c r="G116" s="122"/>
      <c r="H116" s="394" t="s">
        <v>1523</v>
      </c>
      <c r="I116" s="517">
        <v>10024541</v>
      </c>
      <c r="J116" s="394" t="s">
        <v>1515</v>
      </c>
      <c r="K116" s="157">
        <v>1.19</v>
      </c>
      <c r="L116" s="122"/>
      <c r="M116" s="136"/>
      <c r="N116" s="156"/>
    </row>
    <row r="117" spans="1:14">
      <c r="A117" s="393">
        <v>27</v>
      </c>
      <c r="B117" s="393"/>
      <c r="C117" s="395" t="s">
        <v>1521</v>
      </c>
      <c r="D117" s="120" t="s">
        <v>1524</v>
      </c>
      <c r="E117" s="122"/>
      <c r="F117" s="122"/>
      <c r="G117" s="122"/>
      <c r="H117" s="394" t="s">
        <v>1523</v>
      </c>
      <c r="I117" s="517">
        <v>10024542</v>
      </c>
      <c r="J117" s="394" t="s">
        <v>1515</v>
      </c>
      <c r="K117" s="157">
        <v>1.82</v>
      </c>
      <c r="L117" s="122"/>
      <c r="M117" s="136"/>
      <c r="N117" s="156"/>
    </row>
    <row r="118" spans="1:14" ht="13.5" customHeight="1">
      <c r="A118" s="393">
        <v>28</v>
      </c>
      <c r="B118" s="393"/>
      <c r="C118" s="395" t="s">
        <v>1521</v>
      </c>
      <c r="D118" s="120" t="s">
        <v>1525</v>
      </c>
      <c r="E118" s="122"/>
      <c r="F118" s="122"/>
      <c r="G118" s="122"/>
      <c r="H118" s="394" t="s">
        <v>1523</v>
      </c>
      <c r="I118" s="517">
        <v>10024543</v>
      </c>
      <c r="J118" s="394" t="s">
        <v>1515</v>
      </c>
      <c r="K118" s="157">
        <v>3.28</v>
      </c>
      <c r="L118" s="122"/>
      <c r="M118" s="136"/>
      <c r="N118" s="156"/>
    </row>
    <row r="119" spans="1:14" s="449" customFormat="1" ht="27.75" customHeight="1">
      <c r="A119" s="393">
        <v>29</v>
      </c>
      <c r="B119" s="393"/>
      <c r="C119" s="395" t="s">
        <v>1521</v>
      </c>
      <c r="D119" s="120" t="s">
        <v>1526</v>
      </c>
      <c r="E119" s="122"/>
      <c r="F119" s="122"/>
      <c r="G119" s="122"/>
      <c r="H119" s="394" t="s">
        <v>1523</v>
      </c>
      <c r="I119" s="517">
        <v>10024541</v>
      </c>
      <c r="J119" s="394" t="s">
        <v>1515</v>
      </c>
      <c r="K119" s="157">
        <v>1.03</v>
      </c>
      <c r="L119" s="122"/>
      <c r="M119" s="136"/>
      <c r="N119" s="156"/>
    </row>
    <row r="120" spans="1:14">
      <c r="A120" s="665" t="s">
        <v>454</v>
      </c>
      <c r="B120" s="665"/>
      <c r="C120" s="672" t="s">
        <v>1527</v>
      </c>
      <c r="D120" s="676"/>
      <c r="E120" s="667"/>
      <c r="F120" s="667"/>
      <c r="G120" s="667"/>
      <c r="H120" s="665"/>
      <c r="I120" s="667"/>
      <c r="J120" s="665"/>
      <c r="K120" s="654"/>
      <c r="L120" s="665"/>
      <c r="M120" s="136"/>
      <c r="N120" s="136"/>
    </row>
    <row r="121" spans="1:14">
      <c r="A121" s="393">
        <v>1</v>
      </c>
      <c r="B121" s="393"/>
      <c r="C121" s="505" t="s">
        <v>1880</v>
      </c>
      <c r="D121" s="137" t="s">
        <v>1528</v>
      </c>
      <c r="E121" s="397" t="s">
        <v>1529</v>
      </c>
      <c r="F121" s="397"/>
      <c r="G121" s="397"/>
      <c r="H121" s="393" t="s">
        <v>1530</v>
      </c>
      <c r="I121" s="137">
        <v>10000808</v>
      </c>
      <c r="J121" s="393" t="s">
        <v>231</v>
      </c>
      <c r="K121" s="133">
        <v>8</v>
      </c>
      <c r="L121" s="393" t="s">
        <v>1531</v>
      </c>
      <c r="M121" s="136"/>
      <c r="N121" s="136"/>
    </row>
    <row r="122" spans="1:14">
      <c r="A122" s="665" t="s">
        <v>1532</v>
      </c>
      <c r="B122" s="665"/>
      <c r="C122" s="672" t="s">
        <v>1533</v>
      </c>
      <c r="D122" s="673"/>
      <c r="E122" s="667"/>
      <c r="F122" s="667"/>
      <c r="G122" s="667"/>
      <c r="H122" s="668"/>
      <c r="I122" s="667"/>
      <c r="J122" s="668"/>
      <c r="K122" s="654"/>
      <c r="L122" s="668"/>
      <c r="M122" s="136"/>
      <c r="N122" s="136"/>
    </row>
    <row r="123" spans="1:14" ht="29.45" customHeight="1">
      <c r="A123" s="399">
        <v>1</v>
      </c>
      <c r="B123" s="974" t="s">
        <v>1534</v>
      </c>
      <c r="C123" s="503" t="s">
        <v>1535</v>
      </c>
      <c r="D123" s="120" t="s">
        <v>1536</v>
      </c>
      <c r="E123" s="985" t="s">
        <v>1537</v>
      </c>
      <c r="F123" s="397"/>
      <c r="G123" s="985" t="s">
        <v>1538</v>
      </c>
      <c r="H123" s="399" t="s">
        <v>1539</v>
      </c>
      <c r="I123" s="123">
        <v>10000327</v>
      </c>
      <c r="J123" s="399" t="s">
        <v>1540</v>
      </c>
      <c r="K123" s="133">
        <v>7.09</v>
      </c>
      <c r="L123" s="399"/>
      <c r="M123" s="160">
        <f t="shared" ref="M123" si="2">K123*0.139</f>
        <v>0.98551000000000011</v>
      </c>
      <c r="N123" s="160">
        <f t="shared" ref="N123" si="3">SUM(M123:M124)</f>
        <v>2.2087100000000004</v>
      </c>
    </row>
    <row r="124" spans="1:14" ht="29.45" customHeight="1">
      <c r="A124" s="399">
        <v>2</v>
      </c>
      <c r="B124" s="974"/>
      <c r="C124" s="503" t="s">
        <v>1541</v>
      </c>
      <c r="D124" s="120" t="s">
        <v>1542</v>
      </c>
      <c r="E124" s="985"/>
      <c r="F124" s="397"/>
      <c r="G124" s="985"/>
      <c r="H124" s="399" t="s">
        <v>1539</v>
      </c>
      <c r="I124" s="123">
        <v>10000328</v>
      </c>
      <c r="J124" s="399" t="s">
        <v>1540</v>
      </c>
      <c r="K124" s="133">
        <v>4.4000000000000004</v>
      </c>
      <c r="L124" s="399"/>
      <c r="M124" s="160">
        <f t="shared" ref="M124" si="4">K124*0.278</f>
        <v>1.2232000000000003</v>
      </c>
      <c r="N124" s="161"/>
    </row>
    <row r="125" spans="1:14" ht="18" customHeight="1">
      <c r="A125" s="399">
        <v>3</v>
      </c>
      <c r="B125" s="974" t="s">
        <v>1543</v>
      </c>
      <c r="C125" s="503" t="s">
        <v>1535</v>
      </c>
      <c r="D125" s="120" t="s">
        <v>1536</v>
      </c>
      <c r="E125" s="985" t="s">
        <v>1544</v>
      </c>
      <c r="F125" s="397"/>
      <c r="G125" s="985" t="s">
        <v>1545</v>
      </c>
      <c r="H125" s="399" t="s">
        <v>1539</v>
      </c>
      <c r="I125" s="123">
        <v>10000327</v>
      </c>
      <c r="J125" s="399" t="s">
        <v>1540</v>
      </c>
      <c r="K125" s="133">
        <v>7.09</v>
      </c>
      <c r="L125" s="399"/>
      <c r="M125" s="160">
        <f>K125*0.139</f>
        <v>0.98551000000000011</v>
      </c>
      <c r="N125" s="160">
        <f>SUM(M125:M126)</f>
        <v>2.2087100000000004</v>
      </c>
    </row>
    <row r="126" spans="1:14" ht="18" customHeight="1">
      <c r="A126" s="399">
        <v>4</v>
      </c>
      <c r="B126" s="974"/>
      <c r="C126" s="503" t="s">
        <v>1541</v>
      </c>
      <c r="D126" s="120" t="s">
        <v>1542</v>
      </c>
      <c r="E126" s="985"/>
      <c r="F126" s="397"/>
      <c r="G126" s="985"/>
      <c r="H126" s="399" t="s">
        <v>1539</v>
      </c>
      <c r="I126" s="123">
        <v>10000331</v>
      </c>
      <c r="J126" s="399" t="s">
        <v>1540</v>
      </c>
      <c r="K126" s="133">
        <v>4.4000000000000004</v>
      </c>
      <c r="L126" s="399"/>
      <c r="M126" s="160">
        <f>K126*0.278</f>
        <v>1.2232000000000003</v>
      </c>
      <c r="N126" s="161"/>
    </row>
    <row r="127" spans="1:14" ht="18" customHeight="1">
      <c r="A127" s="399">
        <v>5</v>
      </c>
      <c r="B127" s="974" t="s">
        <v>1534</v>
      </c>
      <c r="C127" s="503" t="s">
        <v>1535</v>
      </c>
      <c r="D127" s="120" t="s">
        <v>1536</v>
      </c>
      <c r="E127" s="985" t="s">
        <v>1537</v>
      </c>
      <c r="F127" s="397"/>
      <c r="G127" s="985" t="s">
        <v>1546</v>
      </c>
      <c r="H127" s="399" t="s">
        <v>1539</v>
      </c>
      <c r="I127" s="123">
        <v>10000327</v>
      </c>
      <c r="J127" s="399" t="s">
        <v>1540</v>
      </c>
      <c r="K127" s="133">
        <v>7.09</v>
      </c>
      <c r="L127" s="399"/>
      <c r="M127" s="160">
        <f>K127*0.139</f>
        <v>0.98551000000000011</v>
      </c>
      <c r="N127" s="160">
        <f>SUM(M127:M128)</f>
        <v>2.79251</v>
      </c>
    </row>
    <row r="128" spans="1:14" ht="16.5" customHeight="1">
      <c r="A128" s="399">
        <v>6</v>
      </c>
      <c r="B128" s="974"/>
      <c r="C128" s="503" t="s">
        <v>1541</v>
      </c>
      <c r="D128" s="120" t="s">
        <v>1547</v>
      </c>
      <c r="E128" s="985"/>
      <c r="F128" s="397"/>
      <c r="G128" s="985"/>
      <c r="H128" s="399" t="s">
        <v>1539</v>
      </c>
      <c r="I128" s="123">
        <v>10000329</v>
      </c>
      <c r="J128" s="399" t="s">
        <v>1540</v>
      </c>
      <c r="K128" s="133">
        <v>6.5</v>
      </c>
      <c r="L128" s="399"/>
      <c r="M128" s="160">
        <f>K128*0.278</f>
        <v>1.8070000000000002</v>
      </c>
      <c r="N128" s="161"/>
    </row>
    <row r="129" spans="1:14">
      <c r="A129" s="665" t="s">
        <v>1548</v>
      </c>
      <c r="B129" s="665"/>
      <c r="C129" s="672" t="s">
        <v>1549</v>
      </c>
      <c r="D129" s="673"/>
      <c r="E129" s="667"/>
      <c r="F129" s="667"/>
      <c r="G129" s="667"/>
      <c r="H129" s="668"/>
      <c r="I129" s="667"/>
      <c r="J129" s="668"/>
      <c r="K129" s="669"/>
      <c r="L129" s="668"/>
      <c r="M129" s="136"/>
      <c r="N129" s="136"/>
    </row>
    <row r="130" spans="1:14" ht="22.5">
      <c r="A130" s="393">
        <v>1</v>
      </c>
      <c r="B130" s="393"/>
      <c r="C130" s="504" t="s">
        <v>1550</v>
      </c>
      <c r="D130" s="121" t="s">
        <v>1551</v>
      </c>
      <c r="E130" s="397"/>
      <c r="F130" s="394" t="s">
        <v>1552</v>
      </c>
      <c r="G130" s="397" t="s">
        <v>1553</v>
      </c>
      <c r="H130" s="393" t="s">
        <v>1411</v>
      </c>
      <c r="I130" s="518">
        <v>10029098</v>
      </c>
      <c r="J130" s="393" t="s">
        <v>1280</v>
      </c>
      <c r="K130" s="133">
        <v>6.76</v>
      </c>
      <c r="L130" s="984" t="s">
        <v>1554</v>
      </c>
      <c r="M130" s="166">
        <f>K130/(0.35*0.35)</f>
        <v>55.183673469387763</v>
      </c>
      <c r="N130" s="136"/>
    </row>
    <row r="131" spans="1:14" ht="33.75">
      <c r="A131" s="393">
        <v>2</v>
      </c>
      <c r="B131" s="393"/>
      <c r="C131" s="504" t="s">
        <v>1550</v>
      </c>
      <c r="D131" s="121" t="s">
        <v>1555</v>
      </c>
      <c r="E131" s="397"/>
      <c r="F131" s="394" t="s">
        <v>1556</v>
      </c>
      <c r="G131" s="397" t="s">
        <v>1553</v>
      </c>
      <c r="H131" s="393" t="s">
        <v>1411</v>
      </c>
      <c r="I131" s="518">
        <v>10029099</v>
      </c>
      <c r="J131" s="393" t="s">
        <v>1280</v>
      </c>
      <c r="K131" s="133">
        <v>15</v>
      </c>
      <c r="L131" s="984"/>
      <c r="M131" s="166">
        <f>K131/(0.35*0.35)</f>
        <v>122.44897959183675</v>
      </c>
      <c r="N131" s="136"/>
    </row>
    <row r="132" spans="1:14">
      <c r="A132" s="665" t="s">
        <v>1557</v>
      </c>
      <c r="B132" s="665"/>
      <c r="C132" s="672" t="s">
        <v>1558</v>
      </c>
      <c r="D132" s="673"/>
      <c r="E132" s="667"/>
      <c r="F132" s="667"/>
      <c r="G132" s="667"/>
      <c r="H132" s="668"/>
      <c r="I132" s="667"/>
      <c r="J132" s="668"/>
      <c r="K132" s="669"/>
      <c r="L132" s="668"/>
      <c r="M132" s="136"/>
      <c r="N132" s="136"/>
    </row>
    <row r="133" spans="1:14" ht="22.5">
      <c r="A133" s="393">
        <v>1</v>
      </c>
      <c r="B133" s="393"/>
      <c r="C133" s="519" t="s">
        <v>1559</v>
      </c>
      <c r="D133" s="121"/>
      <c r="E133" s="397"/>
      <c r="F133" s="397"/>
      <c r="G133" s="397"/>
      <c r="H133" s="397" t="s">
        <v>1560</v>
      </c>
      <c r="I133" s="123">
        <v>10020540</v>
      </c>
      <c r="J133" s="393" t="s">
        <v>320</v>
      </c>
      <c r="K133" s="133">
        <v>414</v>
      </c>
      <c r="L133" s="138"/>
      <c r="M133" s="136"/>
      <c r="N133" s="136"/>
    </row>
    <row r="134" spans="1:14" ht="22.5">
      <c r="A134" s="393"/>
      <c r="B134" s="393"/>
      <c r="C134" s="519" t="s">
        <v>1561</v>
      </c>
      <c r="D134" s="121"/>
      <c r="E134" s="397" t="s">
        <v>1562</v>
      </c>
      <c r="F134" s="397"/>
      <c r="G134" s="397"/>
      <c r="H134" s="397" t="s">
        <v>1560</v>
      </c>
      <c r="I134" s="123">
        <v>10020541</v>
      </c>
      <c r="J134" s="393" t="s">
        <v>320</v>
      </c>
      <c r="K134" s="133">
        <v>440</v>
      </c>
      <c r="L134" s="138"/>
      <c r="M134" s="136"/>
      <c r="N134" s="136"/>
    </row>
    <row r="135" spans="1:14" ht="22.5">
      <c r="A135" s="393"/>
      <c r="B135" s="393"/>
      <c r="C135" s="519" t="s">
        <v>1563</v>
      </c>
      <c r="D135" s="121"/>
      <c r="E135" s="397"/>
      <c r="F135" s="397"/>
      <c r="G135" s="397"/>
      <c r="H135" s="397" t="s">
        <v>1560</v>
      </c>
      <c r="I135" s="123">
        <v>10020542</v>
      </c>
      <c r="J135" s="393" t="s">
        <v>320</v>
      </c>
      <c r="K135" s="133">
        <v>465</v>
      </c>
      <c r="L135" s="138"/>
      <c r="M135" s="136"/>
      <c r="N135" s="136"/>
    </row>
    <row r="136" spans="1:14" ht="22.5">
      <c r="A136" s="393">
        <v>2</v>
      </c>
      <c r="B136" s="393"/>
      <c r="C136" s="519" t="s">
        <v>1564</v>
      </c>
      <c r="D136" s="121"/>
      <c r="E136" s="397"/>
      <c r="F136" s="397"/>
      <c r="G136" s="397"/>
      <c r="H136" s="397" t="s">
        <v>1560</v>
      </c>
      <c r="I136" s="123">
        <v>10020537</v>
      </c>
      <c r="J136" s="393" t="s">
        <v>320</v>
      </c>
      <c r="K136" s="133">
        <v>348</v>
      </c>
      <c r="L136" s="138"/>
      <c r="M136" s="136"/>
      <c r="N136" s="136"/>
    </row>
    <row r="137" spans="1:14" ht="22.5">
      <c r="A137" s="393"/>
      <c r="B137" s="393"/>
      <c r="C137" s="519" t="s">
        <v>1565</v>
      </c>
      <c r="D137" s="121"/>
      <c r="E137" s="397"/>
      <c r="F137" s="397"/>
      <c r="G137" s="397"/>
      <c r="H137" s="397" t="s">
        <v>1560</v>
      </c>
      <c r="I137" s="123">
        <v>10020538</v>
      </c>
      <c r="J137" s="393" t="s">
        <v>320</v>
      </c>
      <c r="K137" s="133">
        <v>371</v>
      </c>
      <c r="L137" s="138"/>
      <c r="M137" s="136"/>
      <c r="N137" s="136"/>
    </row>
    <row r="138" spans="1:14" ht="22.5">
      <c r="A138" s="393"/>
      <c r="B138" s="393"/>
      <c r="C138" s="519" t="s">
        <v>1566</v>
      </c>
      <c r="D138" s="121"/>
      <c r="E138" s="397"/>
      <c r="F138" s="397"/>
      <c r="G138" s="397"/>
      <c r="H138" s="397" t="s">
        <v>1560</v>
      </c>
      <c r="I138" s="123">
        <v>10020539</v>
      </c>
      <c r="J138" s="393" t="s">
        <v>320</v>
      </c>
      <c r="K138" s="133">
        <v>393</v>
      </c>
      <c r="L138" s="138"/>
      <c r="M138" s="136"/>
      <c r="N138" s="136"/>
    </row>
    <row r="139" spans="1:14">
      <c r="A139" s="393">
        <v>3</v>
      </c>
      <c r="B139" s="393"/>
      <c r="C139" s="519" t="s">
        <v>1567</v>
      </c>
      <c r="D139" s="121"/>
      <c r="E139" s="397"/>
      <c r="F139" s="397"/>
      <c r="G139" s="397"/>
      <c r="H139" s="397" t="s">
        <v>1560</v>
      </c>
      <c r="I139" s="123">
        <v>10020529</v>
      </c>
      <c r="J139" s="393" t="s">
        <v>231</v>
      </c>
      <c r="K139" s="133">
        <v>716</v>
      </c>
      <c r="L139" s="138"/>
      <c r="M139" s="136"/>
      <c r="N139" s="136"/>
    </row>
    <row r="140" spans="1:14">
      <c r="A140" s="393">
        <v>4</v>
      </c>
      <c r="B140" s="393"/>
      <c r="C140" s="519" t="s">
        <v>1568</v>
      </c>
      <c r="D140" s="121"/>
      <c r="E140" s="397"/>
      <c r="F140" s="397"/>
      <c r="G140" s="397"/>
      <c r="H140" s="397" t="s">
        <v>1560</v>
      </c>
      <c r="I140" s="123">
        <v>10020533</v>
      </c>
      <c r="J140" s="393" t="s">
        <v>270</v>
      </c>
      <c r="K140" s="133">
        <v>33</v>
      </c>
      <c r="L140" s="138"/>
      <c r="M140" s="136"/>
      <c r="N140" s="136"/>
    </row>
    <row r="141" spans="1:14">
      <c r="A141" s="393"/>
      <c r="B141" s="393"/>
      <c r="C141" s="519" t="s">
        <v>1569</v>
      </c>
      <c r="D141" s="121"/>
      <c r="E141" s="397"/>
      <c r="F141" s="397"/>
      <c r="G141" s="397"/>
      <c r="H141" s="397" t="s">
        <v>1560</v>
      </c>
      <c r="I141" s="123">
        <v>10020534</v>
      </c>
      <c r="J141" s="393" t="s">
        <v>270</v>
      </c>
      <c r="K141" s="133">
        <v>10</v>
      </c>
      <c r="L141" s="138"/>
      <c r="M141" s="136"/>
      <c r="N141" s="136"/>
    </row>
    <row r="142" spans="1:14">
      <c r="A142" s="393"/>
      <c r="B142" s="393"/>
      <c r="C142" s="519" t="s">
        <v>1570</v>
      </c>
      <c r="D142" s="121"/>
      <c r="E142" s="397"/>
      <c r="F142" s="397"/>
      <c r="G142" s="397"/>
      <c r="H142" s="397" t="s">
        <v>1560</v>
      </c>
      <c r="I142" s="123">
        <v>10020532</v>
      </c>
      <c r="J142" s="393" t="s">
        <v>270</v>
      </c>
      <c r="K142" s="133">
        <v>20</v>
      </c>
      <c r="L142" s="138"/>
      <c r="M142" s="136"/>
      <c r="N142" s="136"/>
    </row>
    <row r="143" spans="1:14">
      <c r="A143" s="393">
        <v>5</v>
      </c>
      <c r="B143" s="393"/>
      <c r="C143" s="504" t="s">
        <v>1571</v>
      </c>
      <c r="D143" s="121"/>
      <c r="E143" s="397"/>
      <c r="F143" s="397"/>
      <c r="G143" s="397"/>
      <c r="H143" s="397" t="s">
        <v>1560</v>
      </c>
      <c r="I143" s="123">
        <v>10020531</v>
      </c>
      <c r="J143" s="393" t="s">
        <v>231</v>
      </c>
      <c r="K143" s="133">
        <v>462.08</v>
      </c>
      <c r="L143" s="138" t="s">
        <v>1282</v>
      </c>
      <c r="M143" s="136"/>
      <c r="N143" s="136"/>
    </row>
    <row r="144" spans="1:14" ht="22.5">
      <c r="A144" s="393">
        <v>6</v>
      </c>
      <c r="B144" s="393"/>
      <c r="C144" s="519" t="s">
        <v>1572</v>
      </c>
      <c r="D144" s="121"/>
      <c r="E144" s="397"/>
      <c r="F144" s="397"/>
      <c r="G144" s="397"/>
      <c r="H144" s="397" t="s">
        <v>1560</v>
      </c>
      <c r="I144" s="123">
        <v>10020536</v>
      </c>
      <c r="J144" s="393" t="s">
        <v>270</v>
      </c>
      <c r="K144" s="133">
        <v>26.52</v>
      </c>
      <c r="L144" s="138"/>
      <c r="M144" s="136"/>
      <c r="N144" s="136"/>
    </row>
    <row r="145" spans="1:14">
      <c r="A145" s="393" t="s">
        <v>278</v>
      </c>
      <c r="B145" s="393"/>
      <c r="C145" s="519" t="s">
        <v>1573</v>
      </c>
      <c r="D145" s="121"/>
      <c r="E145" s="397"/>
      <c r="F145" s="397"/>
      <c r="G145" s="397"/>
      <c r="H145" s="397"/>
      <c r="I145" s="123"/>
      <c r="J145" s="393"/>
      <c r="K145" s="133"/>
      <c r="L145" s="138"/>
      <c r="M145" s="136"/>
      <c r="N145" s="136"/>
    </row>
    <row r="146" spans="1:14" ht="116.25" customHeight="1">
      <c r="A146" s="393" t="s">
        <v>278</v>
      </c>
      <c r="B146" s="393"/>
      <c r="C146" s="162" t="s">
        <v>345</v>
      </c>
      <c r="D146" s="163"/>
      <c r="E146" s="397"/>
      <c r="F146" s="397"/>
      <c r="G146" s="397"/>
      <c r="H146" s="397"/>
      <c r="I146" s="123"/>
      <c r="J146" s="163" t="s">
        <v>320</v>
      </c>
      <c r="K146" s="167">
        <v>839</v>
      </c>
      <c r="L146" s="138"/>
      <c r="M146" s="136"/>
      <c r="N146" s="136"/>
    </row>
    <row r="147" spans="1:14" ht="116.25" customHeight="1">
      <c r="A147" s="393" t="s">
        <v>278</v>
      </c>
      <c r="B147" s="393"/>
      <c r="C147" s="162" t="s">
        <v>346</v>
      </c>
      <c r="D147" s="163"/>
      <c r="E147" s="397"/>
      <c r="F147" s="397"/>
      <c r="G147" s="397"/>
      <c r="H147" s="397"/>
      <c r="I147" s="123"/>
      <c r="J147" s="163" t="s">
        <v>320</v>
      </c>
      <c r="K147" s="167">
        <v>919</v>
      </c>
      <c r="L147" s="138"/>
      <c r="M147" s="136"/>
      <c r="N147" s="136"/>
    </row>
    <row r="148" spans="1:14" ht="116.25" customHeight="1">
      <c r="A148" s="393" t="s">
        <v>278</v>
      </c>
      <c r="B148" s="393"/>
      <c r="C148" s="162" t="s">
        <v>347</v>
      </c>
      <c r="D148" s="163"/>
      <c r="E148" s="397"/>
      <c r="F148" s="397"/>
      <c r="G148" s="397"/>
      <c r="H148" s="397"/>
      <c r="I148" s="123"/>
      <c r="J148" s="163" t="s">
        <v>320</v>
      </c>
      <c r="K148" s="167">
        <v>1001</v>
      </c>
      <c r="L148" s="138"/>
      <c r="M148" s="136"/>
      <c r="N148" s="136"/>
    </row>
    <row r="149" spans="1:14" ht="116.25" customHeight="1">
      <c r="A149" s="393" t="s">
        <v>278</v>
      </c>
      <c r="B149" s="393"/>
      <c r="C149" s="162" t="s">
        <v>348</v>
      </c>
      <c r="D149" s="163"/>
      <c r="E149" s="397"/>
      <c r="F149" s="397"/>
      <c r="G149" s="397"/>
      <c r="H149" s="397"/>
      <c r="I149" s="123"/>
      <c r="J149" s="163" t="s">
        <v>320</v>
      </c>
      <c r="K149" s="167">
        <v>646</v>
      </c>
      <c r="L149" s="138"/>
      <c r="M149" s="136"/>
      <c r="N149" s="136"/>
    </row>
    <row r="150" spans="1:14" ht="116.25" customHeight="1">
      <c r="A150" s="393" t="s">
        <v>278</v>
      </c>
      <c r="B150" s="393"/>
      <c r="C150" s="162" t="s">
        <v>349</v>
      </c>
      <c r="D150" s="163"/>
      <c r="E150" s="397"/>
      <c r="F150" s="397"/>
      <c r="G150" s="397"/>
      <c r="H150" s="397"/>
      <c r="I150" s="123"/>
      <c r="J150" s="163" t="s">
        <v>320</v>
      </c>
      <c r="K150" s="167">
        <v>717</v>
      </c>
      <c r="L150" s="138"/>
      <c r="M150" s="136"/>
      <c r="N150" s="136"/>
    </row>
    <row r="151" spans="1:14" ht="116.25" customHeight="1">
      <c r="A151" s="393" t="s">
        <v>278</v>
      </c>
      <c r="B151" s="393"/>
      <c r="C151" s="162" t="s">
        <v>350</v>
      </c>
      <c r="D151" s="163"/>
      <c r="E151" s="397"/>
      <c r="F151" s="397"/>
      <c r="G151" s="397"/>
      <c r="H151" s="397"/>
      <c r="I151" s="123"/>
      <c r="J151" s="163" t="s">
        <v>320</v>
      </c>
      <c r="K151" s="167">
        <v>779</v>
      </c>
      <c r="L151" s="138"/>
      <c r="M151" s="136"/>
      <c r="N151" s="136"/>
    </row>
    <row r="152" spans="1:14" ht="101.25">
      <c r="A152" s="393" t="s">
        <v>278</v>
      </c>
      <c r="B152" s="393"/>
      <c r="C152" s="162" t="s">
        <v>351</v>
      </c>
      <c r="D152" s="163"/>
      <c r="E152" s="397"/>
      <c r="F152" s="397"/>
      <c r="G152" s="397"/>
      <c r="H152" s="397"/>
      <c r="I152" s="123"/>
      <c r="J152" s="163" t="s">
        <v>231</v>
      </c>
      <c r="K152" s="167">
        <v>1169</v>
      </c>
      <c r="L152" s="138"/>
      <c r="M152" s="136"/>
      <c r="N152" s="136"/>
    </row>
    <row r="153" spans="1:14" ht="101.25">
      <c r="A153" s="393" t="s">
        <v>278</v>
      </c>
      <c r="B153" s="393"/>
      <c r="C153" s="162" t="s">
        <v>352</v>
      </c>
      <c r="D153" s="163"/>
      <c r="E153" s="397"/>
      <c r="F153" s="397"/>
      <c r="G153" s="397"/>
      <c r="H153" s="397"/>
      <c r="I153" s="123"/>
      <c r="J153" s="163" t="s">
        <v>231</v>
      </c>
      <c r="K153" s="167">
        <v>1210</v>
      </c>
      <c r="L153" s="138"/>
      <c r="M153" s="136"/>
      <c r="N153" s="136"/>
    </row>
    <row r="154" spans="1:14" ht="33.75">
      <c r="A154" s="393" t="s">
        <v>278</v>
      </c>
      <c r="B154" s="393"/>
      <c r="C154" s="162" t="s">
        <v>353</v>
      </c>
      <c r="D154" s="163"/>
      <c r="E154" s="397"/>
      <c r="F154" s="397"/>
      <c r="G154" s="397"/>
      <c r="H154" s="397"/>
      <c r="I154" s="123"/>
      <c r="J154" s="163" t="s">
        <v>270</v>
      </c>
      <c r="K154" s="167">
        <v>95</v>
      </c>
      <c r="L154" s="138"/>
      <c r="M154" s="136"/>
      <c r="N154" s="136"/>
    </row>
    <row r="155" spans="1:14" ht="33.75">
      <c r="A155" s="393" t="s">
        <v>278</v>
      </c>
      <c r="B155" s="393"/>
      <c r="C155" s="162" t="s">
        <v>354</v>
      </c>
      <c r="D155" s="163"/>
      <c r="E155" s="397"/>
      <c r="F155" s="397"/>
      <c r="G155" s="397"/>
      <c r="H155" s="397"/>
      <c r="I155" s="123"/>
      <c r="J155" s="163" t="s">
        <v>270</v>
      </c>
      <c r="K155" s="167">
        <v>71</v>
      </c>
      <c r="L155" s="138"/>
      <c r="M155" s="136"/>
      <c r="N155" s="136"/>
    </row>
    <row r="156" spans="1:14">
      <c r="A156" s="393">
        <v>7</v>
      </c>
      <c r="B156" s="393"/>
      <c r="C156" s="504" t="s">
        <v>1574</v>
      </c>
      <c r="D156" s="121" t="s">
        <v>1575</v>
      </c>
      <c r="E156" s="397"/>
      <c r="F156" s="397"/>
      <c r="G156" s="397"/>
      <c r="H156" s="397" t="s">
        <v>1560</v>
      </c>
      <c r="I156" s="123">
        <v>10008568</v>
      </c>
      <c r="J156" s="393" t="s">
        <v>231</v>
      </c>
      <c r="K156" s="133">
        <v>373</v>
      </c>
      <c r="L156" s="138" t="s">
        <v>1576</v>
      </c>
      <c r="M156" s="136"/>
      <c r="N156" s="136"/>
    </row>
    <row r="157" spans="1:14">
      <c r="A157" s="393">
        <v>8</v>
      </c>
      <c r="B157" s="393"/>
      <c r="C157" s="504" t="s">
        <v>1577</v>
      </c>
      <c r="D157" s="121" t="s">
        <v>1578</v>
      </c>
      <c r="E157" s="397"/>
      <c r="F157" s="397"/>
      <c r="G157" s="397"/>
      <c r="H157" s="397" t="s">
        <v>1560</v>
      </c>
      <c r="I157" s="123">
        <v>10008569</v>
      </c>
      <c r="J157" s="393" t="s">
        <v>235</v>
      </c>
      <c r="K157" s="133">
        <v>30</v>
      </c>
      <c r="L157" s="138"/>
      <c r="M157" s="136"/>
      <c r="N157" s="136"/>
    </row>
    <row r="158" spans="1:14">
      <c r="A158" s="393" t="s">
        <v>278</v>
      </c>
      <c r="B158" s="393"/>
      <c r="C158" s="504" t="s">
        <v>1562</v>
      </c>
      <c r="D158" s="121"/>
      <c r="E158" s="397"/>
      <c r="F158" s="397"/>
      <c r="G158" s="397"/>
      <c r="H158" s="397"/>
      <c r="I158" s="123"/>
      <c r="J158" s="393" t="s">
        <v>231</v>
      </c>
      <c r="K158" s="133">
        <v>959</v>
      </c>
      <c r="L158" s="138"/>
      <c r="M158" s="136" t="s">
        <v>1579</v>
      </c>
      <c r="N158" s="136"/>
    </row>
    <row r="159" spans="1:14" ht="22.5">
      <c r="A159" s="393" t="s">
        <v>278</v>
      </c>
      <c r="B159" s="393"/>
      <c r="C159" s="504" t="s">
        <v>1580</v>
      </c>
      <c r="D159" s="121"/>
      <c r="E159" s="397"/>
      <c r="F159" s="397"/>
      <c r="G159" s="397"/>
      <c r="H159" s="397"/>
      <c r="I159" s="123"/>
      <c r="J159" s="393" t="s">
        <v>235</v>
      </c>
      <c r="K159" s="133">
        <v>44</v>
      </c>
      <c r="L159" s="138"/>
      <c r="M159" s="136" t="s">
        <v>1579</v>
      </c>
      <c r="N159" s="136"/>
    </row>
    <row r="160" spans="1:14">
      <c r="A160" s="665" t="s">
        <v>1581</v>
      </c>
      <c r="B160" s="665"/>
      <c r="C160" s="672" t="s">
        <v>1582</v>
      </c>
      <c r="D160" s="673"/>
      <c r="E160" s="667"/>
      <c r="F160" s="667"/>
      <c r="G160" s="667"/>
      <c r="H160" s="668"/>
      <c r="I160" s="667"/>
      <c r="J160" s="668"/>
      <c r="K160" s="669"/>
      <c r="L160" s="668"/>
      <c r="M160" s="136"/>
      <c r="N160" s="136"/>
    </row>
    <row r="161" spans="1:14">
      <c r="A161" s="393">
        <v>1</v>
      </c>
      <c r="B161" s="393"/>
      <c r="C161" s="973" t="s">
        <v>1582</v>
      </c>
      <c r="D161" s="120" t="s">
        <v>1583</v>
      </c>
      <c r="E161" s="397"/>
      <c r="F161" s="397"/>
      <c r="G161" s="399" t="s">
        <v>299</v>
      </c>
      <c r="H161" s="399" t="s">
        <v>1584</v>
      </c>
      <c r="I161" s="154">
        <v>10000220</v>
      </c>
      <c r="J161" s="399" t="s">
        <v>1092</v>
      </c>
      <c r="K161" s="133">
        <v>299</v>
      </c>
      <c r="L161" s="393"/>
      <c r="M161" s="136"/>
      <c r="N161" s="136"/>
    </row>
    <row r="162" spans="1:14">
      <c r="A162" s="393">
        <v>2</v>
      </c>
      <c r="B162" s="393"/>
      <c r="C162" s="973"/>
      <c r="D162" s="120" t="s">
        <v>1585</v>
      </c>
      <c r="E162" s="397"/>
      <c r="F162" s="397"/>
      <c r="G162" s="399" t="s">
        <v>299</v>
      </c>
      <c r="H162" s="399" t="s">
        <v>1584</v>
      </c>
      <c r="I162" s="154">
        <v>10000223</v>
      </c>
      <c r="J162" s="399" t="s">
        <v>1092</v>
      </c>
      <c r="K162" s="133">
        <v>299</v>
      </c>
      <c r="L162" s="393"/>
      <c r="M162" s="136"/>
      <c r="N162" s="136"/>
    </row>
    <row r="163" spans="1:14">
      <c r="A163" s="393">
        <v>3</v>
      </c>
      <c r="B163" s="393"/>
      <c r="C163" s="505" t="s">
        <v>1586</v>
      </c>
      <c r="D163" s="124"/>
      <c r="E163" s="397"/>
      <c r="F163" s="124" t="s">
        <v>1587</v>
      </c>
      <c r="G163" s="397"/>
      <c r="H163" s="393"/>
      <c r="I163" s="154">
        <v>10000227</v>
      </c>
      <c r="J163" s="393" t="s">
        <v>235</v>
      </c>
      <c r="K163" s="133">
        <v>68</v>
      </c>
      <c r="L163" s="393" t="s">
        <v>1588</v>
      </c>
      <c r="M163" s="136"/>
      <c r="N163" s="136"/>
    </row>
    <row r="164" spans="1:14">
      <c r="A164" s="393" t="s">
        <v>278</v>
      </c>
      <c r="B164" s="393"/>
      <c r="C164" s="505" t="s">
        <v>1586</v>
      </c>
      <c r="D164" s="124"/>
      <c r="E164" s="397"/>
      <c r="F164" s="124" t="s">
        <v>1587</v>
      </c>
      <c r="G164" s="397"/>
      <c r="H164" s="393"/>
      <c r="I164" s="154">
        <v>10000227</v>
      </c>
      <c r="J164" s="393" t="s">
        <v>235</v>
      </c>
      <c r="K164" s="133">
        <v>68</v>
      </c>
      <c r="L164" s="393" t="s">
        <v>1589</v>
      </c>
      <c r="M164" s="136"/>
      <c r="N164" s="136"/>
    </row>
    <row r="165" spans="1:14">
      <c r="A165" s="665" t="s">
        <v>1590</v>
      </c>
      <c r="B165" s="665"/>
      <c r="C165" s="672" t="s">
        <v>1591</v>
      </c>
      <c r="D165" s="676"/>
      <c r="E165" s="667"/>
      <c r="F165" s="667"/>
      <c r="G165" s="667"/>
      <c r="H165" s="665"/>
      <c r="I165" s="667"/>
      <c r="J165" s="668"/>
      <c r="K165" s="669"/>
      <c r="L165" s="665"/>
      <c r="M165" s="136"/>
      <c r="N165" s="136"/>
    </row>
    <row r="166" spans="1:14" ht="22.5">
      <c r="A166" s="393">
        <v>1</v>
      </c>
      <c r="B166" s="393"/>
      <c r="C166" s="505" t="s">
        <v>1592</v>
      </c>
      <c r="D166" s="117" t="s">
        <v>1593</v>
      </c>
      <c r="E166" s="397"/>
      <c r="F166" s="164" t="s">
        <v>1594</v>
      </c>
      <c r="G166" s="399" t="s">
        <v>1595</v>
      </c>
      <c r="H166" s="393" t="s">
        <v>1596</v>
      </c>
      <c r="I166" s="123">
        <v>10001014</v>
      </c>
      <c r="J166" s="122" t="s">
        <v>235</v>
      </c>
      <c r="K166" s="133">
        <v>162</v>
      </c>
      <c r="L166" s="126"/>
      <c r="M166" s="136"/>
      <c r="N166" s="136"/>
    </row>
    <row r="167" spans="1:14" ht="56.25">
      <c r="A167" s="393">
        <v>2</v>
      </c>
      <c r="B167" s="393"/>
      <c r="C167" s="505" t="s">
        <v>1597</v>
      </c>
      <c r="D167" s="117" t="s">
        <v>1598</v>
      </c>
      <c r="E167" s="397"/>
      <c r="F167" s="393" t="s">
        <v>1599</v>
      </c>
      <c r="G167" s="397" t="s">
        <v>1600</v>
      </c>
      <c r="H167" s="164" t="s">
        <v>1601</v>
      </c>
      <c r="I167" s="123">
        <v>10028320</v>
      </c>
      <c r="J167" s="122" t="s">
        <v>235</v>
      </c>
      <c r="K167" s="133">
        <v>363</v>
      </c>
      <c r="L167" s="126"/>
      <c r="M167" s="136"/>
      <c r="N167" s="136"/>
    </row>
    <row r="168" spans="1:14" ht="18" customHeight="1">
      <c r="A168" s="393">
        <v>3</v>
      </c>
      <c r="B168" s="393"/>
      <c r="C168" s="504" t="s">
        <v>1602</v>
      </c>
      <c r="D168" s="121" t="s">
        <v>1603</v>
      </c>
      <c r="E168" s="397"/>
      <c r="F168" s="397"/>
      <c r="G168" s="397"/>
      <c r="H168" s="393" t="s">
        <v>1604</v>
      </c>
      <c r="I168" s="123">
        <v>10000990</v>
      </c>
      <c r="J168" s="393" t="s">
        <v>1540</v>
      </c>
      <c r="K168" s="133">
        <v>14</v>
      </c>
      <c r="L168" s="138"/>
      <c r="M168" s="136">
        <f>2.2*K168</f>
        <v>30.800000000000004</v>
      </c>
      <c r="N168" s="136"/>
    </row>
    <row r="169" spans="1:14" ht="18" customHeight="1">
      <c r="A169" s="393">
        <v>4</v>
      </c>
      <c r="B169" s="393"/>
      <c r="C169" s="504" t="s">
        <v>1605</v>
      </c>
      <c r="D169" s="121"/>
      <c r="E169" s="397"/>
      <c r="F169" s="397"/>
      <c r="G169" s="397"/>
      <c r="H169" s="520" t="s">
        <v>1606</v>
      </c>
      <c r="I169" s="153">
        <v>10037143</v>
      </c>
      <c r="J169" s="393" t="s">
        <v>235</v>
      </c>
      <c r="K169" s="133">
        <v>42</v>
      </c>
      <c r="L169" s="138"/>
      <c r="M169" s="136"/>
      <c r="N169" s="136"/>
    </row>
    <row r="170" spans="1:14" ht="18" customHeight="1">
      <c r="A170" s="393">
        <v>5</v>
      </c>
      <c r="B170" s="393"/>
      <c r="C170" s="504" t="s">
        <v>1607</v>
      </c>
      <c r="D170" s="121"/>
      <c r="E170" s="397"/>
      <c r="F170" s="397"/>
      <c r="G170" s="397"/>
      <c r="H170" s="520" t="s">
        <v>1606</v>
      </c>
      <c r="I170" s="153">
        <v>10037144</v>
      </c>
      <c r="J170" s="393" t="s">
        <v>270</v>
      </c>
      <c r="K170" s="133">
        <v>22</v>
      </c>
      <c r="L170" s="138"/>
      <c r="M170" s="136"/>
      <c r="N170" s="136"/>
    </row>
    <row r="171" spans="1:14" ht="18" customHeight="1">
      <c r="A171" s="393">
        <v>6</v>
      </c>
      <c r="B171" s="393"/>
      <c r="C171" s="504" t="s">
        <v>1608</v>
      </c>
      <c r="D171" s="121"/>
      <c r="E171" s="397"/>
      <c r="F171" s="397"/>
      <c r="G171" s="397"/>
      <c r="H171" s="397"/>
      <c r="I171" s="521">
        <v>10001183</v>
      </c>
      <c r="J171" s="393" t="s">
        <v>320</v>
      </c>
      <c r="K171" s="133">
        <v>410</v>
      </c>
      <c r="L171" s="138" t="s">
        <v>1609</v>
      </c>
      <c r="M171" s="136"/>
      <c r="N171" s="136"/>
    </row>
    <row r="172" spans="1:14" ht="18" customHeight="1">
      <c r="A172" s="393">
        <v>7</v>
      </c>
      <c r="B172" s="393"/>
      <c r="C172" s="504" t="s">
        <v>1610</v>
      </c>
      <c r="D172" s="121"/>
      <c r="E172" s="397"/>
      <c r="F172" s="397"/>
      <c r="G172" s="397"/>
      <c r="H172" s="397"/>
      <c r="I172" s="397"/>
      <c r="J172" s="393" t="s">
        <v>320</v>
      </c>
      <c r="K172" s="133">
        <v>195</v>
      </c>
      <c r="L172" s="138" t="s">
        <v>1609</v>
      </c>
      <c r="M172" s="136"/>
      <c r="N172" s="136"/>
    </row>
    <row r="173" spans="1:14">
      <c r="A173" s="396"/>
      <c r="B173" s="393"/>
      <c r="C173" s="144" t="s">
        <v>1611</v>
      </c>
      <c r="D173" s="120" t="s">
        <v>1612</v>
      </c>
      <c r="E173" s="397"/>
      <c r="F173" s="126"/>
      <c r="G173" s="397"/>
      <c r="H173" s="394" t="s">
        <v>1523</v>
      </c>
      <c r="I173" s="399"/>
      <c r="J173" s="393" t="s">
        <v>1515</v>
      </c>
      <c r="K173" s="133">
        <v>5.07</v>
      </c>
      <c r="L173" s="397" t="s">
        <v>1282</v>
      </c>
      <c r="M173" s="136"/>
      <c r="N173" s="136"/>
    </row>
    <row r="174" spans="1:14">
      <c r="A174" s="396"/>
      <c r="B174" s="393"/>
      <c r="C174" s="144" t="s">
        <v>1611</v>
      </c>
      <c r="D174" s="120" t="s">
        <v>1613</v>
      </c>
      <c r="E174" s="397"/>
      <c r="F174" s="126"/>
      <c r="G174" s="397"/>
      <c r="H174" s="394" t="s">
        <v>1523</v>
      </c>
      <c r="I174" s="399"/>
      <c r="J174" s="393" t="s">
        <v>1515</v>
      </c>
      <c r="K174" s="133">
        <v>3.3</v>
      </c>
      <c r="L174" s="397" t="s">
        <v>1282</v>
      </c>
      <c r="M174" s="136"/>
      <c r="N174" s="136"/>
    </row>
    <row r="175" spans="1:14" ht="12.75" customHeight="1">
      <c r="A175" s="396"/>
      <c r="B175" s="393"/>
      <c r="C175" s="144" t="s">
        <v>1611</v>
      </c>
      <c r="D175" s="120" t="s">
        <v>1614</v>
      </c>
      <c r="E175" s="397"/>
      <c r="F175" s="126"/>
      <c r="G175" s="397"/>
      <c r="H175" s="394" t="s">
        <v>1523</v>
      </c>
      <c r="I175" s="399"/>
      <c r="J175" s="393" t="s">
        <v>1515</v>
      </c>
      <c r="K175" s="133">
        <v>2.35</v>
      </c>
      <c r="L175" s="397" t="s">
        <v>1282</v>
      </c>
      <c r="M175" s="136"/>
      <c r="N175" s="136"/>
    </row>
    <row r="176" spans="1:14">
      <c r="A176" s="396"/>
      <c r="B176" s="393"/>
      <c r="C176" s="144" t="s">
        <v>1611</v>
      </c>
      <c r="D176" s="120" t="s">
        <v>1615</v>
      </c>
      <c r="E176" s="397"/>
      <c r="F176" s="126"/>
      <c r="G176" s="397"/>
      <c r="H176" s="394" t="s">
        <v>1523</v>
      </c>
      <c r="I176" s="399"/>
      <c r="J176" s="393" t="s">
        <v>1515</v>
      </c>
      <c r="K176" s="133">
        <v>1.95</v>
      </c>
      <c r="L176" s="397" t="s">
        <v>1282</v>
      </c>
      <c r="M176" s="136"/>
      <c r="N176" s="136"/>
    </row>
    <row r="177" spans="1:14">
      <c r="A177" s="396"/>
      <c r="B177" s="393"/>
      <c r="C177" s="144" t="s">
        <v>1616</v>
      </c>
      <c r="D177" s="120" t="s">
        <v>1613</v>
      </c>
      <c r="E177" s="397"/>
      <c r="F177" s="126"/>
      <c r="G177" s="397"/>
      <c r="H177" s="394" t="s">
        <v>1523</v>
      </c>
      <c r="I177" s="399"/>
      <c r="J177" s="393" t="s">
        <v>1515</v>
      </c>
      <c r="K177" s="133">
        <v>3.3</v>
      </c>
      <c r="L177" s="397" t="s">
        <v>1282</v>
      </c>
      <c r="M177" s="136"/>
      <c r="N177" s="136"/>
    </row>
    <row r="178" spans="1:14">
      <c r="A178" s="396"/>
      <c r="B178" s="393"/>
      <c r="C178" s="144" t="s">
        <v>1616</v>
      </c>
      <c r="D178" s="120" t="s">
        <v>1614</v>
      </c>
      <c r="E178" s="397"/>
      <c r="F178" s="126"/>
      <c r="G178" s="397"/>
      <c r="H178" s="394" t="s">
        <v>1523</v>
      </c>
      <c r="I178" s="399"/>
      <c r="J178" s="393" t="s">
        <v>1515</v>
      </c>
      <c r="K178" s="133">
        <v>2.35</v>
      </c>
      <c r="L178" s="397" t="s">
        <v>1282</v>
      </c>
      <c r="M178" s="136"/>
      <c r="N178" s="136"/>
    </row>
    <row r="179" spans="1:14">
      <c r="A179" s="396"/>
      <c r="B179" s="393"/>
      <c r="C179" s="144" t="s">
        <v>1616</v>
      </c>
      <c r="D179" s="120" t="s">
        <v>1615</v>
      </c>
      <c r="E179" s="397"/>
      <c r="F179" s="126"/>
      <c r="G179" s="397"/>
      <c r="H179" s="394" t="s">
        <v>1523</v>
      </c>
      <c r="I179" s="399"/>
      <c r="J179" s="393" t="s">
        <v>1515</v>
      </c>
      <c r="K179" s="133">
        <v>1.95</v>
      </c>
      <c r="L179" s="397" t="s">
        <v>1282</v>
      </c>
      <c r="M179" s="136"/>
      <c r="N179" s="136"/>
    </row>
    <row r="180" spans="1:14">
      <c r="A180" s="396"/>
      <c r="B180" s="393"/>
      <c r="C180" s="144" t="s">
        <v>1617</v>
      </c>
      <c r="D180" s="120" t="s">
        <v>1618</v>
      </c>
      <c r="E180" s="397"/>
      <c r="F180" s="126"/>
      <c r="G180" s="397"/>
      <c r="H180" s="394" t="s">
        <v>1523</v>
      </c>
      <c r="I180" s="399"/>
      <c r="J180" s="393" t="s">
        <v>1515</v>
      </c>
      <c r="K180" s="133">
        <v>5.59</v>
      </c>
      <c r="L180" s="397" t="s">
        <v>1282</v>
      </c>
      <c r="M180" s="136"/>
      <c r="N180" s="136"/>
    </row>
    <row r="181" spans="1:14">
      <c r="A181" s="396"/>
      <c r="B181" s="393"/>
      <c r="C181" s="144" t="s">
        <v>1617</v>
      </c>
      <c r="D181" s="120" t="s">
        <v>1619</v>
      </c>
      <c r="E181" s="397"/>
      <c r="F181" s="126"/>
      <c r="G181" s="397"/>
      <c r="H181" s="394" t="s">
        <v>1523</v>
      </c>
      <c r="I181" s="399"/>
      <c r="J181" s="393" t="s">
        <v>1515</v>
      </c>
      <c r="K181" s="133">
        <v>8.57</v>
      </c>
      <c r="L181" s="397" t="s">
        <v>1282</v>
      </c>
      <c r="M181" s="136"/>
      <c r="N181" s="136"/>
    </row>
    <row r="182" spans="1:14">
      <c r="A182" s="396"/>
      <c r="B182" s="393"/>
      <c r="C182" s="144" t="s">
        <v>1617</v>
      </c>
      <c r="D182" s="120" t="s">
        <v>1620</v>
      </c>
      <c r="E182" s="397"/>
      <c r="F182" s="126"/>
      <c r="G182" s="397"/>
      <c r="H182" s="394" t="s">
        <v>1523</v>
      </c>
      <c r="I182" s="399"/>
      <c r="J182" s="393" t="s">
        <v>1515</v>
      </c>
      <c r="K182" s="133">
        <v>15.42</v>
      </c>
      <c r="L182" s="397" t="s">
        <v>1282</v>
      </c>
      <c r="M182" s="136"/>
      <c r="N182" s="136"/>
    </row>
    <row r="183" spans="1:14" s="462" customFormat="1">
      <c r="A183" s="662"/>
      <c r="B183" s="978" t="s">
        <v>1621</v>
      </c>
      <c r="C183" s="978"/>
      <c r="D183" s="663"/>
      <c r="E183" s="662"/>
      <c r="F183" s="662"/>
      <c r="G183" s="662"/>
      <c r="H183" s="662"/>
      <c r="I183" s="662"/>
      <c r="J183" s="662"/>
      <c r="K183" s="664"/>
      <c r="L183" s="662"/>
      <c r="M183" s="524"/>
      <c r="N183" s="524"/>
    </row>
    <row r="184" spans="1:14" s="462" customFormat="1">
      <c r="A184" s="662" t="s">
        <v>58</v>
      </c>
      <c r="B184" s="983" t="s">
        <v>1273</v>
      </c>
      <c r="C184" s="983"/>
      <c r="D184" s="663"/>
      <c r="E184" s="662"/>
      <c r="F184" s="662"/>
      <c r="G184" s="662"/>
      <c r="H184" s="662"/>
      <c r="I184" s="662"/>
      <c r="J184" s="662"/>
      <c r="K184" s="664"/>
      <c r="L184" s="662"/>
      <c r="M184" s="524"/>
      <c r="N184" s="524"/>
    </row>
    <row r="185" spans="1:14" ht="22.5">
      <c r="A185" s="397">
        <v>1</v>
      </c>
      <c r="B185" s="397"/>
      <c r="C185" s="505" t="s">
        <v>1284</v>
      </c>
      <c r="D185" s="124" t="s">
        <v>1622</v>
      </c>
      <c r="E185" s="397"/>
      <c r="F185" s="393" t="s">
        <v>1623</v>
      </c>
      <c r="G185" s="399" t="s">
        <v>1624</v>
      </c>
      <c r="H185" s="393" t="s">
        <v>1625</v>
      </c>
      <c r="I185" s="135">
        <v>10000261</v>
      </c>
      <c r="J185" s="168" t="s">
        <v>1280</v>
      </c>
      <c r="K185" s="152">
        <v>27</v>
      </c>
      <c r="L185" s="397" t="s">
        <v>1626</v>
      </c>
      <c r="M185" s="136">
        <f t="shared" ref="M185" si="5">K185/(0.6*0.6)</f>
        <v>75</v>
      </c>
      <c r="N185" s="136"/>
    </row>
    <row r="186" spans="1:14" ht="22.5">
      <c r="A186" s="397">
        <v>2</v>
      </c>
      <c r="B186" s="397"/>
      <c r="C186" s="505" t="s">
        <v>1284</v>
      </c>
      <c r="D186" s="124" t="s">
        <v>1627</v>
      </c>
      <c r="E186" s="397"/>
      <c r="F186" s="393" t="s">
        <v>1623</v>
      </c>
      <c r="G186" s="399" t="s">
        <v>1628</v>
      </c>
      <c r="H186" s="393" t="s">
        <v>1625</v>
      </c>
      <c r="I186" s="135">
        <v>10000258</v>
      </c>
      <c r="J186" s="168" t="s">
        <v>1280</v>
      </c>
      <c r="K186" s="133">
        <v>24</v>
      </c>
      <c r="L186" s="397" t="s">
        <v>1626</v>
      </c>
      <c r="M186" s="136">
        <f>K186/(0.6*0.6)</f>
        <v>66.666666666666671</v>
      </c>
      <c r="N186" s="136"/>
    </row>
    <row r="187" spans="1:14">
      <c r="A187" s="397">
        <v>3</v>
      </c>
      <c r="B187" s="397"/>
      <c r="C187" s="505" t="s">
        <v>1629</v>
      </c>
      <c r="D187" s="124" t="s">
        <v>1630</v>
      </c>
      <c r="E187" s="397"/>
      <c r="F187" s="393" t="s">
        <v>1631</v>
      </c>
      <c r="G187" s="399" t="s">
        <v>1632</v>
      </c>
      <c r="H187" s="393" t="s">
        <v>1625</v>
      </c>
      <c r="I187" s="135">
        <v>10000260</v>
      </c>
      <c r="J187" s="168" t="s">
        <v>1280</v>
      </c>
      <c r="K187" s="152">
        <v>11</v>
      </c>
      <c r="L187" s="397" t="s">
        <v>1626</v>
      </c>
      <c r="M187" s="136">
        <f>K187/0.6</f>
        <v>18.333333333333336</v>
      </c>
      <c r="N187" s="136"/>
    </row>
    <row r="188" spans="1:14" ht="33.75">
      <c r="A188" s="397"/>
      <c r="B188" s="397"/>
      <c r="C188" s="505" t="s">
        <v>1633</v>
      </c>
      <c r="D188" s="124"/>
      <c r="E188" s="397" t="s">
        <v>1634</v>
      </c>
      <c r="F188" s="393" t="s">
        <v>1623</v>
      </c>
      <c r="G188" s="399" t="s">
        <v>1635</v>
      </c>
      <c r="H188" s="393"/>
      <c r="I188" s="135"/>
      <c r="J188" s="168" t="s">
        <v>1280</v>
      </c>
      <c r="K188" s="152">
        <v>25</v>
      </c>
      <c r="L188" s="397" t="s">
        <v>1636</v>
      </c>
      <c r="M188" s="136">
        <f>K188/(0.6*0.6)</f>
        <v>69.444444444444443</v>
      </c>
      <c r="N188" s="136"/>
    </row>
    <row r="189" spans="1:14" ht="22.5">
      <c r="A189" s="397"/>
      <c r="B189" s="397"/>
      <c r="C189" s="505" t="s">
        <v>1633</v>
      </c>
      <c r="D189" s="124"/>
      <c r="E189" s="397" t="s">
        <v>1637</v>
      </c>
      <c r="F189" s="393" t="s">
        <v>1623</v>
      </c>
      <c r="G189" s="399" t="s">
        <v>1638</v>
      </c>
      <c r="H189" s="393"/>
      <c r="I189" s="135"/>
      <c r="J189" s="168" t="s">
        <v>1280</v>
      </c>
      <c r="K189" s="152">
        <v>25</v>
      </c>
      <c r="L189" s="397" t="s">
        <v>1636</v>
      </c>
      <c r="M189" s="136">
        <f>K189/(0.6*0.6)</f>
        <v>69.444444444444443</v>
      </c>
      <c r="N189" s="136"/>
    </row>
    <row r="190" spans="1:14" ht="22.5">
      <c r="A190" s="397"/>
      <c r="B190" s="397"/>
      <c r="C190" s="505" t="s">
        <v>1639</v>
      </c>
      <c r="D190" s="124"/>
      <c r="E190" s="397" t="s">
        <v>1640</v>
      </c>
      <c r="F190" s="393" t="s">
        <v>1641</v>
      </c>
      <c r="G190" s="399" t="s">
        <v>1642</v>
      </c>
      <c r="H190" s="393"/>
      <c r="I190" s="135"/>
      <c r="J190" s="168" t="s">
        <v>1280</v>
      </c>
      <c r="K190" s="152">
        <v>10</v>
      </c>
      <c r="L190" s="397" t="s">
        <v>1636</v>
      </c>
      <c r="M190" s="136">
        <f t="shared" ref="M190" si="6">K190/0.8</f>
        <v>12.5</v>
      </c>
      <c r="N190" s="136"/>
    </row>
    <row r="191" spans="1:14" ht="22.5">
      <c r="A191" s="397"/>
      <c r="B191" s="397"/>
      <c r="C191" s="505" t="s">
        <v>1643</v>
      </c>
      <c r="D191" s="124"/>
      <c r="E191" s="397" t="s">
        <v>1644</v>
      </c>
      <c r="F191" s="393" t="s">
        <v>1645</v>
      </c>
      <c r="G191" s="399" t="s">
        <v>1646</v>
      </c>
      <c r="H191" s="393"/>
      <c r="I191" s="135"/>
      <c r="J191" s="168" t="s">
        <v>1280</v>
      </c>
      <c r="K191" s="152">
        <v>5</v>
      </c>
      <c r="L191" s="397" t="s">
        <v>1636</v>
      </c>
      <c r="M191" s="136">
        <f>K191/0.8</f>
        <v>6.25</v>
      </c>
      <c r="N191" s="136"/>
    </row>
    <row r="192" spans="1:14" ht="22.5">
      <c r="A192" s="397"/>
      <c r="B192" s="397"/>
      <c r="C192" s="505" t="s">
        <v>1284</v>
      </c>
      <c r="D192" s="124"/>
      <c r="E192" s="397" t="s">
        <v>1637</v>
      </c>
      <c r="F192" s="393" t="s">
        <v>1623</v>
      </c>
      <c r="G192" s="399" t="s">
        <v>1647</v>
      </c>
      <c r="H192" s="393"/>
      <c r="I192" s="135"/>
      <c r="J192" s="168" t="s">
        <v>1280</v>
      </c>
      <c r="K192" s="152">
        <v>25</v>
      </c>
      <c r="L192" s="397" t="s">
        <v>1636</v>
      </c>
      <c r="M192" s="136">
        <f>K192/(0.6*0.6)</f>
        <v>69.444444444444443</v>
      </c>
      <c r="N192" s="136"/>
    </row>
    <row r="193" spans="1:14" ht="22.5">
      <c r="A193" s="397"/>
      <c r="B193" s="397"/>
      <c r="C193" s="505" t="s">
        <v>1639</v>
      </c>
      <c r="D193" s="124"/>
      <c r="E193" s="397" t="s">
        <v>1640</v>
      </c>
      <c r="F193" s="393" t="s">
        <v>1648</v>
      </c>
      <c r="G193" s="399" t="s">
        <v>1649</v>
      </c>
      <c r="H193" s="393"/>
      <c r="I193" s="135"/>
      <c r="J193" s="135" t="s">
        <v>1280</v>
      </c>
      <c r="K193" s="152">
        <v>12</v>
      </c>
      <c r="L193" s="397" t="s">
        <v>1636</v>
      </c>
      <c r="M193" s="136">
        <f>K193/0.8</f>
        <v>15</v>
      </c>
      <c r="N193" s="136"/>
    </row>
    <row r="194" spans="1:14" ht="22.5">
      <c r="A194" s="397"/>
      <c r="B194" s="397"/>
      <c r="C194" s="505" t="s">
        <v>1643</v>
      </c>
      <c r="D194" s="124"/>
      <c r="E194" s="397" t="s">
        <v>1644</v>
      </c>
      <c r="F194" s="393" t="s">
        <v>1650</v>
      </c>
      <c r="G194" s="399" t="s">
        <v>1651</v>
      </c>
      <c r="H194" s="393"/>
      <c r="I194" s="135"/>
      <c r="J194" s="135" t="s">
        <v>1280</v>
      </c>
      <c r="K194" s="152">
        <v>9</v>
      </c>
      <c r="L194" s="397" t="s">
        <v>1636</v>
      </c>
      <c r="M194" s="136">
        <f>K194/0.8</f>
        <v>11.25</v>
      </c>
      <c r="N194" s="136"/>
    </row>
    <row r="195" spans="1:14">
      <c r="A195" s="397"/>
      <c r="B195" s="397"/>
      <c r="C195" s="505" t="s">
        <v>1652</v>
      </c>
      <c r="D195" s="124"/>
      <c r="E195" s="397"/>
      <c r="F195" s="393" t="s">
        <v>1309</v>
      </c>
      <c r="G195" s="399" t="s">
        <v>1653</v>
      </c>
      <c r="H195" s="393"/>
      <c r="I195" s="135"/>
      <c r="J195" s="135" t="s">
        <v>1280</v>
      </c>
      <c r="K195" s="152">
        <v>11.5</v>
      </c>
      <c r="L195" s="397"/>
      <c r="M195" s="136">
        <f>K195/(0.3*0.6)</f>
        <v>63.888888888888893</v>
      </c>
      <c r="N195" s="136"/>
    </row>
    <row r="196" spans="1:14">
      <c r="A196" s="397"/>
      <c r="B196" s="397"/>
      <c r="C196" s="505" t="s">
        <v>1654</v>
      </c>
      <c r="D196" s="124"/>
      <c r="E196" s="397"/>
      <c r="F196" s="393" t="s">
        <v>1655</v>
      </c>
      <c r="G196" s="399"/>
      <c r="H196" s="393"/>
      <c r="I196" s="135"/>
      <c r="J196" s="135" t="s">
        <v>1280</v>
      </c>
      <c r="K196" s="152">
        <v>3.8332999999999999</v>
      </c>
      <c r="L196" s="397"/>
      <c r="M196" s="136">
        <f>K196/0.6</f>
        <v>6.3888333333333334</v>
      </c>
      <c r="N196" s="136"/>
    </row>
    <row r="197" spans="1:14">
      <c r="A197" s="665" t="s">
        <v>60</v>
      </c>
      <c r="B197" s="665"/>
      <c r="C197" s="672" t="s">
        <v>1527</v>
      </c>
      <c r="D197" s="676"/>
      <c r="E197" s="667"/>
      <c r="F197" s="667"/>
      <c r="G197" s="667"/>
      <c r="H197" s="665"/>
      <c r="I197" s="667"/>
      <c r="J197" s="665"/>
      <c r="K197" s="654"/>
      <c r="L197" s="665"/>
      <c r="M197" s="136"/>
      <c r="N197" s="136"/>
    </row>
    <row r="198" spans="1:14" ht="22.5">
      <c r="A198" s="393">
        <v>1</v>
      </c>
      <c r="B198" s="393"/>
      <c r="C198" s="505" t="s">
        <v>1880</v>
      </c>
      <c r="D198" s="124" t="s">
        <v>1656</v>
      </c>
      <c r="E198" s="397" t="s">
        <v>1657</v>
      </c>
      <c r="F198" s="397" t="s">
        <v>1658</v>
      </c>
      <c r="G198" s="393" t="s">
        <v>1659</v>
      </c>
      <c r="H198" s="393" t="s">
        <v>1660</v>
      </c>
      <c r="I198" s="175">
        <v>10000813</v>
      </c>
      <c r="J198" s="393" t="s">
        <v>231</v>
      </c>
      <c r="K198" s="152">
        <v>7.15</v>
      </c>
      <c r="L198" s="393"/>
      <c r="M198" s="136"/>
      <c r="N198" s="136"/>
    </row>
    <row r="199" spans="1:14">
      <c r="A199" s="393">
        <v>2</v>
      </c>
      <c r="B199" s="393"/>
      <c r="C199" s="505" t="s">
        <v>1880</v>
      </c>
      <c r="D199" s="124" t="s">
        <v>1661</v>
      </c>
      <c r="E199" s="399" t="s">
        <v>1662</v>
      </c>
      <c r="F199" s="397" t="s">
        <v>1663</v>
      </c>
      <c r="G199" s="393" t="s">
        <v>1664</v>
      </c>
      <c r="H199" s="393" t="s">
        <v>1660</v>
      </c>
      <c r="I199" s="175">
        <v>10000812</v>
      </c>
      <c r="J199" s="393" t="s">
        <v>231</v>
      </c>
      <c r="K199" s="152">
        <v>15</v>
      </c>
      <c r="L199" s="393"/>
      <c r="M199" s="136"/>
      <c r="N199" s="136"/>
    </row>
    <row r="200" spans="1:14">
      <c r="A200" s="665" t="s">
        <v>62</v>
      </c>
      <c r="B200" s="665"/>
      <c r="C200" s="672" t="s">
        <v>1366</v>
      </c>
      <c r="D200" s="671"/>
      <c r="E200" s="667"/>
      <c r="F200" s="667"/>
      <c r="G200" s="667"/>
      <c r="H200" s="667"/>
      <c r="I200" s="667"/>
      <c r="J200" s="667"/>
      <c r="K200" s="669"/>
      <c r="L200" s="667"/>
      <c r="M200" s="136"/>
      <c r="N200" s="136"/>
    </row>
    <row r="201" spans="1:14" ht="22.5">
      <c r="A201" s="982">
        <v>1</v>
      </c>
      <c r="B201" s="982"/>
      <c r="C201" s="973" t="s">
        <v>1665</v>
      </c>
      <c r="D201" s="123" t="s">
        <v>1666</v>
      </c>
      <c r="E201" s="397"/>
      <c r="F201" s="123" t="s">
        <v>1667</v>
      </c>
      <c r="G201" s="399" t="s">
        <v>1668</v>
      </c>
      <c r="H201" s="399" t="s">
        <v>1371</v>
      </c>
      <c r="I201" s="123">
        <v>10000494</v>
      </c>
      <c r="J201" s="394" t="s">
        <v>482</v>
      </c>
      <c r="K201" s="133">
        <v>2233</v>
      </c>
      <c r="L201" s="393"/>
      <c r="M201" s="136"/>
      <c r="N201" s="136"/>
    </row>
    <row r="202" spans="1:14" ht="22.5">
      <c r="A202" s="982"/>
      <c r="B202" s="982"/>
      <c r="C202" s="973"/>
      <c r="D202" s="123" t="s">
        <v>1666</v>
      </c>
      <c r="E202" s="397"/>
      <c r="F202" s="123" t="s">
        <v>1669</v>
      </c>
      <c r="G202" s="399" t="s">
        <v>1670</v>
      </c>
      <c r="H202" s="399" t="s">
        <v>1371</v>
      </c>
      <c r="I202" s="123">
        <v>10000495</v>
      </c>
      <c r="J202" s="394" t="s">
        <v>482</v>
      </c>
      <c r="K202" s="133">
        <v>2665</v>
      </c>
      <c r="L202" s="393"/>
      <c r="M202" s="136"/>
      <c r="N202" s="136"/>
    </row>
    <row r="203" spans="1:14" ht="22.5">
      <c r="A203" s="982"/>
      <c r="B203" s="982"/>
      <c r="C203" s="973"/>
      <c r="D203" s="123" t="s">
        <v>1666</v>
      </c>
      <c r="E203" s="397"/>
      <c r="F203" s="123" t="s">
        <v>1671</v>
      </c>
      <c r="G203" s="399" t="s">
        <v>1672</v>
      </c>
      <c r="H203" s="399" t="s">
        <v>1371</v>
      </c>
      <c r="I203" s="123">
        <v>10000496</v>
      </c>
      <c r="J203" s="394" t="s">
        <v>482</v>
      </c>
      <c r="K203" s="133">
        <v>3686</v>
      </c>
      <c r="L203" s="393"/>
      <c r="M203" s="136"/>
      <c r="N203" s="136"/>
    </row>
    <row r="204" spans="1:14" ht="33.75">
      <c r="A204" s="982">
        <v>3</v>
      </c>
      <c r="B204" s="982"/>
      <c r="C204" s="973" t="s">
        <v>1673</v>
      </c>
      <c r="D204" s="120" t="s">
        <v>1674</v>
      </c>
      <c r="E204" s="397"/>
      <c r="F204" s="399" t="s">
        <v>1675</v>
      </c>
      <c r="G204" s="399" t="s">
        <v>1676</v>
      </c>
      <c r="H204" s="399" t="s">
        <v>1371</v>
      </c>
      <c r="I204" s="123">
        <v>10000483</v>
      </c>
      <c r="J204" s="394" t="s">
        <v>482</v>
      </c>
      <c r="K204" s="133">
        <v>718</v>
      </c>
      <c r="L204" s="393"/>
      <c r="M204" s="136"/>
      <c r="N204" s="136"/>
    </row>
    <row r="205" spans="1:14" ht="33.75">
      <c r="A205" s="982"/>
      <c r="B205" s="982"/>
      <c r="C205" s="973"/>
      <c r="D205" s="120" t="s">
        <v>1677</v>
      </c>
      <c r="E205" s="397"/>
      <c r="F205" s="399" t="s">
        <v>1678</v>
      </c>
      <c r="G205" s="399" t="s">
        <v>1679</v>
      </c>
      <c r="H205" s="399" t="s">
        <v>1371</v>
      </c>
      <c r="I205" s="123">
        <v>10000484</v>
      </c>
      <c r="J205" s="394" t="s">
        <v>482</v>
      </c>
      <c r="K205" s="133">
        <v>874</v>
      </c>
      <c r="L205" s="393"/>
      <c r="M205" s="136"/>
      <c r="N205" s="136"/>
    </row>
    <row r="206" spans="1:14" ht="33.75">
      <c r="A206" s="393">
        <v>4</v>
      </c>
      <c r="B206" s="393"/>
      <c r="C206" s="507" t="s">
        <v>1680</v>
      </c>
      <c r="D206" s="131" t="s">
        <v>1681</v>
      </c>
      <c r="E206" s="397"/>
      <c r="F206" s="398" t="s">
        <v>1682</v>
      </c>
      <c r="G206" s="399" t="s">
        <v>1683</v>
      </c>
      <c r="H206" s="130" t="s">
        <v>1684</v>
      </c>
      <c r="I206" s="123">
        <v>10000454</v>
      </c>
      <c r="J206" s="394" t="s">
        <v>482</v>
      </c>
      <c r="K206" s="133">
        <v>17</v>
      </c>
      <c r="L206" s="393" t="s">
        <v>1397</v>
      </c>
      <c r="M206" s="136"/>
      <c r="N206" s="136"/>
    </row>
    <row r="207" spans="1:14" ht="33.75">
      <c r="A207" s="393">
        <v>5</v>
      </c>
      <c r="B207" s="393"/>
      <c r="C207" s="507" t="s">
        <v>1685</v>
      </c>
      <c r="D207" s="120" t="s">
        <v>1686</v>
      </c>
      <c r="E207" s="397"/>
      <c r="F207" s="398" t="s">
        <v>1687</v>
      </c>
      <c r="G207" s="399" t="s">
        <v>1688</v>
      </c>
      <c r="H207" s="130" t="s">
        <v>1684</v>
      </c>
      <c r="I207" s="123">
        <v>10000455</v>
      </c>
      <c r="J207" s="394" t="s">
        <v>482</v>
      </c>
      <c r="K207" s="133">
        <v>34</v>
      </c>
      <c r="L207" s="393" t="s">
        <v>1397</v>
      </c>
      <c r="M207" s="136"/>
      <c r="N207" s="136"/>
    </row>
    <row r="208" spans="1:14" ht="16.5" customHeight="1">
      <c r="A208" s="393">
        <v>6</v>
      </c>
      <c r="B208" s="393"/>
      <c r="C208" s="507" t="s">
        <v>1689</v>
      </c>
      <c r="D208" s="130" t="s">
        <v>1690</v>
      </c>
      <c r="E208" s="397"/>
      <c r="F208" s="130" t="s">
        <v>1691</v>
      </c>
      <c r="G208" s="130" t="s">
        <v>1688</v>
      </c>
      <c r="H208" s="130" t="s">
        <v>1684</v>
      </c>
      <c r="I208" s="123">
        <v>10000428</v>
      </c>
      <c r="J208" s="394" t="s">
        <v>482</v>
      </c>
      <c r="K208" s="133">
        <v>63</v>
      </c>
      <c r="L208" s="393"/>
      <c r="M208" s="136"/>
      <c r="N208" s="136"/>
    </row>
    <row r="209" spans="1:14">
      <c r="A209" s="393">
        <v>7</v>
      </c>
      <c r="B209" s="393"/>
      <c r="C209" s="503" t="s">
        <v>1124</v>
      </c>
      <c r="D209" s="130"/>
      <c r="E209" s="397"/>
      <c r="F209" s="130"/>
      <c r="G209" s="399" t="s">
        <v>1692</v>
      </c>
      <c r="H209" s="130" t="s">
        <v>1684</v>
      </c>
      <c r="I209" s="130"/>
      <c r="J209" s="399" t="s">
        <v>270</v>
      </c>
      <c r="K209" s="133">
        <v>20</v>
      </c>
      <c r="L209" s="399" t="s">
        <v>1282</v>
      </c>
      <c r="M209" s="136"/>
      <c r="N209" s="136"/>
    </row>
    <row r="210" spans="1:14">
      <c r="A210" s="393">
        <v>8</v>
      </c>
      <c r="B210" s="397"/>
      <c r="C210" s="395" t="s">
        <v>1693</v>
      </c>
      <c r="D210" s="117"/>
      <c r="E210" s="397"/>
      <c r="F210" s="397"/>
      <c r="G210" s="397"/>
      <c r="H210" s="394" t="s">
        <v>1694</v>
      </c>
      <c r="I210" s="397"/>
      <c r="J210" s="394" t="s">
        <v>482</v>
      </c>
      <c r="K210" s="133">
        <v>45</v>
      </c>
      <c r="L210" s="397" t="s">
        <v>1695</v>
      </c>
      <c r="M210" s="136"/>
      <c r="N210" s="136"/>
    </row>
    <row r="211" spans="1:14">
      <c r="A211" s="393">
        <v>9</v>
      </c>
      <c r="B211" s="397"/>
      <c r="C211" s="395" t="s">
        <v>1696</v>
      </c>
      <c r="D211" s="117"/>
      <c r="E211" s="397"/>
      <c r="F211" s="397"/>
      <c r="G211" s="397"/>
      <c r="H211" s="394" t="s">
        <v>1694</v>
      </c>
      <c r="I211" s="397"/>
      <c r="J211" s="394" t="s">
        <v>482</v>
      </c>
      <c r="K211" s="133">
        <v>35</v>
      </c>
      <c r="L211" s="397" t="s">
        <v>1695</v>
      </c>
      <c r="M211" s="136"/>
      <c r="N211" s="136"/>
    </row>
    <row r="212" spans="1:14">
      <c r="A212" s="393">
        <v>10</v>
      </c>
      <c r="B212" s="397"/>
      <c r="C212" s="395" t="s">
        <v>1697</v>
      </c>
      <c r="D212" s="117"/>
      <c r="E212" s="397"/>
      <c r="F212" s="397"/>
      <c r="G212" s="397"/>
      <c r="H212" s="394" t="s">
        <v>1694</v>
      </c>
      <c r="I212" s="397"/>
      <c r="J212" s="394" t="s">
        <v>482</v>
      </c>
      <c r="K212" s="133">
        <v>35</v>
      </c>
      <c r="L212" s="397" t="s">
        <v>1695</v>
      </c>
      <c r="M212" s="136"/>
      <c r="N212" s="136"/>
    </row>
    <row r="213" spans="1:14">
      <c r="A213" s="393">
        <v>11</v>
      </c>
      <c r="B213" s="397"/>
      <c r="C213" s="505" t="s">
        <v>1698</v>
      </c>
      <c r="D213" s="117"/>
      <c r="E213" s="397"/>
      <c r="F213" s="399" t="s">
        <v>1699</v>
      </c>
      <c r="G213" s="399" t="s">
        <v>1700</v>
      </c>
      <c r="H213" s="399"/>
      <c r="I213" s="123"/>
      <c r="J213" s="393" t="s">
        <v>320</v>
      </c>
      <c r="K213" s="133">
        <v>389</v>
      </c>
      <c r="L213" s="397"/>
      <c r="M213" s="136"/>
      <c r="N213" s="136"/>
    </row>
    <row r="214" spans="1:14">
      <c r="A214" s="393">
        <v>12</v>
      </c>
      <c r="B214" s="397"/>
      <c r="C214" s="505" t="s">
        <v>1701</v>
      </c>
      <c r="D214" s="117"/>
      <c r="E214" s="397"/>
      <c r="F214" s="399" t="s">
        <v>1702</v>
      </c>
      <c r="G214" s="399" t="s">
        <v>1703</v>
      </c>
      <c r="H214" s="399"/>
      <c r="I214" s="123"/>
      <c r="J214" s="393" t="s">
        <v>320</v>
      </c>
      <c r="K214" s="133">
        <v>48</v>
      </c>
      <c r="L214" s="397"/>
      <c r="M214" s="136"/>
      <c r="N214" s="136"/>
    </row>
    <row r="215" spans="1:14">
      <c r="A215" s="393">
        <v>13</v>
      </c>
      <c r="B215" s="397"/>
      <c r="C215" s="505" t="s">
        <v>1704</v>
      </c>
      <c r="D215" s="117"/>
      <c r="E215" s="397"/>
      <c r="F215" s="399" t="s">
        <v>1705</v>
      </c>
      <c r="G215" s="399" t="s">
        <v>1703</v>
      </c>
      <c r="H215" s="399"/>
      <c r="I215" s="123"/>
      <c r="J215" s="393" t="s">
        <v>1515</v>
      </c>
      <c r="K215" s="133">
        <v>23</v>
      </c>
      <c r="L215" s="397"/>
      <c r="M215" s="136"/>
      <c r="N215" s="136"/>
    </row>
    <row r="216" spans="1:14">
      <c r="A216" s="393">
        <v>14</v>
      </c>
      <c r="B216" s="397"/>
      <c r="C216" s="507" t="s">
        <v>1706</v>
      </c>
      <c r="D216" s="117"/>
      <c r="E216" s="397"/>
      <c r="F216" s="397"/>
      <c r="G216" s="399" t="s">
        <v>1688</v>
      </c>
      <c r="H216" s="130" t="s">
        <v>1684</v>
      </c>
      <c r="I216" s="123">
        <v>10000455</v>
      </c>
      <c r="J216" s="393" t="s">
        <v>320</v>
      </c>
      <c r="K216" s="133">
        <v>16</v>
      </c>
      <c r="L216" s="393" t="s">
        <v>1397</v>
      </c>
      <c r="M216" s="136"/>
      <c r="N216" s="136"/>
    </row>
    <row r="217" spans="1:14">
      <c r="A217" s="393">
        <v>15</v>
      </c>
      <c r="B217" s="397"/>
      <c r="C217" s="507" t="s">
        <v>1707</v>
      </c>
      <c r="D217" s="117"/>
      <c r="E217" s="397"/>
      <c r="F217" s="130" t="s">
        <v>1708</v>
      </c>
      <c r="G217" s="130" t="s">
        <v>1688</v>
      </c>
      <c r="H217" s="130"/>
      <c r="I217" s="123"/>
      <c r="J217" s="130" t="s">
        <v>320</v>
      </c>
      <c r="K217" s="133">
        <v>195</v>
      </c>
      <c r="L217" s="397"/>
      <c r="M217" s="136"/>
      <c r="N217" s="136"/>
    </row>
    <row r="218" spans="1:14">
      <c r="A218" s="393"/>
      <c r="B218" s="397"/>
      <c r="C218" s="395"/>
      <c r="D218" s="117"/>
      <c r="E218" s="397"/>
      <c r="F218" s="397"/>
      <c r="G218" s="397"/>
      <c r="H218" s="394"/>
      <c r="I218" s="397"/>
      <c r="J218" s="394"/>
      <c r="K218" s="133"/>
      <c r="L218" s="397"/>
      <c r="M218" s="136"/>
      <c r="N218" s="136"/>
    </row>
    <row r="219" spans="1:14">
      <c r="A219" s="665" t="s">
        <v>64</v>
      </c>
      <c r="B219" s="665"/>
      <c r="C219" s="672" t="s">
        <v>1533</v>
      </c>
      <c r="D219" s="673"/>
      <c r="E219" s="667"/>
      <c r="F219" s="667"/>
      <c r="G219" s="667"/>
      <c r="H219" s="668"/>
      <c r="I219" s="667"/>
      <c r="J219" s="668"/>
      <c r="K219" s="654"/>
      <c r="L219" s="668"/>
      <c r="M219" s="136"/>
      <c r="N219" s="136"/>
    </row>
    <row r="220" spans="1:14">
      <c r="A220" s="399">
        <v>1</v>
      </c>
      <c r="B220" s="974" t="s">
        <v>1534</v>
      </c>
      <c r="C220" s="503" t="s">
        <v>1535</v>
      </c>
      <c r="D220" s="120" t="s">
        <v>1536</v>
      </c>
      <c r="E220" s="397"/>
      <c r="F220" s="397"/>
      <c r="G220" s="974" t="s">
        <v>1709</v>
      </c>
      <c r="H220" s="399" t="s">
        <v>1539</v>
      </c>
      <c r="I220" s="123">
        <v>10000327</v>
      </c>
      <c r="J220" s="399" t="s">
        <v>1540</v>
      </c>
      <c r="K220" s="133">
        <v>7.09</v>
      </c>
      <c r="L220" s="399"/>
      <c r="M220" s="160">
        <f>K220*0.139</f>
        <v>0.98551000000000011</v>
      </c>
      <c r="N220" s="160">
        <f>SUM(M220:M221)</f>
        <v>2.2087100000000004</v>
      </c>
    </row>
    <row r="221" spans="1:14">
      <c r="A221" s="399">
        <v>2</v>
      </c>
      <c r="B221" s="974"/>
      <c r="C221" s="503" t="s">
        <v>1541</v>
      </c>
      <c r="D221" s="120" t="s">
        <v>1542</v>
      </c>
      <c r="E221" s="397" t="s">
        <v>1537</v>
      </c>
      <c r="F221" s="397"/>
      <c r="G221" s="974"/>
      <c r="H221" s="399" t="s">
        <v>1539</v>
      </c>
      <c r="I221" s="123">
        <v>10000328</v>
      </c>
      <c r="J221" s="399" t="s">
        <v>1540</v>
      </c>
      <c r="K221" s="133">
        <v>4.4000000000000004</v>
      </c>
      <c r="L221" s="399"/>
      <c r="M221" s="160">
        <f>K221*0.278</f>
        <v>1.2232000000000003</v>
      </c>
      <c r="N221" s="161"/>
    </row>
    <row r="222" spans="1:14">
      <c r="A222" s="399">
        <v>3</v>
      </c>
      <c r="B222" s="974" t="s">
        <v>1534</v>
      </c>
      <c r="C222" s="503" t="s">
        <v>1535</v>
      </c>
      <c r="D222" s="120" t="s">
        <v>1536</v>
      </c>
      <c r="E222" s="397"/>
      <c r="F222" s="397"/>
      <c r="G222" s="974" t="s">
        <v>1710</v>
      </c>
      <c r="H222" s="399" t="s">
        <v>1539</v>
      </c>
      <c r="I222" s="123">
        <v>10000327</v>
      </c>
      <c r="J222" s="399" t="s">
        <v>1540</v>
      </c>
      <c r="K222" s="133">
        <v>7.09</v>
      </c>
      <c r="L222" s="399"/>
      <c r="M222" s="160">
        <f>K222*0.139</f>
        <v>0.98551000000000011</v>
      </c>
      <c r="N222" s="160">
        <f>SUM(M222:M223)</f>
        <v>2.79251</v>
      </c>
    </row>
    <row r="223" spans="1:14">
      <c r="A223" s="399">
        <v>4</v>
      </c>
      <c r="B223" s="974"/>
      <c r="C223" s="503" t="s">
        <v>1541</v>
      </c>
      <c r="D223" s="120" t="s">
        <v>1547</v>
      </c>
      <c r="E223" s="397" t="s">
        <v>1544</v>
      </c>
      <c r="F223" s="397"/>
      <c r="G223" s="974"/>
      <c r="H223" s="399" t="s">
        <v>1539</v>
      </c>
      <c r="I223" s="123">
        <v>10000329</v>
      </c>
      <c r="J223" s="399" t="s">
        <v>1540</v>
      </c>
      <c r="K223" s="133">
        <v>6.5</v>
      </c>
      <c r="L223" s="399"/>
      <c r="M223" s="160">
        <f>K223*0.278</f>
        <v>1.8070000000000002</v>
      </c>
      <c r="N223" s="161"/>
    </row>
    <row r="224" spans="1:14">
      <c r="A224" s="665" t="s">
        <v>111</v>
      </c>
      <c r="B224" s="976" t="s">
        <v>1414</v>
      </c>
      <c r="C224" s="976"/>
      <c r="D224" s="671"/>
      <c r="E224" s="667"/>
      <c r="F224" s="667"/>
      <c r="G224" s="667"/>
      <c r="H224" s="667"/>
      <c r="I224" s="667"/>
      <c r="J224" s="667"/>
      <c r="K224" s="669"/>
      <c r="L224" s="667"/>
      <c r="M224" s="160"/>
      <c r="N224" s="136"/>
    </row>
    <row r="225" spans="1:19" s="449" customFormat="1">
      <c r="A225" s="393">
        <v>1</v>
      </c>
      <c r="B225" s="393"/>
      <c r="C225" s="505" t="s">
        <v>1711</v>
      </c>
      <c r="D225" s="120" t="s">
        <v>1712</v>
      </c>
      <c r="E225" s="397"/>
      <c r="F225" s="126" t="s">
        <v>1713</v>
      </c>
      <c r="G225" s="397" t="s">
        <v>1714</v>
      </c>
      <c r="H225" s="399" t="s">
        <v>1715</v>
      </c>
      <c r="I225" s="399">
        <v>117200004</v>
      </c>
      <c r="J225" s="393" t="s">
        <v>1716</v>
      </c>
      <c r="K225" s="133">
        <v>225</v>
      </c>
      <c r="L225" s="397"/>
      <c r="M225" s="136"/>
      <c r="N225" s="136"/>
    </row>
    <row r="226" spans="1:19">
      <c r="A226" s="668"/>
      <c r="B226" s="976" t="s">
        <v>1717</v>
      </c>
      <c r="C226" s="978"/>
      <c r="D226" s="678"/>
      <c r="E226" s="667"/>
      <c r="F226" s="679"/>
      <c r="G226" s="667"/>
      <c r="H226" s="680"/>
      <c r="I226" s="680"/>
      <c r="J226" s="668"/>
      <c r="K226" s="669"/>
      <c r="L226" s="667"/>
      <c r="M226" s="136"/>
      <c r="N226" s="136"/>
    </row>
    <row r="227" spans="1:19" ht="24.75" customHeight="1">
      <c r="A227" s="393">
        <v>1</v>
      </c>
      <c r="B227" s="393"/>
      <c r="C227" s="505" t="s">
        <v>1718</v>
      </c>
      <c r="D227" s="120"/>
      <c r="E227" s="397"/>
      <c r="F227" s="126" t="s">
        <v>1309</v>
      </c>
      <c r="G227" s="397"/>
      <c r="H227" s="399"/>
      <c r="I227" s="399"/>
      <c r="J227" s="393" t="s">
        <v>1280</v>
      </c>
      <c r="K227" s="133">
        <v>16.82</v>
      </c>
      <c r="L227" s="397"/>
      <c r="M227" s="136">
        <f>K227/(0.3*0.6)</f>
        <v>93.444444444444443</v>
      </c>
      <c r="N227" s="136"/>
    </row>
    <row r="228" spans="1:19" ht="24.75" customHeight="1">
      <c r="A228" s="393">
        <v>2</v>
      </c>
      <c r="B228" s="393"/>
      <c r="C228" s="505" t="s">
        <v>1209</v>
      </c>
      <c r="D228" s="120"/>
      <c r="E228" s="397"/>
      <c r="F228" s="126"/>
      <c r="G228" s="397"/>
      <c r="H228" s="399"/>
      <c r="I228" s="399"/>
      <c r="J228" s="393" t="s">
        <v>320</v>
      </c>
      <c r="K228" s="133">
        <v>130</v>
      </c>
      <c r="L228" s="397" t="s">
        <v>1695</v>
      </c>
      <c r="M228" s="136"/>
      <c r="N228" s="136"/>
    </row>
    <row r="229" spans="1:19" ht="24" customHeight="1">
      <c r="A229" s="677" t="s">
        <v>113</v>
      </c>
      <c r="B229" s="979" t="s">
        <v>1039</v>
      </c>
      <c r="C229" s="980"/>
      <c r="D229" s="980"/>
      <c r="E229" s="980"/>
      <c r="F229" s="980"/>
      <c r="G229" s="980"/>
      <c r="H229" s="980"/>
      <c r="I229" s="980"/>
      <c r="J229" s="980"/>
      <c r="K229" s="980"/>
      <c r="L229" s="981"/>
      <c r="M229" s="176"/>
      <c r="N229" s="176"/>
    </row>
    <row r="230" spans="1:19" ht="22.5">
      <c r="A230" s="169">
        <v>1</v>
      </c>
      <c r="B230" s="169"/>
      <c r="C230" s="512" t="s">
        <v>540</v>
      </c>
      <c r="D230" s="169" t="s">
        <v>1719</v>
      </c>
      <c r="E230" s="169"/>
      <c r="F230" s="169"/>
      <c r="G230" s="169"/>
      <c r="H230" s="169" t="s">
        <v>1720</v>
      </c>
      <c r="I230" s="394">
        <v>10008469</v>
      </c>
      <c r="J230" s="169" t="s">
        <v>320</v>
      </c>
      <c r="K230" s="177">
        <v>59.83</v>
      </c>
      <c r="L230" s="178" t="s">
        <v>1609</v>
      </c>
      <c r="M230" s="179"/>
      <c r="N230" s="180"/>
      <c r="O230" s="180"/>
      <c r="P230" s="180"/>
      <c r="Q230" s="180"/>
      <c r="R230" s="180"/>
    </row>
    <row r="231" spans="1:19">
      <c r="A231" s="169">
        <v>2</v>
      </c>
      <c r="B231" s="169"/>
      <c r="C231" s="512" t="s">
        <v>541</v>
      </c>
      <c r="D231" s="169" t="s">
        <v>1721</v>
      </c>
      <c r="E231" s="169"/>
      <c r="F231" s="169"/>
      <c r="G231" s="169"/>
      <c r="H231" s="169" t="s">
        <v>1720</v>
      </c>
      <c r="I231" s="394">
        <v>10008465</v>
      </c>
      <c r="J231" s="169" t="s">
        <v>320</v>
      </c>
      <c r="K231" s="177">
        <v>127.2</v>
      </c>
      <c r="L231" s="178" t="s">
        <v>1609</v>
      </c>
      <c r="M231" s="179"/>
      <c r="N231" s="180"/>
      <c r="O231" s="180"/>
      <c r="P231" s="180"/>
      <c r="Q231" s="180"/>
      <c r="R231" s="180"/>
    </row>
    <row r="232" spans="1:19" ht="22.5">
      <c r="A232" s="169">
        <v>3</v>
      </c>
      <c r="B232" s="169"/>
      <c r="C232" s="512" t="s">
        <v>1722</v>
      </c>
      <c r="D232" s="169" t="s">
        <v>1723</v>
      </c>
      <c r="E232" s="169"/>
      <c r="F232" s="169"/>
      <c r="G232" s="169"/>
      <c r="H232" s="169" t="s">
        <v>1720</v>
      </c>
      <c r="I232" s="394">
        <v>10008437</v>
      </c>
      <c r="J232" s="394" t="s">
        <v>270</v>
      </c>
      <c r="K232" s="177">
        <v>33.869999999999997</v>
      </c>
      <c r="L232" s="178" t="s">
        <v>1609</v>
      </c>
      <c r="M232" s="179"/>
      <c r="N232" s="180"/>
      <c r="O232" s="180"/>
      <c r="P232" s="180"/>
      <c r="Q232" s="180"/>
      <c r="R232" s="180"/>
    </row>
    <row r="233" spans="1:19" ht="50.25" customHeight="1">
      <c r="A233" s="169">
        <v>4</v>
      </c>
      <c r="B233" s="169"/>
      <c r="C233" s="512" t="s">
        <v>1724</v>
      </c>
      <c r="D233" s="169" t="s">
        <v>1725</v>
      </c>
      <c r="E233" s="169"/>
      <c r="F233" s="169"/>
      <c r="G233" s="169"/>
      <c r="H233" s="169" t="s">
        <v>1720</v>
      </c>
      <c r="I233" s="394">
        <v>10008483</v>
      </c>
      <c r="J233" s="394" t="s">
        <v>270</v>
      </c>
      <c r="K233" s="177">
        <v>125.32</v>
      </c>
      <c r="L233" s="178" t="s">
        <v>1609</v>
      </c>
      <c r="M233" s="179"/>
      <c r="N233" s="180"/>
      <c r="O233" s="180"/>
      <c r="P233" s="180"/>
      <c r="Q233" s="180"/>
      <c r="R233" s="180"/>
    </row>
    <row r="234" spans="1:19" ht="24.75" customHeight="1">
      <c r="A234" s="169">
        <v>5</v>
      </c>
      <c r="B234" s="169"/>
      <c r="C234" s="512" t="s">
        <v>1726</v>
      </c>
      <c r="D234" s="169">
        <v>10027</v>
      </c>
      <c r="E234" s="169"/>
      <c r="F234" s="169" t="s">
        <v>1881</v>
      </c>
      <c r="G234" s="169"/>
      <c r="H234" s="169" t="s">
        <v>1727</v>
      </c>
      <c r="I234" s="169">
        <v>10000505</v>
      </c>
      <c r="J234" s="169" t="s">
        <v>320</v>
      </c>
      <c r="K234" s="177">
        <v>84.55</v>
      </c>
      <c r="L234" s="178" t="s">
        <v>1609</v>
      </c>
      <c r="M234" s="179"/>
      <c r="N234" s="181"/>
      <c r="O234" s="181"/>
      <c r="P234" s="181"/>
      <c r="Q234" s="181"/>
      <c r="R234" s="181"/>
      <c r="S234" s="181"/>
    </row>
    <row r="235" spans="1:19" ht="29.25" customHeight="1">
      <c r="A235" s="169">
        <v>6</v>
      </c>
      <c r="B235" s="170" t="s">
        <v>1728</v>
      </c>
      <c r="C235" s="513" t="s">
        <v>1729</v>
      </c>
      <c r="D235" s="172" t="s">
        <v>1730</v>
      </c>
      <c r="E235" s="170"/>
      <c r="F235" s="171" t="s">
        <v>1731</v>
      </c>
      <c r="G235" s="173" t="s">
        <v>1732</v>
      </c>
      <c r="H235" s="171" t="s">
        <v>1625</v>
      </c>
      <c r="I235" s="135">
        <v>10000261</v>
      </c>
      <c r="J235" s="182" t="s">
        <v>1280</v>
      </c>
      <c r="K235" s="135">
        <v>50</v>
      </c>
      <c r="L235" s="178" t="s">
        <v>1609</v>
      </c>
      <c r="M235" s="176">
        <f t="shared" ref="M235" si="7">K235/(0.8*0.8)</f>
        <v>78.124999999999986</v>
      </c>
      <c r="N235" s="176"/>
    </row>
    <row r="236" spans="1:19" ht="29.25" customHeight="1">
      <c r="A236" s="169">
        <v>7</v>
      </c>
      <c r="B236" s="170" t="s">
        <v>1733</v>
      </c>
      <c r="C236" s="513" t="s">
        <v>1734</v>
      </c>
      <c r="D236" s="172"/>
      <c r="E236" s="170"/>
      <c r="F236" s="171" t="s">
        <v>1735</v>
      </c>
      <c r="G236" s="173" t="s">
        <v>1732</v>
      </c>
      <c r="H236" s="171"/>
      <c r="I236" s="135"/>
      <c r="J236" s="182" t="s">
        <v>1280</v>
      </c>
      <c r="K236" s="135">
        <v>50</v>
      </c>
      <c r="L236" s="178" t="s">
        <v>1609</v>
      </c>
      <c r="M236" s="176">
        <f>K236/(0.8*0.8)</f>
        <v>78.124999999999986</v>
      </c>
      <c r="N236" s="176"/>
    </row>
    <row r="237" spans="1:19" ht="33.75">
      <c r="A237" s="169">
        <v>8</v>
      </c>
      <c r="B237" s="170" t="s">
        <v>1736</v>
      </c>
      <c r="C237" s="513" t="s">
        <v>1737</v>
      </c>
      <c r="D237" s="172" t="s">
        <v>1738</v>
      </c>
      <c r="E237" s="170"/>
      <c r="F237" s="171" t="s">
        <v>1739</v>
      </c>
      <c r="G237" s="173" t="s">
        <v>1740</v>
      </c>
      <c r="H237" s="171" t="s">
        <v>1625</v>
      </c>
      <c r="I237" s="135">
        <v>10000258</v>
      </c>
      <c r="J237" s="182" t="s">
        <v>1280</v>
      </c>
      <c r="K237" s="135">
        <v>50</v>
      </c>
      <c r="L237" s="178" t="s">
        <v>1609</v>
      </c>
      <c r="M237" s="176">
        <f>K237/(0.8*0.8)</f>
        <v>78.124999999999986</v>
      </c>
      <c r="N237" s="176"/>
    </row>
    <row r="238" spans="1:19" ht="33" customHeight="1">
      <c r="A238" s="169">
        <v>9</v>
      </c>
      <c r="B238" s="170" t="s">
        <v>1741</v>
      </c>
      <c r="C238" s="513" t="s">
        <v>1742</v>
      </c>
      <c r="D238" s="172" t="s">
        <v>1743</v>
      </c>
      <c r="E238" s="170"/>
      <c r="F238" s="171" t="s">
        <v>1744</v>
      </c>
      <c r="G238" s="173" t="s">
        <v>1732</v>
      </c>
      <c r="H238" s="171" t="s">
        <v>1625</v>
      </c>
      <c r="I238" s="135">
        <v>10000260</v>
      </c>
      <c r="J238" s="182" t="s">
        <v>1280</v>
      </c>
      <c r="K238" s="135" t="s">
        <v>1745</v>
      </c>
      <c r="L238" s="178" t="s">
        <v>1609</v>
      </c>
      <c r="M238" s="176">
        <f>K238/0.8</f>
        <v>12.1</v>
      </c>
      <c r="N238" s="176"/>
    </row>
    <row r="239" spans="1:19" ht="41.25" customHeight="1">
      <c r="A239" s="169">
        <v>10</v>
      </c>
      <c r="B239" s="170" t="s">
        <v>1746</v>
      </c>
      <c r="C239" s="513" t="s">
        <v>1737</v>
      </c>
      <c r="D239" s="172" t="s">
        <v>1738</v>
      </c>
      <c r="E239" s="170"/>
      <c r="F239" s="171" t="s">
        <v>1747</v>
      </c>
      <c r="G239" s="173" t="s">
        <v>1748</v>
      </c>
      <c r="H239" s="171"/>
      <c r="I239" s="135"/>
      <c r="J239" s="182" t="s">
        <v>235</v>
      </c>
      <c r="K239" s="135">
        <v>7.5</v>
      </c>
      <c r="L239" s="178" t="s">
        <v>1609</v>
      </c>
      <c r="M239" s="176"/>
      <c r="N239" s="176"/>
    </row>
    <row r="240" spans="1:19">
      <c r="A240" s="169">
        <v>11</v>
      </c>
      <c r="B240" s="170"/>
      <c r="C240" s="514" t="s">
        <v>1749</v>
      </c>
      <c r="D240" s="522" t="s">
        <v>1750</v>
      </c>
      <c r="E240" s="170"/>
      <c r="F240" s="170"/>
      <c r="G240" s="170" t="s">
        <v>1751</v>
      </c>
      <c r="H240" s="170"/>
      <c r="I240" s="170"/>
      <c r="J240" s="522" t="s">
        <v>320</v>
      </c>
      <c r="K240" s="183">
        <v>53</v>
      </c>
      <c r="L240" s="170"/>
    </row>
    <row r="241" spans="1:14">
      <c r="A241" s="169">
        <v>12</v>
      </c>
      <c r="B241" s="170"/>
      <c r="C241" s="514" t="s">
        <v>536</v>
      </c>
      <c r="D241" s="174" t="s">
        <v>1752</v>
      </c>
      <c r="E241" s="170"/>
      <c r="F241" s="170"/>
      <c r="G241" s="170" t="s">
        <v>1751</v>
      </c>
      <c r="H241" s="170"/>
      <c r="I241" s="170"/>
      <c r="J241" s="522" t="s">
        <v>320</v>
      </c>
      <c r="K241" s="183">
        <v>143</v>
      </c>
      <c r="L241" s="170"/>
    </row>
    <row r="242" spans="1:14">
      <c r="A242" s="169">
        <v>13</v>
      </c>
      <c r="B242" s="393"/>
      <c r="C242" s="505" t="s">
        <v>1753</v>
      </c>
      <c r="D242" s="120"/>
      <c r="E242" s="397"/>
      <c r="F242" s="126"/>
      <c r="G242" s="397"/>
      <c r="H242" s="399"/>
      <c r="I242" s="399"/>
      <c r="J242" s="522" t="s">
        <v>231</v>
      </c>
      <c r="K242" s="133">
        <v>1100</v>
      </c>
      <c r="L242" s="178" t="s">
        <v>1609</v>
      </c>
      <c r="M242" s="136"/>
      <c r="N242" s="136"/>
    </row>
    <row r="243" spans="1:14" ht="32.25" customHeight="1">
      <c r="A243" s="965" t="s">
        <v>1754</v>
      </c>
      <c r="B243" s="966"/>
      <c r="C243" s="966"/>
      <c r="D243" s="966"/>
      <c r="E243" s="966"/>
      <c r="F243" s="966"/>
      <c r="G243" s="966"/>
      <c r="H243" s="966"/>
      <c r="I243" s="966"/>
      <c r="J243" s="966"/>
      <c r="K243" s="966"/>
      <c r="L243" s="966"/>
    </row>
  </sheetData>
  <protectedRanges>
    <protectedRange sqref="C70" name="区域4" securityDescriptor=""/>
  </protectedRanges>
  <autoFilter ref="A4:IM71"/>
  <mergeCells count="58">
    <mergeCell ref="B184:C184"/>
    <mergeCell ref="H38:H39"/>
    <mergeCell ref="L130:L131"/>
    <mergeCell ref="E7:E8"/>
    <mergeCell ref="E123:E124"/>
    <mergeCell ref="E125:E126"/>
    <mergeCell ref="E127:E128"/>
    <mergeCell ref="G7:G8"/>
    <mergeCell ref="G21:G22"/>
    <mergeCell ref="G51:G54"/>
    <mergeCell ref="G55:G57"/>
    <mergeCell ref="G58:G61"/>
    <mergeCell ref="G62:G63"/>
    <mergeCell ref="G123:G124"/>
    <mergeCell ref="G125:G126"/>
    <mergeCell ref="G127:G128"/>
    <mergeCell ref="A243:L243"/>
    <mergeCell ref="A22:A23"/>
    <mergeCell ref="A51:A54"/>
    <mergeCell ref="A58:A61"/>
    <mergeCell ref="A62:A63"/>
    <mergeCell ref="A201:A203"/>
    <mergeCell ref="A204:A205"/>
    <mergeCell ref="B38:B39"/>
    <mergeCell ref="B51:B54"/>
    <mergeCell ref="B58:B61"/>
    <mergeCell ref="B62:B63"/>
    <mergeCell ref="B123:B124"/>
    <mergeCell ref="B125:B126"/>
    <mergeCell ref="B127:B128"/>
    <mergeCell ref="B201:B203"/>
    <mergeCell ref="B204:B205"/>
    <mergeCell ref="B224:C224"/>
    <mergeCell ref="B226:C226"/>
    <mergeCell ref="B229:L229"/>
    <mergeCell ref="B220:B221"/>
    <mergeCell ref="B222:B223"/>
    <mergeCell ref="C204:C205"/>
    <mergeCell ref="G220:G221"/>
    <mergeCell ref="G222:G223"/>
    <mergeCell ref="B6:C6"/>
    <mergeCell ref="B20:C20"/>
    <mergeCell ref="B24:C24"/>
    <mergeCell ref="B37:C37"/>
    <mergeCell ref="B50:C50"/>
    <mergeCell ref="B7:B8"/>
    <mergeCell ref="C7:C8"/>
    <mergeCell ref="C51:C54"/>
    <mergeCell ref="C58:C61"/>
    <mergeCell ref="C62:C63"/>
    <mergeCell ref="C161:C162"/>
    <mergeCell ref="C201:C203"/>
    <mergeCell ref="B183:C183"/>
    <mergeCell ref="A1:C1"/>
    <mergeCell ref="A2:L2"/>
    <mergeCell ref="A3:C3"/>
    <mergeCell ref="J3:L3"/>
    <mergeCell ref="B5:C5"/>
  </mergeCells>
  <phoneticPr fontId="7" type="noConversion"/>
  <conditionalFormatting sqref="I438:I439">
    <cfRule type="expression" dxfId="0" priority="1" stopIfTrue="1">
      <formula>AND(COUNTIF($A$1:$A$65,I438)+COUNTIF($A$244:$A$65528,I438)&gt;1,NOT(ISBLANK(I438)))</formula>
    </cfRule>
  </conditionalFormatting>
  <printOptions horizontalCentered="1"/>
  <pageMargins left="0.39370078740157483" right="0.19685039370078741" top="0.39370078740157483" bottom="0.39370078740157483" header="0.19685039370078741" footer="0.19685039370078741"/>
  <pageSetup paperSize="9" scale="67" fitToHeight="0" orientation="portrait" blackAndWhite="1" r:id="rId1"/>
  <headerFooter alignWithMargins="0">
    <oddFooter>&amp;C第 &amp;P 页，共 &amp;N 页</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W57"/>
  <sheetViews>
    <sheetView workbookViewId="0">
      <pane xSplit="5" ySplit="7" topLeftCell="F47" activePane="bottomRight" state="frozen"/>
      <selection pane="topRight"/>
      <selection pane="bottomLeft"/>
      <selection pane="bottomRight" activeCell="F61" sqref="F61"/>
    </sheetView>
  </sheetViews>
  <sheetFormatPr defaultColWidth="9.125" defaultRowHeight="14.25"/>
  <cols>
    <col min="1" max="1" width="6.875" customWidth="1"/>
    <col min="2" max="2" width="11.75" customWidth="1"/>
    <col min="3" max="3" width="28" customWidth="1"/>
    <col min="4" max="4" width="9.25" customWidth="1"/>
    <col min="5" max="5" width="11.75" customWidth="1"/>
    <col min="6" max="11" width="9.25" customWidth="1"/>
    <col min="12" max="12" width="10.25" customWidth="1"/>
    <col min="13" max="18" width="9.25" customWidth="1"/>
    <col min="19" max="19" width="9.75" customWidth="1"/>
    <col min="20" max="21" width="9.25" customWidth="1"/>
    <col min="22" max="22" width="9.375" customWidth="1"/>
  </cols>
  <sheetData>
    <row r="1" spans="1:23" ht="21" customHeight="1">
      <c r="A1" s="3"/>
      <c r="C1" s="1" t="s">
        <v>1755</v>
      </c>
      <c r="E1" s="4"/>
      <c r="F1" s="4"/>
      <c r="G1" s="4"/>
      <c r="H1" s="4"/>
      <c r="I1" s="4"/>
      <c r="J1" s="4"/>
      <c r="K1" s="4"/>
      <c r="L1" s="4"/>
      <c r="M1" s="4"/>
      <c r="N1" s="4"/>
      <c r="O1" s="4"/>
      <c r="P1" s="4"/>
      <c r="Q1" s="4"/>
      <c r="R1" s="4"/>
      <c r="S1" s="4"/>
    </row>
    <row r="2" spans="1:23" ht="21" customHeight="1">
      <c r="A2" s="5" t="s">
        <v>1756</v>
      </c>
      <c r="B2" s="6" t="s">
        <v>1757</v>
      </c>
      <c r="C2" s="7"/>
      <c r="D2" s="8" t="s">
        <v>1758</v>
      </c>
      <c r="E2" s="6" t="s">
        <v>1759</v>
      </c>
      <c r="F2" s="9"/>
      <c r="G2" s="8" t="s">
        <v>1760</v>
      </c>
      <c r="H2" s="6"/>
      <c r="I2" s="9" t="s">
        <v>1761</v>
      </c>
      <c r="J2" s="9"/>
      <c r="K2" s="9"/>
      <c r="L2" s="9"/>
      <c r="M2" s="9"/>
      <c r="N2" s="9"/>
      <c r="O2" s="9"/>
      <c r="P2" s="9"/>
      <c r="Q2" s="9"/>
      <c r="R2" s="9"/>
      <c r="S2" s="9"/>
    </row>
    <row r="3" spans="1:23" ht="21" customHeight="1">
      <c r="A3" s="10" t="s">
        <v>120</v>
      </c>
      <c r="B3" s="11" t="s">
        <v>1762</v>
      </c>
      <c r="C3" s="7"/>
      <c r="D3" s="7"/>
      <c r="F3" s="9"/>
      <c r="G3" s="12" t="s">
        <v>1763</v>
      </c>
      <c r="H3" s="11"/>
      <c r="I3" s="9" t="s">
        <v>1764</v>
      </c>
      <c r="J3" s="9">
        <v>0</v>
      </c>
      <c r="K3" s="9" t="s">
        <v>1765</v>
      </c>
      <c r="L3" s="9">
        <v>0</v>
      </c>
      <c r="M3" s="9"/>
      <c r="N3" s="9"/>
      <c r="O3" s="9"/>
      <c r="P3" s="9"/>
      <c r="Q3" s="9"/>
      <c r="R3" s="9"/>
      <c r="S3" s="9"/>
    </row>
    <row r="4" spans="1:23" ht="35.25" customHeight="1">
      <c r="A4" s="991" t="s">
        <v>54</v>
      </c>
      <c r="B4" s="987" t="s">
        <v>1766</v>
      </c>
      <c r="C4" s="987" t="s">
        <v>1767</v>
      </c>
      <c r="D4" s="13" t="s">
        <v>1768</v>
      </c>
      <c r="E4" s="13" t="s">
        <v>1769</v>
      </c>
      <c r="F4" s="987" t="s">
        <v>1770</v>
      </c>
      <c r="G4" s="987" t="s">
        <v>1771</v>
      </c>
      <c r="H4" s="987"/>
      <c r="I4" s="987"/>
      <c r="J4" s="987"/>
      <c r="K4" s="987"/>
      <c r="L4" s="78" t="s">
        <v>1772</v>
      </c>
      <c r="M4" s="987" t="s">
        <v>1773</v>
      </c>
      <c r="N4" s="987"/>
      <c r="O4" s="987" t="s">
        <v>1774</v>
      </c>
      <c r="P4" s="987"/>
      <c r="Q4" s="987" t="s">
        <v>1775</v>
      </c>
      <c r="R4" s="987" t="s">
        <v>1776</v>
      </c>
      <c r="S4" s="987" t="s">
        <v>1777</v>
      </c>
      <c r="T4" s="987" t="s">
        <v>1778</v>
      </c>
      <c r="U4" s="987" t="s">
        <v>1574</v>
      </c>
      <c r="V4" s="987"/>
      <c r="W4" s="1000" t="s">
        <v>1779</v>
      </c>
    </row>
    <row r="5" spans="1:23" ht="24" customHeight="1">
      <c r="A5" s="992"/>
      <c r="B5" s="988"/>
      <c r="C5" s="988"/>
      <c r="D5" s="988" t="s">
        <v>1780</v>
      </c>
      <c r="E5" s="988"/>
      <c r="F5" s="988"/>
      <c r="G5" s="14" t="s">
        <v>1781</v>
      </c>
      <c r="H5" s="14" t="s">
        <v>1482</v>
      </c>
      <c r="I5" s="14" t="s">
        <v>1782</v>
      </c>
      <c r="J5" s="14" t="s">
        <v>1783</v>
      </c>
      <c r="K5" s="14" t="s">
        <v>1418</v>
      </c>
      <c r="L5" s="14" t="s">
        <v>1784</v>
      </c>
      <c r="M5" s="988"/>
      <c r="N5" s="988"/>
      <c r="O5" s="988"/>
      <c r="P5" s="988"/>
      <c r="Q5" s="988"/>
      <c r="R5" s="988"/>
      <c r="S5" s="988"/>
      <c r="T5" s="988"/>
      <c r="U5" s="988"/>
      <c r="V5" s="988"/>
      <c r="W5" s="1001"/>
    </row>
    <row r="6" spans="1:23" ht="27" customHeight="1">
      <c r="A6" s="992"/>
      <c r="B6" s="988"/>
      <c r="C6" s="988"/>
      <c r="D6" s="14"/>
      <c r="E6" s="15"/>
      <c r="F6" s="988"/>
      <c r="G6" s="16">
        <v>0.94</v>
      </c>
      <c r="H6" s="16">
        <v>0.79</v>
      </c>
      <c r="I6" s="16">
        <v>0.9</v>
      </c>
      <c r="J6" s="16">
        <v>1.65</v>
      </c>
      <c r="K6" s="16">
        <v>1.1599999999999999</v>
      </c>
      <c r="L6" s="79"/>
      <c r="M6" s="14" t="s">
        <v>1785</v>
      </c>
      <c r="N6" s="15" t="s">
        <v>1786</v>
      </c>
      <c r="O6" s="14" t="s">
        <v>1785</v>
      </c>
      <c r="P6" s="15" t="s">
        <v>1786</v>
      </c>
      <c r="Q6" s="988"/>
      <c r="R6" s="988"/>
      <c r="S6" s="988"/>
      <c r="T6" s="988"/>
      <c r="U6" s="14" t="s">
        <v>1787</v>
      </c>
      <c r="V6" s="14" t="s">
        <v>1788</v>
      </c>
      <c r="W6" s="1001"/>
    </row>
    <row r="7" spans="1:23" ht="24.75" customHeight="1">
      <c r="A7" s="993"/>
      <c r="B7" s="989"/>
      <c r="C7" s="989"/>
      <c r="D7" s="17" t="s">
        <v>235</v>
      </c>
      <c r="E7" s="17" t="s">
        <v>1092</v>
      </c>
      <c r="F7" s="989"/>
      <c r="G7" s="18">
        <f>0.94*2.18</f>
        <v>2.0491999999999999</v>
      </c>
      <c r="H7" s="18">
        <f>0.79*2.17</f>
        <v>1.7142999999999999</v>
      </c>
      <c r="I7" s="18">
        <f>0.9*2.19</f>
        <v>1.9710000000000001</v>
      </c>
      <c r="J7" s="18">
        <f>1.65*2.14</f>
        <v>3.5310000000000001</v>
      </c>
      <c r="K7" s="18">
        <f>1.16*2.18</f>
        <v>2.5287999999999999</v>
      </c>
      <c r="L7" s="18">
        <v>2.27</v>
      </c>
      <c r="M7" s="80"/>
      <c r="N7" s="80"/>
      <c r="O7" s="80"/>
      <c r="P7" s="80"/>
      <c r="Q7" s="995"/>
      <c r="R7" s="989"/>
      <c r="S7" s="989"/>
      <c r="T7" s="989"/>
      <c r="U7" s="80" t="s">
        <v>1789</v>
      </c>
      <c r="V7" s="80" t="s">
        <v>1790</v>
      </c>
      <c r="W7" s="1002"/>
    </row>
    <row r="8" spans="1:23" ht="24.75" customHeight="1">
      <c r="A8" s="19" t="s">
        <v>58</v>
      </c>
      <c r="B8" s="20"/>
      <c r="C8" s="21" t="s">
        <v>1406</v>
      </c>
      <c r="D8" s="20"/>
      <c r="E8" s="20"/>
      <c r="F8" s="20"/>
      <c r="G8" s="22"/>
      <c r="H8" s="22"/>
      <c r="I8" s="22"/>
      <c r="J8" s="22"/>
      <c r="K8" s="22"/>
      <c r="L8" s="22"/>
      <c r="M8" s="22"/>
      <c r="N8" s="22"/>
      <c r="O8" s="22"/>
      <c r="P8" s="22"/>
      <c r="Q8" s="22"/>
      <c r="R8" s="20"/>
      <c r="S8" s="20"/>
      <c r="T8" s="20"/>
      <c r="U8" s="22"/>
      <c r="V8" s="22"/>
      <c r="W8" s="85"/>
    </row>
    <row r="9" spans="1:23" ht="24.75" customHeight="1">
      <c r="A9" s="23">
        <v>1</v>
      </c>
      <c r="B9" s="24"/>
      <c r="C9" s="25" t="s">
        <v>237</v>
      </c>
      <c r="D9" s="26"/>
      <c r="E9" s="27"/>
      <c r="F9" s="28"/>
      <c r="G9" s="29"/>
      <c r="H9" s="29"/>
      <c r="I9" s="29"/>
      <c r="J9" s="29"/>
      <c r="K9" s="29"/>
      <c r="L9" s="29"/>
      <c r="M9" s="29"/>
      <c r="N9" s="29"/>
      <c r="O9" s="29"/>
      <c r="P9" s="29"/>
      <c r="Q9" s="29"/>
      <c r="R9" s="28"/>
      <c r="S9" s="28"/>
      <c r="T9" s="28"/>
      <c r="U9" s="29"/>
      <c r="V9" s="29"/>
      <c r="W9" s="86"/>
    </row>
    <row r="10" spans="1:23" ht="24.75" customHeight="1">
      <c r="A10" s="23">
        <v>2</v>
      </c>
      <c r="B10" s="24"/>
      <c r="C10" s="25" t="s">
        <v>241</v>
      </c>
      <c r="D10" s="26"/>
      <c r="E10" s="27"/>
      <c r="F10" s="28"/>
      <c r="G10" s="29"/>
      <c r="H10" s="29"/>
      <c r="I10" s="29"/>
      <c r="J10" s="29"/>
      <c r="K10" s="29"/>
      <c r="L10" s="29"/>
      <c r="M10" s="29"/>
      <c r="N10" s="29"/>
      <c r="O10" s="29"/>
      <c r="P10" s="29"/>
      <c r="Q10" s="29"/>
      <c r="R10" s="28"/>
      <c r="S10" s="28"/>
      <c r="T10" s="28"/>
      <c r="U10" s="29"/>
      <c r="V10" s="29"/>
      <c r="W10" s="86"/>
    </row>
    <row r="11" spans="1:23" ht="24.75" customHeight="1">
      <c r="A11" s="23">
        <v>3</v>
      </c>
      <c r="B11" s="15"/>
      <c r="C11" s="15" t="s">
        <v>1791</v>
      </c>
      <c r="D11" s="26"/>
      <c r="E11" s="30"/>
      <c r="F11" s="29"/>
      <c r="G11" s="29"/>
      <c r="H11" s="29"/>
      <c r="I11" s="29"/>
      <c r="J11" s="29"/>
      <c r="K11" s="29"/>
      <c r="L11" s="29"/>
      <c r="M11" s="29"/>
      <c r="N11" s="29"/>
      <c r="O11" s="29"/>
      <c r="P11" s="29"/>
      <c r="Q11" s="29"/>
      <c r="R11" s="29"/>
      <c r="S11" s="15"/>
      <c r="T11" s="29"/>
      <c r="U11" s="29"/>
      <c r="V11" s="29"/>
      <c r="W11" s="87"/>
    </row>
    <row r="12" spans="1:23" ht="15.75" customHeight="1">
      <c r="A12" s="23">
        <v>4</v>
      </c>
      <c r="B12" s="15"/>
      <c r="C12" s="15" t="s">
        <v>1792</v>
      </c>
      <c r="D12" s="30"/>
      <c r="E12" s="30"/>
      <c r="F12" s="15"/>
      <c r="G12" s="29"/>
      <c r="H12" s="29"/>
      <c r="I12" s="29"/>
      <c r="J12" s="29"/>
      <c r="K12" s="29"/>
      <c r="L12" s="29"/>
      <c r="M12" s="29"/>
      <c r="N12" s="29"/>
      <c r="O12" s="29"/>
      <c r="P12" s="29"/>
      <c r="Q12" s="29"/>
      <c r="R12" s="29"/>
      <c r="S12" s="32">
        <f>D12*F12</f>
        <v>0</v>
      </c>
      <c r="T12" s="29"/>
      <c r="U12" s="29"/>
      <c r="V12" s="29"/>
      <c r="W12" s="87"/>
    </row>
    <row r="13" spans="1:23" ht="15.75" customHeight="1">
      <c r="A13" s="23">
        <v>5</v>
      </c>
      <c r="B13" s="15"/>
      <c r="C13" s="15" t="s">
        <v>1793</v>
      </c>
      <c r="D13" s="30"/>
      <c r="E13" s="31"/>
      <c r="F13" s="29"/>
      <c r="G13" s="29"/>
      <c r="H13" s="29"/>
      <c r="I13" s="29"/>
      <c r="J13" s="29"/>
      <c r="K13" s="29"/>
      <c r="L13" s="29"/>
      <c r="M13" s="29"/>
      <c r="N13" s="29"/>
      <c r="O13" s="29"/>
      <c r="P13" s="29"/>
      <c r="Q13" s="29"/>
      <c r="R13" s="29"/>
      <c r="S13" s="43"/>
      <c r="T13" s="29"/>
      <c r="U13" s="29"/>
      <c r="V13" s="29"/>
      <c r="W13" s="87"/>
    </row>
    <row r="14" spans="1:23" ht="15.75" customHeight="1">
      <c r="A14" s="23">
        <v>6</v>
      </c>
      <c r="B14" s="15"/>
      <c r="C14" s="15" t="s">
        <v>1794</v>
      </c>
      <c r="D14" s="30"/>
      <c r="E14" s="30"/>
      <c r="F14" s="15"/>
      <c r="G14" s="29"/>
      <c r="H14" s="29"/>
      <c r="I14" s="29"/>
      <c r="J14" s="29"/>
      <c r="K14" s="29"/>
      <c r="L14" s="29"/>
      <c r="M14" s="29"/>
      <c r="N14" s="29"/>
      <c r="O14" s="29"/>
      <c r="P14" s="29"/>
      <c r="Q14" s="29"/>
      <c r="R14" s="29"/>
      <c r="S14" s="32">
        <f>D14*F14</f>
        <v>0</v>
      </c>
      <c r="T14" s="29"/>
      <c r="U14" s="29"/>
      <c r="V14" s="29"/>
      <c r="W14" s="87"/>
    </row>
    <row r="15" spans="1:23" ht="15.75" customHeight="1">
      <c r="A15" s="23">
        <v>7</v>
      </c>
      <c r="B15" s="15"/>
      <c r="C15" s="15" t="s">
        <v>1795</v>
      </c>
      <c r="D15" s="30"/>
      <c r="E15" s="30"/>
      <c r="F15" s="32">
        <f>D15*E15</f>
        <v>0</v>
      </c>
      <c r="G15" s="29"/>
      <c r="H15" s="29"/>
      <c r="I15" s="29"/>
      <c r="J15" s="29"/>
      <c r="K15" s="29"/>
      <c r="L15" s="29"/>
      <c r="M15" s="29"/>
      <c r="N15" s="29"/>
      <c r="O15" s="29"/>
      <c r="P15" s="29"/>
      <c r="Q15" s="29"/>
      <c r="R15" s="29"/>
      <c r="S15" s="43"/>
      <c r="T15" s="29"/>
      <c r="U15" s="29"/>
      <c r="V15" s="29"/>
      <c r="W15" s="87"/>
    </row>
    <row r="16" spans="1:23" ht="15.75" customHeight="1">
      <c r="A16" s="23">
        <v>8</v>
      </c>
      <c r="B16" s="15"/>
      <c r="C16" s="15" t="s">
        <v>1796</v>
      </c>
      <c r="D16" s="30"/>
      <c r="E16" s="33"/>
      <c r="F16" s="30"/>
      <c r="G16" s="29"/>
      <c r="H16" s="29"/>
      <c r="I16" s="29"/>
      <c r="J16" s="29"/>
      <c r="K16" s="29"/>
      <c r="L16" s="29"/>
      <c r="M16" s="29"/>
      <c r="N16" s="29"/>
      <c r="O16" s="29"/>
      <c r="P16" s="29"/>
      <c r="Q16" s="29"/>
      <c r="R16" s="29"/>
      <c r="S16" s="32">
        <f>(D16-0.2)*(F16-0.1)</f>
        <v>2.0000000000000004E-2</v>
      </c>
      <c r="T16" s="29"/>
      <c r="U16" s="29"/>
      <c r="V16" s="29"/>
      <c r="W16" s="87"/>
    </row>
    <row r="17" spans="1:23" ht="15.75" customHeight="1">
      <c r="A17" s="23">
        <v>9</v>
      </c>
      <c r="B17" s="15"/>
      <c r="C17" s="15" t="s">
        <v>1797</v>
      </c>
      <c r="D17" s="32">
        <f>D11-D12-D14-D16</f>
        <v>0</v>
      </c>
      <c r="E17" s="29"/>
      <c r="F17" s="15">
        <v>2.73</v>
      </c>
      <c r="G17" s="15">
        <v>3</v>
      </c>
      <c r="H17" s="15">
        <v>1</v>
      </c>
      <c r="I17" s="15">
        <v>1</v>
      </c>
      <c r="J17" s="15">
        <v>0</v>
      </c>
      <c r="K17" s="15">
        <v>1</v>
      </c>
      <c r="L17" s="30"/>
      <c r="M17" s="30"/>
      <c r="N17" s="30"/>
      <c r="O17" s="30"/>
      <c r="P17" s="30"/>
      <c r="Q17" s="30"/>
      <c r="R17" s="15"/>
      <c r="S17" s="32">
        <f>D17*F17-(G17*$G$7+H17*$H$7+I17*$I$7+J17*$J$7+K17*$K$7+L17*$L$7)-M17*N17-P17*O17+Q17+R17</f>
        <v>-12.361699999999999</v>
      </c>
      <c r="T17" s="29"/>
      <c r="U17" s="29"/>
      <c r="V17" s="29"/>
      <c r="W17" s="87"/>
    </row>
    <row r="18" spans="1:23" ht="15.75" customHeight="1">
      <c r="A18" s="23">
        <v>10</v>
      </c>
      <c r="B18" s="34"/>
      <c r="C18" s="34" t="s">
        <v>1798</v>
      </c>
      <c r="D18" s="34"/>
      <c r="E18" s="35">
        <f>E11</f>
        <v>0</v>
      </c>
      <c r="F18" s="36"/>
      <c r="G18" s="36"/>
      <c r="H18" s="36"/>
      <c r="I18" s="36"/>
      <c r="J18" s="36"/>
      <c r="K18" s="36"/>
      <c r="L18" s="36"/>
      <c r="M18" s="36"/>
      <c r="N18" s="36"/>
      <c r="O18" s="36"/>
      <c r="P18" s="36"/>
      <c r="Q18" s="36"/>
      <c r="R18" s="36"/>
      <c r="S18" s="35">
        <f>S12+S14+S17</f>
        <v>-12.361699999999999</v>
      </c>
      <c r="T18" s="35">
        <f>D11-($G$6*G17+$H$6*H17+$I$6*I17+$J$6*J17+$K$6*K17+L17)</f>
        <v>-5.67</v>
      </c>
      <c r="U18" s="35">
        <f>O17*0.12</f>
        <v>0</v>
      </c>
      <c r="V18" s="35">
        <f>O17*0.7</f>
        <v>0</v>
      </c>
      <c r="W18" s="88">
        <v>0</v>
      </c>
    </row>
    <row r="19" spans="1:23" ht="24.75" customHeight="1">
      <c r="A19" s="37" t="s">
        <v>60</v>
      </c>
      <c r="B19" s="38"/>
      <c r="C19" s="39" t="s">
        <v>1799</v>
      </c>
      <c r="D19" s="38"/>
      <c r="E19" s="38"/>
      <c r="F19" s="38"/>
      <c r="G19" s="40"/>
      <c r="H19" s="40"/>
      <c r="I19" s="40"/>
      <c r="J19" s="40"/>
      <c r="K19" s="40"/>
      <c r="L19" s="40"/>
      <c r="M19" s="40"/>
      <c r="N19" s="40"/>
      <c r="O19" s="40"/>
      <c r="P19" s="40"/>
      <c r="Q19" s="40"/>
      <c r="R19" s="38"/>
      <c r="S19" s="38"/>
      <c r="T19" s="38"/>
      <c r="U19" s="40"/>
      <c r="V19" s="40"/>
      <c r="W19" s="89"/>
    </row>
    <row r="20" spans="1:23" ht="15.75" customHeight="1">
      <c r="A20" s="41">
        <v>1</v>
      </c>
      <c r="B20" s="15" t="s">
        <v>1374</v>
      </c>
      <c r="C20" s="15" t="s">
        <v>1800</v>
      </c>
      <c r="D20" s="30"/>
      <c r="E20" s="30"/>
      <c r="F20" s="15"/>
      <c r="G20" s="29"/>
      <c r="H20" s="29"/>
      <c r="I20" s="29"/>
      <c r="J20" s="29"/>
      <c r="K20" s="29"/>
      <c r="L20" s="29"/>
      <c r="M20" s="29"/>
      <c r="N20" s="29"/>
      <c r="O20" s="29"/>
      <c r="P20" s="29"/>
      <c r="Q20" s="29"/>
      <c r="R20" s="29"/>
      <c r="S20" s="29"/>
      <c r="T20" s="29"/>
      <c r="U20" s="29"/>
      <c r="V20" s="29"/>
      <c r="W20" s="90"/>
    </row>
    <row r="21" spans="1:23" ht="15.75" customHeight="1">
      <c r="A21" s="41">
        <v>2</v>
      </c>
      <c r="B21" s="15"/>
      <c r="C21" s="15" t="s">
        <v>1794</v>
      </c>
      <c r="D21" s="30"/>
      <c r="E21" s="30"/>
      <c r="F21" s="15">
        <v>2.33</v>
      </c>
      <c r="G21" s="29"/>
      <c r="H21" s="29"/>
      <c r="I21" s="29"/>
      <c r="J21" s="29"/>
      <c r="K21" s="29"/>
      <c r="L21" s="29"/>
      <c r="M21" s="29"/>
      <c r="N21" s="29"/>
      <c r="O21" s="29"/>
      <c r="P21" s="29"/>
      <c r="Q21" s="29"/>
      <c r="R21" s="29"/>
      <c r="S21" s="16">
        <f>D21*F21</f>
        <v>0</v>
      </c>
      <c r="T21" s="29"/>
      <c r="U21" s="29"/>
      <c r="V21" s="29"/>
      <c r="W21" s="87"/>
    </row>
    <row r="22" spans="1:23" ht="15.75" customHeight="1">
      <c r="A22" s="41">
        <v>3</v>
      </c>
      <c r="B22" s="15"/>
      <c r="C22" s="15" t="s">
        <v>1801</v>
      </c>
      <c r="D22" s="32">
        <f>D20-D21</f>
        <v>0</v>
      </c>
      <c r="E22" s="32">
        <f>E20-E21</f>
        <v>0</v>
      </c>
      <c r="F22" s="15">
        <v>2.73</v>
      </c>
      <c r="G22" s="30"/>
      <c r="H22" s="15"/>
      <c r="I22" s="29"/>
      <c r="J22" s="29"/>
      <c r="K22" s="29"/>
      <c r="L22" s="29"/>
      <c r="M22" s="30"/>
      <c r="N22" s="30"/>
      <c r="O22" s="30"/>
      <c r="P22" s="30"/>
      <c r="Q22" s="30"/>
      <c r="R22" s="30"/>
      <c r="S22" s="16">
        <f>D22*F22-(G22*$G$7+H22*$H$7+I22*$I$7+J22*$J$7+K22*$K$7+L22*$L$7)-M22*N22-O22*P22+Q22+R22</f>
        <v>0</v>
      </c>
      <c r="T22" s="29"/>
      <c r="U22" s="29"/>
      <c r="V22" s="29"/>
      <c r="W22" s="87"/>
    </row>
    <row r="23" spans="1:23" ht="15.75" customHeight="1">
      <c r="A23" s="41"/>
      <c r="B23" s="15"/>
      <c r="C23" s="15" t="s">
        <v>240</v>
      </c>
      <c r="D23" s="42"/>
      <c r="E23" s="43"/>
      <c r="F23" s="29"/>
      <c r="G23" s="29"/>
      <c r="H23" s="29"/>
      <c r="I23" s="29"/>
      <c r="J23" s="29"/>
      <c r="K23" s="29"/>
      <c r="L23" s="29"/>
      <c r="M23" s="29"/>
      <c r="N23" s="29"/>
      <c r="O23" s="29"/>
      <c r="P23" s="29"/>
      <c r="Q23" s="29"/>
      <c r="R23" s="29"/>
      <c r="S23" s="91"/>
      <c r="T23" s="29"/>
      <c r="U23" s="29"/>
      <c r="V23" s="29"/>
      <c r="W23" s="87"/>
    </row>
    <row r="24" spans="1:23" ht="15.75" customHeight="1">
      <c r="A24" s="41"/>
      <c r="B24" s="15"/>
      <c r="C24" s="44" t="s">
        <v>285</v>
      </c>
      <c r="D24" s="42"/>
      <c r="E24" s="43"/>
      <c r="F24" s="29"/>
      <c r="G24" s="29"/>
      <c r="H24" s="29"/>
      <c r="I24" s="29"/>
      <c r="J24" s="29"/>
      <c r="K24" s="29"/>
      <c r="L24" s="29"/>
      <c r="M24" s="29"/>
      <c r="N24" s="29"/>
      <c r="O24" s="29"/>
      <c r="P24" s="29"/>
      <c r="Q24" s="29"/>
      <c r="R24" s="29"/>
      <c r="S24" s="91"/>
      <c r="T24" s="29"/>
      <c r="U24" s="29"/>
      <c r="V24" s="29"/>
      <c r="W24" s="87"/>
    </row>
    <row r="25" spans="1:23" ht="15.75" customHeight="1">
      <c r="A25" s="45">
        <v>4</v>
      </c>
      <c r="B25" s="34" t="s">
        <v>133</v>
      </c>
      <c r="C25" s="34" t="s">
        <v>1802</v>
      </c>
      <c r="D25" s="34"/>
      <c r="E25" s="34">
        <f>E20</f>
        <v>0</v>
      </c>
      <c r="F25" s="36"/>
      <c r="G25" s="36"/>
      <c r="H25" s="36"/>
      <c r="I25" s="36"/>
      <c r="J25" s="36"/>
      <c r="K25" s="36"/>
      <c r="L25" s="36"/>
      <c r="M25" s="36"/>
      <c r="N25" s="36"/>
      <c r="O25" s="36"/>
      <c r="P25" s="36"/>
      <c r="Q25" s="36"/>
      <c r="R25" s="36"/>
      <c r="S25" s="35">
        <f>SUM(S21:S22)</f>
        <v>0</v>
      </c>
      <c r="T25" s="35">
        <f>D20-($G$6*G22+$H$6*H22)</f>
        <v>0</v>
      </c>
      <c r="U25" s="35">
        <f>M22*0.12</f>
        <v>0</v>
      </c>
      <c r="V25" s="35">
        <f>O22*0.7</f>
        <v>0</v>
      </c>
      <c r="W25" s="88"/>
    </row>
    <row r="26" spans="1:23" ht="15.75" customHeight="1">
      <c r="A26" s="41">
        <v>5</v>
      </c>
      <c r="B26" s="15" t="s">
        <v>1803</v>
      </c>
      <c r="C26" s="15" t="s">
        <v>1804</v>
      </c>
      <c r="D26" s="30"/>
      <c r="E26" s="30"/>
      <c r="F26" s="15"/>
      <c r="G26" s="29"/>
      <c r="H26" s="29"/>
      <c r="I26" s="29"/>
      <c r="J26" s="29"/>
      <c r="K26" s="29"/>
      <c r="L26" s="29"/>
      <c r="M26" s="29"/>
      <c r="N26" s="29"/>
      <c r="O26" s="29"/>
      <c r="P26" s="29"/>
      <c r="Q26" s="29"/>
      <c r="R26" s="29"/>
      <c r="S26" s="29"/>
      <c r="T26" s="29"/>
      <c r="U26" s="29"/>
      <c r="V26" s="29"/>
      <c r="W26" s="90"/>
    </row>
    <row r="27" spans="1:23" ht="15.75" customHeight="1">
      <c r="A27" s="41">
        <v>6</v>
      </c>
      <c r="B27" s="15"/>
      <c r="C27" s="15" t="s">
        <v>1794</v>
      </c>
      <c r="D27" s="30"/>
      <c r="E27" s="30"/>
      <c r="F27" s="15">
        <v>2.33</v>
      </c>
      <c r="G27" s="29"/>
      <c r="H27" s="29"/>
      <c r="I27" s="29"/>
      <c r="J27" s="29"/>
      <c r="K27" s="29"/>
      <c r="L27" s="29"/>
      <c r="M27" s="29"/>
      <c r="N27" s="29"/>
      <c r="O27" s="29"/>
      <c r="P27" s="29"/>
      <c r="Q27" s="29"/>
      <c r="R27" s="29"/>
      <c r="S27" s="16">
        <f>D27*F27</f>
        <v>0</v>
      </c>
      <c r="T27" s="29"/>
      <c r="U27" s="29"/>
      <c r="V27" s="29"/>
      <c r="W27" s="87"/>
    </row>
    <row r="28" spans="1:23" ht="15.75" customHeight="1">
      <c r="A28" s="41">
        <v>7</v>
      </c>
      <c r="B28" s="15"/>
      <c r="C28" s="15" t="s">
        <v>1805</v>
      </c>
      <c r="D28" s="32">
        <f>D26-D27</f>
        <v>0</v>
      </c>
      <c r="E28" s="32">
        <f>E26-E27</f>
        <v>0</v>
      </c>
      <c r="F28" s="15">
        <v>2.73</v>
      </c>
      <c r="G28" s="30"/>
      <c r="H28" s="15"/>
      <c r="I28" s="29"/>
      <c r="J28" s="29"/>
      <c r="K28" s="29"/>
      <c r="L28" s="29"/>
      <c r="M28" s="30"/>
      <c r="N28" s="30"/>
      <c r="O28" s="30"/>
      <c r="P28" s="30"/>
      <c r="Q28" s="30"/>
      <c r="R28" s="30"/>
      <c r="S28" s="16">
        <f>D28*F28-(G28*$G$7+H28*$H$7+I28*$I$7+J28*$J$7+K28*$K$7+L28*$L$7)-M28*N28-O28*P28+Q28+R28</f>
        <v>0</v>
      </c>
      <c r="T28" s="29"/>
      <c r="U28" s="29"/>
      <c r="V28" s="29"/>
      <c r="W28" s="87"/>
    </row>
    <row r="29" spans="1:23" ht="15.75" customHeight="1">
      <c r="A29" s="41"/>
      <c r="B29" s="15"/>
      <c r="C29" s="44" t="s">
        <v>285</v>
      </c>
      <c r="D29" s="42"/>
      <c r="E29" s="43"/>
      <c r="F29" s="29"/>
      <c r="G29" s="29"/>
      <c r="H29" s="29"/>
      <c r="I29" s="29"/>
      <c r="J29" s="29"/>
      <c r="K29" s="29"/>
      <c r="L29" s="29"/>
      <c r="M29" s="29"/>
      <c r="N29" s="29"/>
      <c r="O29" s="29"/>
      <c r="P29" s="29"/>
      <c r="Q29" s="29"/>
      <c r="R29" s="29"/>
      <c r="S29" s="91"/>
      <c r="T29" s="29"/>
      <c r="U29" s="29"/>
      <c r="V29" s="29"/>
      <c r="W29" s="87"/>
    </row>
    <row r="30" spans="1:23" ht="15.75" customHeight="1">
      <c r="A30" s="46">
        <v>8</v>
      </c>
      <c r="B30" s="47" t="s">
        <v>246</v>
      </c>
      <c r="C30" s="34" t="s">
        <v>1806</v>
      </c>
      <c r="D30" s="34"/>
      <c r="E30" s="34">
        <f>E26</f>
        <v>0</v>
      </c>
      <c r="F30" s="36"/>
      <c r="G30" s="36"/>
      <c r="H30" s="36"/>
      <c r="I30" s="36"/>
      <c r="J30" s="36"/>
      <c r="K30" s="36"/>
      <c r="L30" s="36"/>
      <c r="M30" s="36"/>
      <c r="N30" s="36"/>
      <c r="O30" s="36"/>
      <c r="P30" s="36"/>
      <c r="Q30" s="36"/>
      <c r="R30" s="36"/>
      <c r="S30" s="35">
        <f>SUM(S27:S28)</f>
        <v>0</v>
      </c>
      <c r="T30" s="35">
        <f>D26-($G$6*G28+$H$6*H28)</f>
        <v>0</v>
      </c>
      <c r="U30" s="35">
        <f>M28*0.12</f>
        <v>0</v>
      </c>
      <c r="V30" s="35">
        <f>O28*0.7</f>
        <v>0</v>
      </c>
      <c r="W30" s="88">
        <v>0</v>
      </c>
    </row>
    <row r="31" spans="1:23" ht="15.75" customHeight="1">
      <c r="A31" s="41">
        <v>9</v>
      </c>
      <c r="B31" s="15" t="s">
        <v>1807</v>
      </c>
      <c r="C31" s="15" t="s">
        <v>1808</v>
      </c>
      <c r="D31" s="30"/>
      <c r="E31" s="30"/>
      <c r="F31" s="15"/>
      <c r="G31" s="29"/>
      <c r="H31" s="29"/>
      <c r="I31" s="29"/>
      <c r="J31" s="29"/>
      <c r="K31" s="29"/>
      <c r="L31" s="29"/>
      <c r="M31" s="29"/>
      <c r="N31" s="29"/>
      <c r="O31" s="29"/>
      <c r="P31" s="29"/>
      <c r="Q31" s="29"/>
      <c r="R31" s="29"/>
      <c r="S31" s="29"/>
      <c r="T31" s="29"/>
      <c r="U31" s="29"/>
      <c r="V31" s="29"/>
      <c r="W31" s="90"/>
    </row>
    <row r="32" spans="1:23" ht="15.75" customHeight="1">
      <c r="A32" s="41">
        <v>10</v>
      </c>
      <c r="B32" s="15"/>
      <c r="C32" s="15" t="s">
        <v>1794</v>
      </c>
      <c r="D32" s="30"/>
      <c r="E32" s="30"/>
      <c r="F32" s="15">
        <v>2.33</v>
      </c>
      <c r="G32" s="29"/>
      <c r="H32" s="29"/>
      <c r="I32" s="29"/>
      <c r="J32" s="29"/>
      <c r="K32" s="29"/>
      <c r="L32" s="29"/>
      <c r="M32" s="29"/>
      <c r="N32" s="29"/>
      <c r="O32" s="29"/>
      <c r="P32" s="29"/>
      <c r="Q32" s="29"/>
      <c r="R32" s="29"/>
      <c r="S32" s="16">
        <f>D32*F32</f>
        <v>0</v>
      </c>
      <c r="T32" s="29"/>
      <c r="U32" s="29"/>
      <c r="V32" s="29"/>
      <c r="W32" s="87"/>
    </row>
    <row r="33" spans="1:23" ht="15.75" customHeight="1">
      <c r="A33" s="41">
        <v>11</v>
      </c>
      <c r="B33" s="15"/>
      <c r="C33" s="15" t="s">
        <v>1809</v>
      </c>
      <c r="D33" s="32">
        <f>D31-D32</f>
        <v>0</v>
      </c>
      <c r="E33" s="32">
        <f>E31-E32</f>
        <v>0</v>
      </c>
      <c r="F33" s="15">
        <v>2.73</v>
      </c>
      <c r="G33" s="30"/>
      <c r="H33" s="15"/>
      <c r="I33" s="29"/>
      <c r="J33" s="29"/>
      <c r="K33" s="29"/>
      <c r="L33" s="29"/>
      <c r="M33" s="30"/>
      <c r="N33" s="30"/>
      <c r="O33" s="30"/>
      <c r="P33" s="30"/>
      <c r="Q33" s="30"/>
      <c r="R33" s="30"/>
      <c r="S33" s="16">
        <f>D33*F33-(G33*$G$7+H33*$H$7+I33*$I$7+J33*$J$7+K33*$K$7+L33*$L$7)-M33*N33-O33*P33+Q33+R33</f>
        <v>0</v>
      </c>
      <c r="T33" s="29"/>
      <c r="U33" s="29"/>
      <c r="V33" s="29"/>
      <c r="W33" s="87"/>
    </row>
    <row r="34" spans="1:23" ht="15.75" customHeight="1">
      <c r="A34" s="41"/>
      <c r="B34" s="15"/>
      <c r="C34" s="44" t="s">
        <v>285</v>
      </c>
      <c r="D34" s="42"/>
      <c r="E34" s="43"/>
      <c r="F34" s="29"/>
      <c r="G34" s="29"/>
      <c r="H34" s="29"/>
      <c r="I34" s="29"/>
      <c r="J34" s="29"/>
      <c r="K34" s="29"/>
      <c r="L34" s="29"/>
      <c r="M34" s="29"/>
      <c r="N34" s="29"/>
      <c r="O34" s="29"/>
      <c r="P34" s="29"/>
      <c r="Q34" s="29"/>
      <c r="R34" s="29"/>
      <c r="S34" s="91"/>
      <c r="T34" s="29"/>
      <c r="U34" s="29"/>
      <c r="V34" s="29"/>
      <c r="W34" s="87"/>
    </row>
    <row r="35" spans="1:23" ht="15.75" customHeight="1">
      <c r="A35" s="46">
        <v>12</v>
      </c>
      <c r="B35" s="47" t="s">
        <v>136</v>
      </c>
      <c r="C35" s="34" t="s">
        <v>1810</v>
      </c>
      <c r="D35" s="34"/>
      <c r="E35" s="34">
        <f>E31</f>
        <v>0</v>
      </c>
      <c r="F35" s="36"/>
      <c r="G35" s="36"/>
      <c r="H35" s="36"/>
      <c r="I35" s="36"/>
      <c r="J35" s="36"/>
      <c r="K35" s="36"/>
      <c r="L35" s="36"/>
      <c r="M35" s="36"/>
      <c r="N35" s="36"/>
      <c r="O35" s="36"/>
      <c r="P35" s="36"/>
      <c r="Q35" s="36"/>
      <c r="R35" s="36"/>
      <c r="S35" s="35">
        <f>SUM(S32:S33)</f>
        <v>0</v>
      </c>
      <c r="T35" s="35">
        <f>D31-($G$6*G33+$H$6*H33)</f>
        <v>0</v>
      </c>
      <c r="U35" s="35">
        <f>M33*0.12</f>
        <v>0</v>
      </c>
      <c r="V35" s="35">
        <f>O33*0.7</f>
        <v>0</v>
      </c>
      <c r="W35" s="88">
        <v>0</v>
      </c>
    </row>
    <row r="36" spans="1:23" ht="15.75" customHeight="1">
      <c r="A36" s="46">
        <v>13</v>
      </c>
      <c r="B36" s="47"/>
      <c r="C36" s="34" t="s">
        <v>1811</v>
      </c>
      <c r="D36" s="47"/>
      <c r="E36" s="35">
        <f>E25+E30+E35</f>
        <v>0</v>
      </c>
      <c r="F36" s="47"/>
      <c r="G36" s="47"/>
      <c r="H36" s="47"/>
      <c r="I36" s="47"/>
      <c r="J36" s="47"/>
      <c r="K36" s="47"/>
      <c r="L36" s="47"/>
      <c r="M36" s="47"/>
      <c r="N36" s="47"/>
      <c r="O36" s="47"/>
      <c r="P36" s="47"/>
      <c r="Q36" s="47"/>
      <c r="R36" s="47"/>
      <c r="S36" s="35">
        <f t="shared" ref="S36" si="0">S25+S30+S35</f>
        <v>0</v>
      </c>
      <c r="T36" s="35">
        <f>T25+T30+T35</f>
        <v>0</v>
      </c>
      <c r="U36" s="35">
        <f>U25+U30+U35</f>
        <v>0</v>
      </c>
      <c r="V36" s="35">
        <f>V25+V30+V35</f>
        <v>0</v>
      </c>
      <c r="W36" s="35">
        <f>W25+W30+W35</f>
        <v>0</v>
      </c>
    </row>
    <row r="37" spans="1:23" ht="24.75" customHeight="1">
      <c r="A37" s="37" t="s">
        <v>60</v>
      </c>
      <c r="B37" s="38"/>
      <c r="C37" s="39" t="s">
        <v>1812</v>
      </c>
      <c r="D37" s="38"/>
      <c r="E37" s="38"/>
      <c r="F37" s="38"/>
      <c r="G37" s="40"/>
      <c r="H37" s="40"/>
      <c r="I37" s="40"/>
      <c r="J37" s="40"/>
      <c r="K37" s="40"/>
      <c r="L37" s="40"/>
      <c r="M37" s="40"/>
      <c r="N37" s="40"/>
      <c r="O37" s="40"/>
      <c r="P37" s="40"/>
      <c r="Q37" s="40"/>
      <c r="R37" s="38"/>
      <c r="S37" s="38">
        <v>0</v>
      </c>
      <c r="T37" s="38"/>
      <c r="U37" s="40"/>
      <c r="V37" s="40"/>
      <c r="W37" s="89"/>
    </row>
    <row r="38" spans="1:23" ht="15.75" customHeight="1">
      <c r="A38" s="48">
        <v>7</v>
      </c>
      <c r="B38" s="49"/>
      <c r="C38" s="49" t="s">
        <v>634</v>
      </c>
      <c r="D38" s="32">
        <v>0</v>
      </c>
      <c r="E38" s="32">
        <v>0</v>
      </c>
      <c r="F38" s="49">
        <v>2.73</v>
      </c>
      <c r="G38" s="49">
        <v>1</v>
      </c>
      <c r="H38" s="49"/>
      <c r="I38" s="81"/>
      <c r="J38" s="81"/>
      <c r="K38" s="81"/>
      <c r="L38" s="81"/>
      <c r="M38" s="81"/>
      <c r="N38" s="81"/>
      <c r="O38" s="81"/>
      <c r="P38" s="81"/>
      <c r="Q38" s="81"/>
      <c r="R38" s="81"/>
      <c r="S38" s="32">
        <f>(D38*F38-G7*G38-H7*H38)*S37</f>
        <v>0</v>
      </c>
      <c r="T38" s="43">
        <f>(D38-G6)*S37</f>
        <v>0</v>
      </c>
      <c r="U38" s="81"/>
      <c r="V38" s="81"/>
      <c r="W38" s="92"/>
    </row>
    <row r="39" spans="1:23" ht="33.75" customHeight="1">
      <c r="A39" s="50"/>
      <c r="B39" s="51"/>
      <c r="C39" s="51"/>
      <c r="D39" s="51"/>
      <c r="E39" s="51"/>
      <c r="F39" s="51"/>
      <c r="G39" s="51"/>
      <c r="H39" s="51"/>
      <c r="I39" s="51"/>
      <c r="J39" s="51"/>
      <c r="K39" s="51"/>
      <c r="L39" s="51"/>
      <c r="M39" s="51"/>
      <c r="N39" s="51"/>
      <c r="O39" s="51"/>
      <c r="P39" s="51"/>
      <c r="Q39" s="51"/>
      <c r="R39" s="51"/>
      <c r="S39" s="51"/>
      <c r="T39" s="51"/>
      <c r="U39" s="51"/>
      <c r="V39" s="51"/>
    </row>
    <row r="40" spans="1:23" ht="22.5" customHeight="1">
      <c r="A40" s="994" t="s">
        <v>54</v>
      </c>
      <c r="B40" s="990" t="s">
        <v>1758</v>
      </c>
      <c r="C40" s="990" t="s">
        <v>1767</v>
      </c>
      <c r="D40" s="14" t="s">
        <v>1768</v>
      </c>
      <c r="E40" s="14" t="s">
        <v>1769</v>
      </c>
      <c r="F40" s="998" t="s">
        <v>1813</v>
      </c>
      <c r="G40" s="15" t="s">
        <v>1771</v>
      </c>
      <c r="H40" s="999" t="s">
        <v>1773</v>
      </c>
      <c r="I40" s="999"/>
      <c r="J40" s="999" t="s">
        <v>1774</v>
      </c>
      <c r="K40" s="999"/>
      <c r="L40" s="15" t="s">
        <v>315</v>
      </c>
      <c r="M40" s="15" t="s">
        <v>1814</v>
      </c>
      <c r="N40" s="82" t="s">
        <v>1815</v>
      </c>
      <c r="O40" s="15" t="s">
        <v>1816</v>
      </c>
      <c r="P40" s="15"/>
      <c r="Q40" s="988" t="s">
        <v>1817</v>
      </c>
      <c r="R40" s="988" t="s">
        <v>1818</v>
      </c>
      <c r="S40" s="988" t="s">
        <v>1819</v>
      </c>
      <c r="T40" s="988" t="s">
        <v>1820</v>
      </c>
      <c r="U40" s="52" t="s">
        <v>275</v>
      </c>
      <c r="V40" s="52" t="s">
        <v>335</v>
      </c>
      <c r="W40" s="52" t="s">
        <v>338</v>
      </c>
    </row>
    <row r="41" spans="1:23" ht="24" customHeight="1">
      <c r="A41" s="994"/>
      <c r="B41" s="990"/>
      <c r="C41" s="990"/>
      <c r="D41" s="988" t="s">
        <v>1780</v>
      </c>
      <c r="E41" s="988"/>
      <c r="F41" s="998"/>
      <c r="G41" s="14" t="s">
        <v>1482</v>
      </c>
      <c r="H41" s="15" t="s">
        <v>1821</v>
      </c>
      <c r="I41" s="15" t="s">
        <v>1822</v>
      </c>
      <c r="J41" s="15" t="s">
        <v>1821</v>
      </c>
      <c r="K41" s="15" t="s">
        <v>1822</v>
      </c>
      <c r="L41" s="15" t="s">
        <v>1823</v>
      </c>
      <c r="M41" s="15" t="s">
        <v>1823</v>
      </c>
      <c r="N41" s="15" t="s">
        <v>1823</v>
      </c>
      <c r="O41" s="15" t="s">
        <v>1824</v>
      </c>
      <c r="P41" s="15"/>
      <c r="Q41" s="988"/>
      <c r="R41" s="988"/>
      <c r="S41" s="988"/>
      <c r="T41" s="988"/>
      <c r="U41" s="15" t="s">
        <v>1823</v>
      </c>
      <c r="V41" s="93" t="s">
        <v>336</v>
      </c>
      <c r="W41" s="93" t="s">
        <v>231</v>
      </c>
    </row>
    <row r="42" spans="1:23" ht="24.75" customHeight="1">
      <c r="A42" s="994"/>
      <c r="B42" s="990"/>
      <c r="C42" s="990"/>
      <c r="D42" s="14" t="s">
        <v>235</v>
      </c>
      <c r="E42" s="14" t="s">
        <v>1092</v>
      </c>
      <c r="F42" s="998"/>
      <c r="G42" s="16"/>
      <c r="H42" s="15"/>
      <c r="I42" s="15"/>
      <c r="J42" s="15"/>
      <c r="K42" s="15"/>
      <c r="L42" s="15"/>
      <c r="M42" s="15"/>
      <c r="N42" s="15"/>
      <c r="O42" s="15"/>
      <c r="P42" s="15"/>
      <c r="Q42" s="988"/>
      <c r="R42" s="988"/>
      <c r="S42" s="988"/>
      <c r="T42" s="988"/>
      <c r="U42" s="15"/>
      <c r="V42" s="15"/>
      <c r="W42" s="94"/>
    </row>
    <row r="43" spans="1:23" ht="24" customHeight="1">
      <c r="A43" s="53" t="s">
        <v>62</v>
      </c>
      <c r="B43" s="54"/>
      <c r="C43" s="54" t="s">
        <v>299</v>
      </c>
      <c r="D43" s="54"/>
      <c r="E43" s="54"/>
      <c r="F43" s="54"/>
      <c r="G43" s="54"/>
      <c r="H43" s="54"/>
      <c r="I43" s="54"/>
      <c r="J43" s="54"/>
      <c r="K43" s="54"/>
      <c r="L43" s="54"/>
      <c r="M43" s="54"/>
      <c r="N43" s="54"/>
      <c r="O43" s="54"/>
      <c r="P43" s="54"/>
      <c r="Q43" s="54"/>
      <c r="R43" s="54"/>
      <c r="S43" s="54"/>
      <c r="T43" s="54"/>
      <c r="U43" s="54"/>
      <c r="V43" s="54"/>
      <c r="W43" s="95"/>
    </row>
    <row r="44" spans="1:23" ht="24" customHeight="1">
      <c r="A44" s="55">
        <v>1</v>
      </c>
      <c r="B44" s="56"/>
      <c r="C44" s="56" t="s">
        <v>1825</v>
      </c>
      <c r="D44" s="30"/>
      <c r="E44" s="30"/>
      <c r="F44" s="30"/>
      <c r="G44" s="30"/>
      <c r="H44" s="30"/>
      <c r="I44" s="30"/>
      <c r="J44" s="30"/>
      <c r="K44" s="30"/>
      <c r="L44" s="30"/>
      <c r="M44" s="30"/>
      <c r="N44" s="30"/>
      <c r="O44" s="30"/>
      <c r="P44" s="30"/>
      <c r="Q44" s="56"/>
      <c r="R44" s="96">
        <f>D44*1.8-$H$6*G44*1.8-(1.8-0.9)*H44+(H44+(1.8-0.9)*2)*0.1</f>
        <v>0.18000000000000002</v>
      </c>
      <c r="S44" s="96">
        <f>D44*F44-$H$7*G44-H44*I44+(H44+I44)*2*0.1</f>
        <v>0</v>
      </c>
      <c r="T44" s="96">
        <f>E44+(D44-$H$6)*0.15</f>
        <v>-0.11849999999999999</v>
      </c>
      <c r="U44" s="56"/>
      <c r="V44" s="56"/>
      <c r="W44" s="98"/>
    </row>
    <row r="45" spans="1:23" ht="24" customHeight="1">
      <c r="A45" s="55">
        <v>2</v>
      </c>
      <c r="B45" s="56"/>
      <c r="C45" s="56" t="s">
        <v>1826</v>
      </c>
      <c r="D45" s="30"/>
      <c r="E45" s="30"/>
      <c r="F45" s="30"/>
      <c r="G45" s="30"/>
      <c r="H45" s="30"/>
      <c r="I45" s="30"/>
      <c r="J45" s="30"/>
      <c r="K45" s="30"/>
      <c r="L45" s="30"/>
      <c r="M45" s="30"/>
      <c r="N45" s="30"/>
      <c r="O45" s="30"/>
      <c r="P45" s="30"/>
      <c r="Q45" s="56"/>
      <c r="R45" s="96">
        <f>(D45*1.8-$H$6*G45*1.8-(1.8-0.9)*H45+(H45+(1.8-0.9)*2)*0.1)*$J$3</f>
        <v>0</v>
      </c>
      <c r="S45" s="96">
        <f>D45*F45-$H$7*G45-H45*I45+(H45+I45)*2*0.1</f>
        <v>0</v>
      </c>
      <c r="T45" s="96">
        <f>(E45+(D45-$H$6)*0.15)*$J$3</f>
        <v>0</v>
      </c>
      <c r="U45" s="56"/>
      <c r="V45" s="56"/>
      <c r="W45" s="98"/>
    </row>
    <row r="46" spans="1:23" ht="24" customHeight="1">
      <c r="A46" s="46">
        <v>3</v>
      </c>
      <c r="B46" s="47"/>
      <c r="C46" s="34" t="s">
        <v>1827</v>
      </c>
      <c r="D46" s="47"/>
      <c r="E46" s="35">
        <f>E44+E45</f>
        <v>0</v>
      </c>
      <c r="F46" s="35"/>
      <c r="G46" s="35"/>
      <c r="H46" s="35"/>
      <c r="I46" s="35"/>
      <c r="J46" s="35"/>
      <c r="K46" s="35"/>
      <c r="L46" s="35">
        <f t="shared" ref="L46" si="1">SUM(L44:L45)</f>
        <v>0</v>
      </c>
      <c r="M46" s="35">
        <f t="shared" ref="M46:W46" si="2">SUM(M44:M45)</f>
        <v>0</v>
      </c>
      <c r="N46" s="35">
        <f t="shared" si="2"/>
        <v>0</v>
      </c>
      <c r="O46" s="35">
        <f t="shared" si="2"/>
        <v>0</v>
      </c>
      <c r="P46" s="35">
        <f t="shared" si="2"/>
        <v>0</v>
      </c>
      <c r="Q46" s="35">
        <f t="shared" si="2"/>
        <v>0</v>
      </c>
      <c r="R46" s="35">
        <f t="shared" si="2"/>
        <v>0.18000000000000002</v>
      </c>
      <c r="S46" s="35">
        <f t="shared" si="2"/>
        <v>0</v>
      </c>
      <c r="T46" s="35">
        <f t="shared" si="2"/>
        <v>-0.11849999999999999</v>
      </c>
      <c r="U46" s="35">
        <f t="shared" si="2"/>
        <v>0</v>
      </c>
      <c r="V46" s="35">
        <f t="shared" si="2"/>
        <v>0</v>
      </c>
      <c r="W46" s="35">
        <f t="shared" si="2"/>
        <v>0</v>
      </c>
    </row>
    <row r="47" spans="1:23" ht="24" customHeight="1">
      <c r="A47" s="57"/>
      <c r="B47" s="58"/>
      <c r="C47" s="59"/>
      <c r="D47" s="58"/>
      <c r="E47" s="60"/>
      <c r="F47" s="60"/>
      <c r="G47" s="60"/>
      <c r="H47" s="60"/>
      <c r="I47" s="60"/>
      <c r="J47" s="60"/>
      <c r="K47" s="60"/>
      <c r="L47" s="60"/>
      <c r="M47" s="60"/>
      <c r="N47" s="60"/>
      <c r="O47" s="60"/>
      <c r="P47" s="60"/>
      <c r="Q47" s="60"/>
      <c r="R47" s="60"/>
      <c r="S47" s="60"/>
      <c r="T47" s="60"/>
      <c r="U47" s="60"/>
      <c r="V47" s="60"/>
      <c r="W47" s="99"/>
    </row>
    <row r="48" spans="1:23" ht="30" customHeight="1">
      <c r="A48" s="994" t="s">
        <v>54</v>
      </c>
      <c r="B48" s="990" t="s">
        <v>1758</v>
      </c>
      <c r="C48" s="990" t="s">
        <v>1767</v>
      </c>
      <c r="D48" s="14" t="s">
        <v>1768</v>
      </c>
      <c r="E48" s="14" t="s">
        <v>1769</v>
      </c>
      <c r="F48" s="998" t="s">
        <v>1813</v>
      </c>
      <c r="G48" s="61" t="s">
        <v>1771</v>
      </c>
      <c r="H48" s="62"/>
      <c r="I48" s="996" t="s">
        <v>1828</v>
      </c>
      <c r="J48" s="997"/>
      <c r="K48" s="988" t="s">
        <v>1829</v>
      </c>
      <c r="L48" s="988"/>
      <c r="M48" s="1003" t="s">
        <v>375</v>
      </c>
      <c r="N48" s="988" t="s">
        <v>1818</v>
      </c>
      <c r="O48" s="988" t="s">
        <v>1819</v>
      </c>
      <c r="P48" s="988" t="s">
        <v>1830</v>
      </c>
      <c r="Q48" s="988" t="s">
        <v>1831</v>
      </c>
      <c r="R48" s="988" t="s">
        <v>1832</v>
      </c>
      <c r="S48" s="988"/>
      <c r="T48" s="988"/>
      <c r="U48" s="15"/>
      <c r="V48" s="15"/>
      <c r="W48" s="82"/>
    </row>
    <row r="49" spans="1:23" ht="35.25" customHeight="1">
      <c r="A49" s="994"/>
      <c r="B49" s="990"/>
      <c r="C49" s="990"/>
      <c r="D49" s="988" t="s">
        <v>1780</v>
      </c>
      <c r="E49" s="988"/>
      <c r="F49" s="998"/>
      <c r="G49" s="14" t="s">
        <v>1782</v>
      </c>
      <c r="H49" s="14" t="s">
        <v>1783</v>
      </c>
      <c r="I49" s="14" t="s">
        <v>1833</v>
      </c>
      <c r="J49" s="15" t="s">
        <v>1834</v>
      </c>
      <c r="K49" s="14" t="s">
        <v>1833</v>
      </c>
      <c r="L49" s="15" t="s">
        <v>1834</v>
      </c>
      <c r="M49" s="1004"/>
      <c r="N49" s="988"/>
      <c r="O49" s="988"/>
      <c r="P49" s="988"/>
      <c r="Q49" s="988"/>
      <c r="R49" s="988"/>
      <c r="S49" s="988"/>
      <c r="T49" s="988"/>
      <c r="U49" s="15"/>
      <c r="V49" s="15"/>
      <c r="W49" s="15"/>
    </row>
    <row r="50" spans="1:23" ht="24.75" customHeight="1">
      <c r="A50" s="994"/>
      <c r="B50" s="990"/>
      <c r="C50" s="990"/>
      <c r="D50" s="14" t="s">
        <v>235</v>
      </c>
      <c r="E50" s="14" t="s">
        <v>1092</v>
      </c>
      <c r="F50" s="998"/>
      <c r="G50" s="16"/>
      <c r="H50" s="15"/>
      <c r="I50" s="15" t="s">
        <v>1823</v>
      </c>
      <c r="J50" s="15" t="s">
        <v>1823</v>
      </c>
      <c r="K50" s="15" t="s">
        <v>1823</v>
      </c>
      <c r="L50" s="15" t="s">
        <v>1823</v>
      </c>
      <c r="M50" s="17" t="s">
        <v>1092</v>
      </c>
      <c r="N50" s="988"/>
      <c r="O50" s="988"/>
      <c r="P50" s="15" t="s">
        <v>1835</v>
      </c>
      <c r="Q50" s="15" t="s">
        <v>1835</v>
      </c>
      <c r="R50" s="15" t="s">
        <v>1835</v>
      </c>
      <c r="S50" s="988"/>
      <c r="T50" s="988"/>
      <c r="U50" s="15"/>
      <c r="V50" s="15"/>
      <c r="W50" s="94"/>
    </row>
    <row r="51" spans="1:23" ht="24" customHeight="1">
      <c r="A51" s="53" t="s">
        <v>64</v>
      </c>
      <c r="B51" s="54"/>
      <c r="C51" s="54" t="s">
        <v>1354</v>
      </c>
      <c r="D51" s="54"/>
      <c r="E51" s="54"/>
      <c r="F51" s="54"/>
      <c r="G51" s="54"/>
      <c r="H51" s="54"/>
      <c r="I51" s="54"/>
      <c r="J51" s="54"/>
      <c r="K51" s="54"/>
      <c r="L51" s="54"/>
      <c r="M51" s="54"/>
      <c r="N51" s="54"/>
      <c r="O51" s="54"/>
      <c r="P51" s="54"/>
      <c r="Q51" s="54"/>
      <c r="R51" s="54"/>
      <c r="S51" s="54"/>
      <c r="T51" s="54"/>
      <c r="U51" s="54"/>
      <c r="V51" s="54"/>
      <c r="W51" s="95"/>
    </row>
    <row r="52" spans="1:23" ht="15.75" customHeight="1">
      <c r="A52" s="63" t="s">
        <v>1836</v>
      </c>
      <c r="B52" s="64" t="s">
        <v>133</v>
      </c>
      <c r="C52" s="64" t="s">
        <v>1837</v>
      </c>
      <c r="D52" s="65"/>
      <c r="E52" s="65"/>
      <c r="F52" s="65"/>
      <c r="G52" s="65"/>
      <c r="H52" s="65"/>
      <c r="I52" s="65"/>
      <c r="J52" s="65"/>
      <c r="K52" s="65"/>
      <c r="L52" s="65"/>
      <c r="M52" s="65"/>
      <c r="N52" s="83">
        <f>(D52-I6*G52-J6*H52-I52-K52)*1</f>
        <v>0</v>
      </c>
      <c r="O52" s="84">
        <f>D52*F52-I7*G52-J7*H52-I52*2.24-J52*1.19-K52*2.24-L52*1.32-M52+(2.24+I52+J52+1.19+J52)*0.1*P52+(2.24*2+K52)*0.1*Q52+(1.32*2+L52*2)*0.1*R52</f>
        <v>0.26400000000000001</v>
      </c>
      <c r="P52" s="64">
        <v>0</v>
      </c>
      <c r="Q52" s="64">
        <v>0</v>
      </c>
      <c r="R52" s="64">
        <v>1</v>
      </c>
      <c r="S52" s="64"/>
      <c r="T52" s="64"/>
      <c r="U52" s="64"/>
      <c r="V52" s="64"/>
      <c r="W52" s="100"/>
    </row>
    <row r="53" spans="1:23" ht="30" customHeight="1">
      <c r="A53" s="41"/>
      <c r="B53" s="15"/>
      <c r="C53" s="52" t="s">
        <v>1838</v>
      </c>
      <c r="D53" s="15"/>
      <c r="E53" s="30"/>
      <c r="F53" s="15"/>
      <c r="G53" s="15"/>
      <c r="H53" s="15"/>
      <c r="I53" s="15"/>
      <c r="J53" s="15"/>
      <c r="K53" s="15"/>
      <c r="L53" s="15"/>
      <c r="M53" s="15"/>
      <c r="N53" s="15"/>
      <c r="O53" s="15"/>
      <c r="P53" s="15"/>
      <c r="Q53" s="15"/>
      <c r="R53" s="15"/>
      <c r="S53" s="15"/>
      <c r="T53" s="15"/>
      <c r="U53" s="15"/>
      <c r="V53" s="15"/>
      <c r="W53" s="101"/>
    </row>
    <row r="54" spans="1:23" ht="22.5" customHeight="1">
      <c r="A54" s="66"/>
      <c r="B54" s="67"/>
      <c r="C54" s="68" t="s">
        <v>1839</v>
      </c>
      <c r="D54" s="67"/>
      <c r="E54" s="69">
        <f>E52-E53</f>
        <v>0</v>
      </c>
      <c r="F54" s="70"/>
      <c r="G54" s="70"/>
      <c r="H54" s="70"/>
      <c r="I54" s="70"/>
      <c r="J54" s="70"/>
      <c r="K54" s="70"/>
      <c r="L54" s="70"/>
      <c r="M54" s="70"/>
      <c r="N54" s="70"/>
      <c r="O54" s="70"/>
      <c r="P54" s="70"/>
      <c r="Q54" s="70"/>
      <c r="R54" s="70"/>
      <c r="S54" s="70"/>
      <c r="T54" s="67"/>
      <c r="U54" s="67"/>
      <c r="V54" s="67"/>
      <c r="W54" s="67"/>
    </row>
    <row r="55" spans="1:23" ht="22.5" customHeight="1">
      <c r="A55" s="71"/>
      <c r="B55" s="72"/>
      <c r="C55" s="73"/>
      <c r="D55" s="72"/>
      <c r="E55" s="74"/>
      <c r="F55" s="75"/>
      <c r="G55" s="76"/>
      <c r="H55" s="77"/>
      <c r="I55" s="76"/>
      <c r="J55" s="77"/>
      <c r="K55" s="75"/>
      <c r="L55" s="75"/>
      <c r="M55" s="75"/>
      <c r="N55" s="75"/>
      <c r="O55" s="75"/>
      <c r="P55" s="75"/>
      <c r="Q55" s="75"/>
      <c r="R55" s="75"/>
      <c r="S55" s="75"/>
      <c r="T55" s="72"/>
      <c r="U55" s="72"/>
      <c r="V55" s="72"/>
      <c r="W55" s="72"/>
    </row>
    <row r="56" spans="1:23" ht="19.5" customHeight="1">
      <c r="A56" s="3" t="s">
        <v>1840</v>
      </c>
      <c r="E56" s="4"/>
      <c r="F56" s="4"/>
      <c r="G56" s="4"/>
      <c r="H56" s="4"/>
      <c r="I56" s="4"/>
      <c r="J56" s="4"/>
      <c r="K56" s="4"/>
      <c r="L56" s="4"/>
      <c r="M56" s="4"/>
      <c r="N56" s="4"/>
      <c r="O56" s="4"/>
      <c r="P56" s="4"/>
      <c r="Q56" s="4"/>
      <c r="R56" s="4"/>
      <c r="S56" s="4"/>
    </row>
    <row r="57" spans="1:23" ht="19.5" customHeight="1">
      <c r="A57" s="3"/>
      <c r="E57" s="4"/>
      <c r="F57" s="4"/>
      <c r="G57" s="4"/>
      <c r="H57" s="4"/>
      <c r="I57" s="4"/>
      <c r="J57" s="4"/>
      <c r="K57" s="4"/>
      <c r="L57" s="4"/>
      <c r="M57" s="4"/>
      <c r="N57" s="4"/>
      <c r="O57" s="4"/>
      <c r="P57" s="4"/>
      <c r="Q57" s="4"/>
      <c r="R57" s="4"/>
      <c r="S57" s="4"/>
    </row>
  </sheetData>
  <mergeCells count="40">
    <mergeCell ref="T4:T7"/>
    <mergeCell ref="T40:T42"/>
    <mergeCell ref="T48:T50"/>
    <mergeCell ref="W4:W7"/>
    <mergeCell ref="M4:N5"/>
    <mergeCell ref="O4:P5"/>
    <mergeCell ref="U4:V5"/>
    <mergeCell ref="R4:R7"/>
    <mergeCell ref="R40:R42"/>
    <mergeCell ref="R48:R49"/>
    <mergeCell ref="S4:S7"/>
    <mergeCell ref="S40:S42"/>
    <mergeCell ref="S48:S50"/>
    <mergeCell ref="M48:M49"/>
    <mergeCell ref="N48:N50"/>
    <mergeCell ref="O48:O50"/>
    <mergeCell ref="F4:F7"/>
    <mergeCell ref="F40:F42"/>
    <mergeCell ref="F48:F50"/>
    <mergeCell ref="G4:K4"/>
    <mergeCell ref="D5:E5"/>
    <mergeCell ref="H40:I40"/>
    <mergeCell ref="J40:K40"/>
    <mergeCell ref="D41:E41"/>
    <mergeCell ref="D49:E49"/>
    <mergeCell ref="P48:P49"/>
    <mergeCell ref="Q4:Q7"/>
    <mergeCell ref="Q40:Q42"/>
    <mergeCell ref="Q48:Q49"/>
    <mergeCell ref="I48:J48"/>
    <mergeCell ref="K48:L48"/>
    <mergeCell ref="C4:C7"/>
    <mergeCell ref="C40:C42"/>
    <mergeCell ref="C48:C50"/>
    <mergeCell ref="A4:A7"/>
    <mergeCell ref="A40:A42"/>
    <mergeCell ref="A48:A50"/>
    <mergeCell ref="B4:B7"/>
    <mergeCell ref="B40:B42"/>
    <mergeCell ref="B48:B50"/>
  </mergeCells>
  <phoneticPr fontId="7" type="noConversion"/>
  <pageMargins left="0.69930555555555596" right="0.69930555555555596" top="0.75" bottom="0.75" header="0.3" footer="0.3"/>
  <pageSetup paperSize="9" orientation="portrait"/>
  <headerFooter alignWithMargins="0"/>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indexed="60"/>
  </sheetPr>
  <dimension ref="A1:W59"/>
  <sheetViews>
    <sheetView zoomScale="93" zoomScaleNormal="93" workbookViewId="0">
      <pane xSplit="5" ySplit="7" topLeftCell="F8" activePane="bottomRight" state="frozen"/>
      <selection activeCell="J6" sqref="J6"/>
      <selection pane="topRight" activeCell="J6" sqref="J6"/>
      <selection pane="bottomLeft" activeCell="J6" sqref="J6"/>
      <selection pane="bottomRight" activeCell="L11" sqref="L11"/>
    </sheetView>
  </sheetViews>
  <sheetFormatPr defaultColWidth="9.125" defaultRowHeight="14.25"/>
  <cols>
    <col min="1" max="1" width="6.875" customWidth="1"/>
    <col min="2" max="2" width="11.75" customWidth="1"/>
    <col min="3" max="3" width="28" customWidth="1"/>
    <col min="4" max="4" width="9.25" customWidth="1"/>
    <col min="5" max="5" width="11.75" customWidth="1"/>
    <col min="6" max="10" width="9.25" customWidth="1"/>
    <col min="11" max="11" width="11.25" bestFit="1" customWidth="1"/>
    <col min="12" max="12" width="10.25" customWidth="1"/>
    <col min="13" max="18" width="9.25" customWidth="1"/>
    <col min="19" max="19" width="9.75" customWidth="1"/>
    <col min="20" max="21" width="9.25" customWidth="1"/>
    <col min="22" max="22" width="9.375" customWidth="1"/>
  </cols>
  <sheetData>
    <row r="1" spans="1:23" ht="21" customHeight="1">
      <c r="A1" s="3"/>
      <c r="C1" s="1" t="s">
        <v>1755</v>
      </c>
      <c r="E1" s="4"/>
      <c r="F1" s="4"/>
      <c r="G1" s="4"/>
      <c r="H1" s="4"/>
      <c r="I1" s="4"/>
      <c r="J1" s="4"/>
      <c r="K1" s="4"/>
      <c r="L1" s="4"/>
      <c r="M1" s="4"/>
      <c r="N1" s="4"/>
      <c r="O1" s="4"/>
      <c r="P1" s="4"/>
      <c r="Q1" s="4"/>
      <c r="R1" s="4"/>
      <c r="S1" s="4"/>
    </row>
    <row r="2" spans="1:23" ht="21" customHeight="1">
      <c r="A2" s="5" t="s">
        <v>1756</v>
      </c>
      <c r="B2" s="6" t="s">
        <v>131</v>
      </c>
      <c r="C2" s="7"/>
      <c r="D2" s="8" t="s">
        <v>1758</v>
      </c>
      <c r="E2" s="6" t="s">
        <v>1759</v>
      </c>
      <c r="F2" s="9"/>
      <c r="G2" s="8" t="s">
        <v>1760</v>
      </c>
      <c r="H2" s="6">
        <v>1</v>
      </c>
      <c r="I2" s="9" t="s">
        <v>1761</v>
      </c>
      <c r="J2" s="9"/>
      <c r="K2" s="9"/>
      <c r="L2" s="9"/>
      <c r="M2" s="9"/>
      <c r="N2" s="9"/>
      <c r="O2" s="9"/>
      <c r="P2" s="9"/>
      <c r="Q2" s="9"/>
      <c r="R2" s="9"/>
      <c r="S2" s="9"/>
    </row>
    <row r="3" spans="1:23" ht="21" customHeight="1">
      <c r="A3" s="10" t="s">
        <v>120</v>
      </c>
      <c r="B3" s="11" t="s">
        <v>1759</v>
      </c>
      <c r="C3" s="7"/>
      <c r="D3" s="7"/>
      <c r="F3" s="9"/>
      <c r="G3" s="12" t="s">
        <v>1763</v>
      </c>
      <c r="H3" s="11">
        <v>1</v>
      </c>
      <c r="I3" s="9" t="s">
        <v>1764</v>
      </c>
      <c r="J3" s="9">
        <v>0</v>
      </c>
      <c r="K3" s="9" t="s">
        <v>1765</v>
      </c>
      <c r="L3" s="9">
        <v>0</v>
      </c>
      <c r="M3" s="9"/>
      <c r="N3" s="9"/>
      <c r="O3" s="9"/>
      <c r="P3" s="9"/>
      <c r="Q3" s="9"/>
      <c r="R3" s="9"/>
      <c r="S3" s="9"/>
    </row>
    <row r="4" spans="1:23" ht="35.25" customHeight="1">
      <c r="A4" s="991" t="s">
        <v>54</v>
      </c>
      <c r="B4" s="987" t="s">
        <v>1766</v>
      </c>
      <c r="C4" s="987" t="s">
        <v>1767</v>
      </c>
      <c r="D4" s="13" t="s">
        <v>1768</v>
      </c>
      <c r="E4" s="13" t="s">
        <v>1769</v>
      </c>
      <c r="F4" s="987" t="s">
        <v>1770</v>
      </c>
      <c r="G4" s="987" t="s">
        <v>1771</v>
      </c>
      <c r="H4" s="987"/>
      <c r="I4" s="987"/>
      <c r="J4" s="987"/>
      <c r="K4" s="987"/>
      <c r="L4" s="78" t="s">
        <v>1772</v>
      </c>
      <c r="M4" s="987" t="s">
        <v>1773</v>
      </c>
      <c r="N4" s="987"/>
      <c r="O4" s="987" t="s">
        <v>1774</v>
      </c>
      <c r="P4" s="987"/>
      <c r="Q4" s="987" t="s">
        <v>1775</v>
      </c>
      <c r="R4" s="987" t="s">
        <v>1776</v>
      </c>
      <c r="S4" s="987" t="s">
        <v>1777</v>
      </c>
      <c r="T4" s="987" t="s">
        <v>1778</v>
      </c>
      <c r="U4" s="987" t="s">
        <v>1574</v>
      </c>
      <c r="V4" s="987"/>
      <c r="W4" s="1000" t="s">
        <v>1779</v>
      </c>
    </row>
    <row r="5" spans="1:23" ht="24" customHeight="1">
      <c r="A5" s="992"/>
      <c r="B5" s="988"/>
      <c r="C5" s="988"/>
      <c r="D5" s="988" t="s">
        <v>1780</v>
      </c>
      <c r="E5" s="988"/>
      <c r="F5" s="988"/>
      <c r="G5" s="14" t="s">
        <v>1781</v>
      </c>
      <c r="H5" s="14" t="s">
        <v>1482</v>
      </c>
      <c r="I5" s="14" t="s">
        <v>1782</v>
      </c>
      <c r="J5" s="14" t="s">
        <v>1783</v>
      </c>
      <c r="K5" s="14" t="s">
        <v>1418</v>
      </c>
      <c r="L5" s="14" t="s">
        <v>1784</v>
      </c>
      <c r="M5" s="988"/>
      <c r="N5" s="988"/>
      <c r="O5" s="988"/>
      <c r="P5" s="988"/>
      <c r="Q5" s="988"/>
      <c r="R5" s="988"/>
      <c r="S5" s="988"/>
      <c r="T5" s="988"/>
      <c r="U5" s="988"/>
      <c r="V5" s="988"/>
      <c r="W5" s="1001"/>
    </row>
    <row r="6" spans="1:23" ht="27" customHeight="1">
      <c r="A6" s="992"/>
      <c r="B6" s="988"/>
      <c r="C6" s="988"/>
      <c r="D6" s="14"/>
      <c r="E6" s="15"/>
      <c r="F6" s="988"/>
      <c r="G6" s="16">
        <v>0.99399999999999999</v>
      </c>
      <c r="H6" s="16">
        <v>0.84399999999999997</v>
      </c>
      <c r="I6" s="16">
        <v>0.9</v>
      </c>
      <c r="J6" s="16">
        <v>1.65</v>
      </c>
      <c r="K6" s="16">
        <v>1.1599999999999999</v>
      </c>
      <c r="L6" s="79"/>
      <c r="M6" s="14" t="s">
        <v>1785</v>
      </c>
      <c r="N6" s="15" t="s">
        <v>1786</v>
      </c>
      <c r="O6" s="14" t="s">
        <v>1785</v>
      </c>
      <c r="P6" s="15" t="s">
        <v>1786</v>
      </c>
      <c r="Q6" s="988"/>
      <c r="R6" s="988"/>
      <c r="S6" s="988"/>
      <c r="T6" s="988"/>
      <c r="U6" s="14" t="s">
        <v>1787</v>
      </c>
      <c r="V6" s="14" t="s">
        <v>1788</v>
      </c>
      <c r="W6" s="1001"/>
    </row>
    <row r="7" spans="1:23" ht="24.75" customHeight="1">
      <c r="A7" s="993"/>
      <c r="B7" s="989"/>
      <c r="C7" s="989"/>
      <c r="D7" s="17" t="s">
        <v>235</v>
      </c>
      <c r="E7" s="17" t="s">
        <v>1092</v>
      </c>
      <c r="F7" s="989"/>
      <c r="G7" s="18">
        <f>0.994*2.272</f>
        <v>2.2583679999999999</v>
      </c>
      <c r="H7" s="18">
        <f>0.844*2.272</f>
        <v>1.9175679999999997</v>
      </c>
      <c r="I7" s="18">
        <f>0.9*2.19</f>
        <v>1.9710000000000001</v>
      </c>
      <c r="J7" s="18">
        <f>1.65*2.14</f>
        <v>3.5310000000000001</v>
      </c>
      <c r="K7" s="18">
        <f>1.16*2.18</f>
        <v>2.5287999999999999</v>
      </c>
      <c r="L7" s="18">
        <v>2.27</v>
      </c>
      <c r="M7" s="80"/>
      <c r="N7" s="80"/>
      <c r="O7" s="80"/>
      <c r="P7" s="80"/>
      <c r="Q7" s="995"/>
      <c r="R7" s="989"/>
      <c r="S7" s="989"/>
      <c r="T7" s="989"/>
      <c r="U7" s="80" t="s">
        <v>1789</v>
      </c>
      <c r="V7" s="80" t="s">
        <v>1790</v>
      </c>
      <c r="W7" s="1002"/>
    </row>
    <row r="8" spans="1:23" ht="24.75" customHeight="1">
      <c r="A8" s="19" t="s">
        <v>58</v>
      </c>
      <c r="B8" s="20"/>
      <c r="C8" s="21" t="s">
        <v>1406</v>
      </c>
      <c r="D8" s="20"/>
      <c r="E8" s="20"/>
      <c r="F8" s="20"/>
      <c r="G8" s="22"/>
      <c r="H8" s="22"/>
      <c r="I8" s="22"/>
      <c r="J8" s="22"/>
      <c r="K8" s="22"/>
      <c r="L8" s="22"/>
      <c r="M8" s="22"/>
      <c r="N8" s="22"/>
      <c r="O8" s="22"/>
      <c r="P8" s="22"/>
      <c r="Q8" s="22"/>
      <c r="R8" s="20"/>
      <c r="S8" s="20"/>
      <c r="T8" s="20"/>
      <c r="U8" s="22"/>
      <c r="V8" s="22"/>
      <c r="W8" s="85"/>
    </row>
    <row r="9" spans="1:23" ht="24.75" customHeight="1">
      <c r="A9" s="23">
        <v>1</v>
      </c>
      <c r="B9" s="24"/>
      <c r="C9" s="25" t="s">
        <v>237</v>
      </c>
      <c r="D9" s="103">
        <v>0</v>
      </c>
      <c r="E9" s="27"/>
      <c r="F9" s="28"/>
      <c r="G9" s="29"/>
      <c r="H9" s="29"/>
      <c r="I9" s="29"/>
      <c r="J9" s="29"/>
      <c r="K9" s="29"/>
      <c r="L9" s="29"/>
      <c r="M9" s="29"/>
      <c r="N9" s="29"/>
      <c r="O9" s="29"/>
      <c r="P9" s="29"/>
      <c r="Q9" s="29"/>
      <c r="R9" s="28"/>
      <c r="S9" s="28"/>
      <c r="T9" s="28"/>
      <c r="U9" s="29"/>
      <c r="V9" s="29"/>
      <c r="W9" s="86"/>
    </row>
    <row r="10" spans="1:23" ht="24.75" customHeight="1">
      <c r="A10" s="23">
        <v>2</v>
      </c>
      <c r="B10" s="24"/>
      <c r="C10" s="25" t="s">
        <v>241</v>
      </c>
      <c r="D10" s="104">
        <v>0</v>
      </c>
      <c r="E10" s="27"/>
      <c r="F10" s="28"/>
      <c r="G10" s="29"/>
      <c r="H10" s="29"/>
      <c r="I10" s="29"/>
      <c r="J10" s="29"/>
      <c r="K10" s="29"/>
      <c r="L10" s="29"/>
      <c r="M10" s="29"/>
      <c r="N10" s="29"/>
      <c r="O10" s="29"/>
      <c r="P10" s="29"/>
      <c r="Q10" s="29"/>
      <c r="R10" s="28"/>
      <c r="S10" s="28"/>
      <c r="T10" s="28"/>
      <c r="U10" s="29"/>
      <c r="V10" s="29"/>
      <c r="W10" s="86"/>
    </row>
    <row r="11" spans="1:23" ht="24.75" customHeight="1">
      <c r="A11" s="23">
        <v>3</v>
      </c>
      <c r="B11" s="15"/>
      <c r="C11" s="15" t="s">
        <v>1791</v>
      </c>
      <c r="D11" s="104">
        <v>0</v>
      </c>
      <c r="E11" s="104">
        <v>0</v>
      </c>
      <c r="F11" s="29"/>
      <c r="G11" s="29"/>
      <c r="H11" s="29"/>
      <c r="I11" s="29"/>
      <c r="J11" s="29"/>
      <c r="K11" s="29"/>
      <c r="L11" s="29"/>
      <c r="M11" s="29"/>
      <c r="N11" s="29"/>
      <c r="O11" s="29"/>
      <c r="P11" s="29"/>
      <c r="Q11" s="29"/>
      <c r="R11" s="29"/>
      <c r="S11" s="15"/>
      <c r="T11" s="29"/>
      <c r="U11" s="29"/>
      <c r="V11" s="29"/>
      <c r="W11" s="87"/>
    </row>
    <row r="12" spans="1:23" ht="15.75" customHeight="1">
      <c r="A12" s="23">
        <v>4</v>
      </c>
      <c r="B12" s="15"/>
      <c r="C12" s="15" t="s">
        <v>1792</v>
      </c>
      <c r="D12" s="104">
        <v>0</v>
      </c>
      <c r="E12" s="104">
        <v>0</v>
      </c>
      <c r="F12" s="104">
        <f>3-0.5-0.065-0.1-0.012</f>
        <v>2.323</v>
      </c>
      <c r="G12" s="29"/>
      <c r="H12" s="29"/>
      <c r="I12" s="29"/>
      <c r="J12" s="29"/>
      <c r="K12" s="29"/>
      <c r="L12" s="29"/>
      <c r="M12" s="29"/>
      <c r="N12" s="29"/>
      <c r="O12" s="29"/>
      <c r="P12" s="29"/>
      <c r="Q12" s="29"/>
      <c r="R12" s="29"/>
      <c r="S12" s="32">
        <f>D12*F12</f>
        <v>0</v>
      </c>
      <c r="T12" s="29"/>
      <c r="U12" s="29"/>
      <c r="V12" s="29"/>
      <c r="W12" s="87"/>
    </row>
    <row r="13" spans="1:23" ht="15.75" customHeight="1">
      <c r="A13" s="23">
        <v>5</v>
      </c>
      <c r="B13" s="15"/>
      <c r="C13" s="15" t="s">
        <v>1793</v>
      </c>
      <c r="D13" s="104"/>
      <c r="E13" s="9">
        <f>(D13*0.12-0.12*0.12*4)*$K$2</f>
        <v>0</v>
      </c>
      <c r="F13" s="29"/>
      <c r="G13" s="29"/>
      <c r="H13" s="29"/>
      <c r="I13" s="29"/>
      <c r="J13" s="29"/>
      <c r="K13" s="29"/>
      <c r="L13" s="29"/>
      <c r="M13" s="29"/>
      <c r="N13" s="29"/>
      <c r="O13" s="29"/>
      <c r="P13" s="29"/>
      <c r="Q13" s="29"/>
      <c r="R13" s="29"/>
      <c r="S13" s="43"/>
      <c r="T13" s="29"/>
      <c r="U13" s="29"/>
      <c r="V13" s="29"/>
      <c r="W13" s="87"/>
    </row>
    <row r="14" spans="1:23" ht="15.75" customHeight="1">
      <c r="A14" s="23">
        <v>6</v>
      </c>
      <c r="B14" s="15"/>
      <c r="C14" s="15" t="s">
        <v>1794</v>
      </c>
      <c r="D14" s="104">
        <v>0</v>
      </c>
      <c r="E14" s="104">
        <v>0</v>
      </c>
      <c r="F14" s="104">
        <f>3-0.5-0.065-0.1-0.012</f>
        <v>2.323</v>
      </c>
      <c r="G14" s="29"/>
      <c r="H14" s="29"/>
      <c r="I14" s="29"/>
      <c r="J14" s="29"/>
      <c r="K14" s="29"/>
      <c r="L14" s="29"/>
      <c r="M14" s="29"/>
      <c r="N14" s="29"/>
      <c r="O14" s="29"/>
      <c r="P14" s="29"/>
      <c r="Q14" s="29"/>
      <c r="R14" s="29"/>
      <c r="S14" s="32">
        <f>D14*F14</f>
        <v>0</v>
      </c>
      <c r="T14" s="29"/>
      <c r="U14" s="29"/>
      <c r="V14" s="29"/>
      <c r="W14" s="87"/>
    </row>
    <row r="15" spans="1:23" ht="15.75" customHeight="1">
      <c r="A15" s="23">
        <v>7</v>
      </c>
      <c r="B15" s="15"/>
      <c r="C15" s="15" t="s">
        <v>1795</v>
      </c>
      <c r="D15" s="104">
        <v>0</v>
      </c>
      <c r="E15" s="104">
        <v>0</v>
      </c>
      <c r="F15" s="105">
        <f>D15*E15</f>
        <v>0</v>
      </c>
      <c r="G15" s="29"/>
      <c r="H15" s="29"/>
      <c r="I15" s="29"/>
      <c r="J15" s="29"/>
      <c r="K15" s="29"/>
      <c r="L15" s="29"/>
      <c r="M15" s="29"/>
      <c r="N15" s="29"/>
      <c r="O15" s="29"/>
      <c r="P15" s="29"/>
      <c r="Q15" s="29"/>
      <c r="R15" s="29"/>
      <c r="S15" s="43"/>
      <c r="T15" s="29"/>
      <c r="U15" s="29"/>
      <c r="V15" s="29"/>
      <c r="W15" s="87"/>
    </row>
    <row r="16" spans="1:23" ht="15.75" customHeight="1">
      <c r="A16" s="23">
        <v>8</v>
      </c>
      <c r="B16" s="15"/>
      <c r="C16" s="15" t="s">
        <v>1796</v>
      </c>
      <c r="D16" s="104">
        <v>0</v>
      </c>
      <c r="E16" s="33"/>
      <c r="F16" s="104">
        <f>3-0.1-0.012-0.065-0.1</f>
        <v>2.7229999999999999</v>
      </c>
      <c r="G16" s="29"/>
      <c r="H16" s="29"/>
      <c r="I16" s="29"/>
      <c r="J16" s="29"/>
      <c r="K16" s="29"/>
      <c r="L16" s="29"/>
      <c r="M16" s="29"/>
      <c r="N16" s="29"/>
      <c r="O16" s="29"/>
      <c r="P16" s="29"/>
      <c r="Q16" s="29"/>
      <c r="R16" s="29"/>
      <c r="S16" s="32">
        <f>(D16-0.2)*(F16-0.1)</f>
        <v>-0.52459999999999996</v>
      </c>
      <c r="T16" s="29"/>
      <c r="U16" s="29"/>
      <c r="V16" s="29"/>
      <c r="W16" s="87"/>
    </row>
    <row r="17" spans="1:23" ht="15.75" customHeight="1">
      <c r="A17" s="23">
        <v>9</v>
      </c>
      <c r="B17" s="15"/>
      <c r="C17" s="15" t="s">
        <v>1797</v>
      </c>
      <c r="D17" s="32">
        <f>D11-D12-D14-D16</f>
        <v>0</v>
      </c>
      <c r="E17" s="29"/>
      <c r="F17" s="104">
        <f>3-0.1-0.012-0.065-0.1</f>
        <v>2.7229999999999999</v>
      </c>
      <c r="G17" s="104">
        <v>0</v>
      </c>
      <c r="H17" s="104">
        <v>0</v>
      </c>
      <c r="I17" s="104">
        <v>0</v>
      </c>
      <c r="J17" s="104">
        <v>0</v>
      </c>
      <c r="K17" s="104">
        <v>0</v>
      </c>
      <c r="L17" s="104">
        <v>0</v>
      </c>
      <c r="M17" s="30">
        <v>0</v>
      </c>
      <c r="N17" s="30">
        <v>0</v>
      </c>
      <c r="O17" s="30">
        <v>0</v>
      </c>
      <c r="P17" s="30">
        <v>0</v>
      </c>
      <c r="Q17" s="30">
        <v>0</v>
      </c>
      <c r="R17" s="15"/>
      <c r="S17" s="32">
        <f>D17*F17-(G17*$G$7+H17*$H$7+I17*$I$7+J17*$J$7+K17*$K$7+L17*$L$7)-M17*N17-P17*O17+Q17+R17</f>
        <v>0</v>
      </c>
      <c r="T17" s="29"/>
      <c r="U17" s="29"/>
      <c r="V17" s="29"/>
      <c r="W17" s="87"/>
    </row>
    <row r="18" spans="1:23" ht="15.75" customHeight="1">
      <c r="A18" s="23">
        <v>10</v>
      </c>
      <c r="B18" s="34"/>
      <c r="C18" s="34" t="s">
        <v>1798</v>
      </c>
      <c r="D18" s="34"/>
      <c r="E18" s="35">
        <f>E11</f>
        <v>0</v>
      </c>
      <c r="F18" s="36"/>
      <c r="G18" s="36"/>
      <c r="H18" s="36"/>
      <c r="I18" s="36"/>
      <c r="J18" s="36"/>
      <c r="K18" s="36"/>
      <c r="L18" s="36"/>
      <c r="M18" s="36"/>
      <c r="N18" s="36"/>
      <c r="O18" s="36"/>
      <c r="P18" s="36"/>
      <c r="Q18" s="36"/>
      <c r="R18" s="36"/>
      <c r="S18" s="35">
        <f>S12+S14+S17</f>
        <v>0</v>
      </c>
      <c r="T18" s="35">
        <f>D11-($G$6*G17+$H$6*H17+$I$6*I17+$J$6*J17+$K$6*K17+L17)</f>
        <v>0</v>
      </c>
      <c r="U18" s="35">
        <f>M17*0.12</f>
        <v>0</v>
      </c>
      <c r="V18" s="35">
        <f>O17*0.7</f>
        <v>0</v>
      </c>
      <c r="W18" s="88">
        <v>0</v>
      </c>
    </row>
    <row r="19" spans="1:23" ht="24.75" customHeight="1">
      <c r="A19" s="37" t="s">
        <v>60</v>
      </c>
      <c r="B19" s="38"/>
      <c r="C19" s="39" t="s">
        <v>1799</v>
      </c>
      <c r="D19" s="38"/>
      <c r="E19" s="38"/>
      <c r="F19" s="38"/>
      <c r="G19" s="40"/>
      <c r="H19" s="40"/>
      <c r="I19" s="40"/>
      <c r="J19" s="40"/>
      <c r="K19" s="40"/>
      <c r="L19" s="40"/>
      <c r="M19" s="40"/>
      <c r="N19" s="40"/>
      <c r="O19" s="40"/>
      <c r="P19" s="40"/>
      <c r="Q19" s="40"/>
      <c r="R19" s="38"/>
      <c r="S19" s="38"/>
      <c r="T19" s="38"/>
      <c r="U19" s="40"/>
      <c r="V19" s="40"/>
      <c r="W19" s="89"/>
    </row>
    <row r="20" spans="1:23" ht="15.75" customHeight="1">
      <c r="A20" s="41">
        <v>1</v>
      </c>
      <c r="B20" s="15" t="s">
        <v>1374</v>
      </c>
      <c r="C20" s="15" t="s">
        <v>1800</v>
      </c>
      <c r="D20" s="104">
        <v>20.94</v>
      </c>
      <c r="E20" s="104">
        <v>23.35</v>
      </c>
      <c r="F20" s="15"/>
      <c r="G20" s="29"/>
      <c r="H20" s="29"/>
      <c r="I20" s="29"/>
      <c r="J20" s="29"/>
      <c r="K20" s="29"/>
      <c r="L20" s="29"/>
      <c r="M20" s="29"/>
      <c r="N20" s="29"/>
      <c r="O20" s="29"/>
      <c r="P20" s="29"/>
      <c r="Q20" s="29"/>
      <c r="R20" s="29"/>
      <c r="S20" s="29"/>
      <c r="T20" s="29"/>
      <c r="U20" s="29"/>
      <c r="V20" s="29"/>
      <c r="W20" s="90"/>
    </row>
    <row r="21" spans="1:23" ht="15.75" customHeight="1">
      <c r="A21" s="41">
        <v>2</v>
      </c>
      <c r="B21" s="15"/>
      <c r="C21" s="15" t="s">
        <v>1794</v>
      </c>
      <c r="D21" s="106">
        <v>0</v>
      </c>
      <c r="E21" s="106">
        <v>0</v>
      </c>
      <c r="F21" s="106">
        <v>0</v>
      </c>
      <c r="G21" s="29"/>
      <c r="H21" s="29"/>
      <c r="I21" s="29"/>
      <c r="J21" s="29"/>
      <c r="K21" s="29"/>
      <c r="L21" s="29"/>
      <c r="M21" s="29"/>
      <c r="N21" s="29"/>
      <c r="O21" s="29"/>
      <c r="P21" s="29"/>
      <c r="Q21" s="106">
        <v>0</v>
      </c>
      <c r="R21" s="29"/>
      <c r="S21" s="16">
        <f>D21*F21</f>
        <v>0</v>
      </c>
      <c r="T21" s="29"/>
      <c r="U21" s="29"/>
      <c r="V21" s="29"/>
      <c r="W21" s="87"/>
    </row>
    <row r="22" spans="1:23" ht="15.75" customHeight="1">
      <c r="A22" s="41">
        <v>3</v>
      </c>
      <c r="B22" s="15"/>
      <c r="C22" s="15" t="s">
        <v>1801</v>
      </c>
      <c r="D22" s="32">
        <f>D20-D21</f>
        <v>20.94</v>
      </c>
      <c r="E22" s="32">
        <f>E20-E21</f>
        <v>23.35</v>
      </c>
      <c r="F22" s="104">
        <f>3-0.1-0.012-0.1-0.065-0.1</f>
        <v>2.6229999999999998</v>
      </c>
      <c r="G22" s="104">
        <v>0</v>
      </c>
      <c r="H22" s="106">
        <v>1</v>
      </c>
      <c r="I22" s="29"/>
      <c r="J22" s="29"/>
      <c r="K22" s="104">
        <v>1</v>
      </c>
      <c r="L22" s="110">
        <v>2.6</v>
      </c>
      <c r="M22" s="30"/>
      <c r="N22" s="30"/>
      <c r="O22" s="106">
        <v>0</v>
      </c>
      <c r="P22" s="106">
        <v>0</v>
      </c>
      <c r="Q22" s="106">
        <v>0</v>
      </c>
      <c r="R22" s="106">
        <v>0</v>
      </c>
      <c r="S22" s="16">
        <f>D22*F22-(G22*$G$7+H22*$H$7+I22*$I$7+J22*$J$7+K22*$K$7+L22*$L$7)-M22*N22-O22*P22+Q22+R22</f>
        <v>44.577252000000001</v>
      </c>
      <c r="T22" s="29"/>
      <c r="U22" s="29"/>
      <c r="V22" s="29"/>
      <c r="W22" s="87"/>
    </row>
    <row r="23" spans="1:23" ht="15.75" customHeight="1">
      <c r="A23" s="41"/>
      <c r="B23" s="15"/>
      <c r="C23" s="15" t="s">
        <v>240</v>
      </c>
      <c r="D23" s="107">
        <v>0</v>
      </c>
      <c r="E23" s="43"/>
      <c r="F23" s="29"/>
      <c r="G23" s="29"/>
      <c r="H23" s="29"/>
      <c r="I23" s="29"/>
      <c r="J23" s="29"/>
      <c r="K23" s="29"/>
      <c r="L23" s="29"/>
      <c r="M23" s="29"/>
      <c r="N23" s="29"/>
      <c r="O23" s="29"/>
      <c r="P23" s="29"/>
      <c r="Q23" s="29"/>
      <c r="R23" s="29"/>
      <c r="S23" s="91"/>
      <c r="T23" s="29"/>
      <c r="U23" s="29"/>
      <c r="V23" s="29"/>
      <c r="W23" s="87"/>
    </row>
    <row r="24" spans="1:23" ht="15.75" customHeight="1">
      <c r="A24" s="41"/>
      <c r="B24" s="15"/>
      <c r="C24" s="44" t="s">
        <v>285</v>
      </c>
      <c r="D24" s="108">
        <v>0</v>
      </c>
      <c r="E24" s="43"/>
      <c r="F24" s="29"/>
      <c r="G24" s="29"/>
      <c r="H24" s="29"/>
      <c r="I24" s="29"/>
      <c r="J24" s="29"/>
      <c r="K24" s="29"/>
      <c r="L24" s="29"/>
      <c r="M24" s="29"/>
      <c r="N24" s="29"/>
      <c r="O24" s="29"/>
      <c r="P24" s="29"/>
      <c r="Q24" s="29"/>
      <c r="R24" s="29"/>
      <c r="S24" s="91"/>
      <c r="T24" s="29"/>
      <c r="U24" s="29"/>
      <c r="V24" s="29"/>
      <c r="W24" s="87"/>
    </row>
    <row r="25" spans="1:23" ht="15.75" customHeight="1">
      <c r="A25" s="45">
        <v>4</v>
      </c>
      <c r="B25" s="34" t="s">
        <v>133</v>
      </c>
      <c r="C25" s="34" t="s">
        <v>1802</v>
      </c>
      <c r="D25" s="34"/>
      <c r="E25" s="34">
        <f>E20</f>
        <v>23.35</v>
      </c>
      <c r="F25" s="36"/>
      <c r="G25" s="36"/>
      <c r="H25" s="36"/>
      <c r="I25" s="36"/>
      <c r="J25" s="36"/>
      <c r="K25" s="36"/>
      <c r="L25" s="36"/>
      <c r="M25" s="36"/>
      <c r="N25" s="36"/>
      <c r="O25" s="36"/>
      <c r="P25" s="36"/>
      <c r="Q25" s="36"/>
      <c r="R25" s="36"/>
      <c r="S25" s="35">
        <f>SUM(S21:S22)</f>
        <v>44.577252000000001</v>
      </c>
      <c r="T25" s="35">
        <f>D20-($G$6*G22+$H$6*H22)</f>
        <v>20.096</v>
      </c>
      <c r="U25" s="35">
        <f>M22*0.12</f>
        <v>0</v>
      </c>
      <c r="V25" s="35">
        <f>O22*0.7</f>
        <v>0</v>
      </c>
      <c r="W25" s="88"/>
    </row>
    <row r="26" spans="1:23" ht="15.75" customHeight="1">
      <c r="A26" s="41">
        <v>5</v>
      </c>
      <c r="B26" s="15" t="s">
        <v>1803</v>
      </c>
      <c r="C26" s="15" t="s">
        <v>1804</v>
      </c>
      <c r="D26" s="106">
        <v>0</v>
      </c>
      <c r="E26" s="106">
        <v>0</v>
      </c>
      <c r="F26" s="15"/>
      <c r="G26" s="29"/>
      <c r="H26" s="29"/>
      <c r="I26" s="29"/>
      <c r="J26" s="29"/>
      <c r="K26" s="29"/>
      <c r="L26" s="29"/>
      <c r="M26" s="29"/>
      <c r="N26" s="29"/>
      <c r="O26" s="29"/>
      <c r="P26" s="29"/>
      <c r="Q26" s="29"/>
      <c r="R26" s="29"/>
      <c r="S26" s="29"/>
      <c r="T26" s="29"/>
      <c r="U26" s="29"/>
      <c r="V26" s="29"/>
      <c r="W26" s="90"/>
    </row>
    <row r="27" spans="1:23" ht="15.75" customHeight="1">
      <c r="A27" s="41">
        <v>6</v>
      </c>
      <c r="B27" s="15"/>
      <c r="C27" s="15" t="s">
        <v>1794</v>
      </c>
      <c r="D27" s="106">
        <v>0</v>
      </c>
      <c r="E27" s="106">
        <v>0</v>
      </c>
      <c r="F27" s="106">
        <v>0</v>
      </c>
      <c r="G27" s="29"/>
      <c r="H27" s="29"/>
      <c r="I27" s="29"/>
      <c r="J27" s="29"/>
      <c r="K27" s="29"/>
      <c r="L27" s="29"/>
      <c r="M27" s="29"/>
      <c r="N27" s="29"/>
      <c r="O27" s="29"/>
      <c r="P27" s="29"/>
      <c r="Q27" s="29"/>
      <c r="R27" s="29"/>
      <c r="S27" s="16">
        <f>D27*F27</f>
        <v>0</v>
      </c>
      <c r="T27" s="29"/>
      <c r="U27" s="29"/>
      <c r="V27" s="29"/>
      <c r="W27" s="87"/>
    </row>
    <row r="28" spans="1:23" ht="15.75" customHeight="1">
      <c r="A28" s="41">
        <v>7</v>
      </c>
      <c r="B28" s="15"/>
      <c r="C28" s="15" t="s">
        <v>1805</v>
      </c>
      <c r="D28" s="32">
        <f>D26-D27</f>
        <v>0</v>
      </c>
      <c r="E28" s="32">
        <f>E26-E27</f>
        <v>0</v>
      </c>
      <c r="F28" s="106">
        <v>0</v>
      </c>
      <c r="G28" s="106">
        <v>0</v>
      </c>
      <c r="H28" s="15"/>
      <c r="I28" s="29"/>
      <c r="J28" s="29"/>
      <c r="K28" s="29"/>
      <c r="L28" s="29"/>
      <c r="M28" s="106">
        <v>0</v>
      </c>
      <c r="N28" s="106">
        <v>0</v>
      </c>
      <c r="O28" s="30"/>
      <c r="P28" s="30"/>
      <c r="Q28" s="30"/>
      <c r="R28" s="30"/>
      <c r="S28" s="16">
        <f>D28*F28-(G28*$G$7+H28*$H$7+I28*$I$7+J28*$J$7+K28*$K$7+L28*$L$7)-M28*N28-O28*P28+Q28+R28</f>
        <v>0</v>
      </c>
      <c r="T28" s="29"/>
      <c r="U28" s="29"/>
      <c r="V28" s="29"/>
      <c r="W28" s="87"/>
    </row>
    <row r="29" spans="1:23" ht="15.75" customHeight="1">
      <c r="A29" s="41"/>
      <c r="B29" s="15"/>
      <c r="C29" s="44" t="s">
        <v>285</v>
      </c>
      <c r="D29" s="107">
        <v>0</v>
      </c>
      <c r="E29" s="43"/>
      <c r="F29" s="29"/>
      <c r="G29" s="29"/>
      <c r="H29" s="29"/>
      <c r="I29" s="29"/>
      <c r="J29" s="29"/>
      <c r="K29" s="29"/>
      <c r="L29" s="29"/>
      <c r="M29" s="29"/>
      <c r="N29" s="29"/>
      <c r="O29" s="29"/>
      <c r="P29" s="29"/>
      <c r="Q29" s="29"/>
      <c r="R29" s="29"/>
      <c r="S29" s="91"/>
      <c r="T29" s="29"/>
      <c r="U29" s="29"/>
      <c r="V29" s="29"/>
      <c r="W29" s="87"/>
    </row>
    <row r="30" spans="1:23" ht="15.75" customHeight="1">
      <c r="A30" s="46">
        <v>8</v>
      </c>
      <c r="B30" s="47" t="s">
        <v>246</v>
      </c>
      <c r="C30" s="34" t="s">
        <v>1806</v>
      </c>
      <c r="D30" s="34"/>
      <c r="E30" s="34">
        <f>E26</f>
        <v>0</v>
      </c>
      <c r="F30" s="36"/>
      <c r="G30" s="36"/>
      <c r="H30" s="36"/>
      <c r="I30" s="36"/>
      <c r="J30" s="36"/>
      <c r="K30" s="36"/>
      <c r="L30" s="36"/>
      <c r="M30" s="36"/>
      <c r="N30" s="36"/>
      <c r="O30" s="36"/>
      <c r="P30" s="36"/>
      <c r="Q30" s="36"/>
      <c r="R30" s="36"/>
      <c r="S30" s="35">
        <f>SUM(S27:S28)</f>
        <v>0</v>
      </c>
      <c r="T30" s="35">
        <f>D26-($G$6*G28+$H$6*H28)</f>
        <v>0</v>
      </c>
      <c r="U30" s="35">
        <f>M28*0.12</f>
        <v>0</v>
      </c>
      <c r="V30" s="35">
        <f>O28*0.7</f>
        <v>0</v>
      </c>
      <c r="W30" s="88">
        <v>0</v>
      </c>
    </row>
    <row r="31" spans="1:23" ht="15.75" customHeight="1">
      <c r="A31" s="41">
        <v>9</v>
      </c>
      <c r="B31" s="15" t="s">
        <v>1807</v>
      </c>
      <c r="C31" s="15" t="s">
        <v>1808</v>
      </c>
      <c r="D31" s="106">
        <v>0</v>
      </c>
      <c r="E31" s="106">
        <v>0</v>
      </c>
      <c r="F31" s="15"/>
      <c r="G31" s="29"/>
      <c r="H31" s="29"/>
      <c r="I31" s="29"/>
      <c r="J31" s="29"/>
      <c r="K31" s="29"/>
      <c r="L31" s="29"/>
      <c r="M31" s="29"/>
      <c r="N31" s="29"/>
      <c r="O31" s="29"/>
      <c r="P31" s="29"/>
      <c r="Q31" s="29"/>
      <c r="R31" s="29"/>
      <c r="S31" s="29"/>
      <c r="T31" s="29"/>
      <c r="U31" s="29"/>
      <c r="V31" s="29"/>
      <c r="W31" s="90"/>
    </row>
    <row r="32" spans="1:23" ht="15.75" customHeight="1">
      <c r="A32" s="41">
        <v>10</v>
      </c>
      <c r="B32" s="15"/>
      <c r="C32" s="15" t="s">
        <v>1794</v>
      </c>
      <c r="D32" s="106">
        <v>0</v>
      </c>
      <c r="E32" s="106">
        <v>0</v>
      </c>
      <c r="F32" s="106">
        <v>0</v>
      </c>
      <c r="G32" s="29"/>
      <c r="H32" s="29"/>
      <c r="I32" s="29"/>
      <c r="J32" s="29"/>
      <c r="K32" s="29"/>
      <c r="L32" s="29"/>
      <c r="M32" s="29"/>
      <c r="N32" s="29"/>
      <c r="O32" s="29"/>
      <c r="P32" s="29"/>
      <c r="Q32" s="29"/>
      <c r="R32" s="29"/>
      <c r="S32" s="16">
        <f>D32*F32</f>
        <v>0</v>
      </c>
      <c r="T32" s="29"/>
      <c r="U32" s="29"/>
      <c r="V32" s="29"/>
      <c r="W32" s="87"/>
    </row>
    <row r="33" spans="1:23" ht="15.75" customHeight="1">
      <c r="A33" s="41">
        <v>11</v>
      </c>
      <c r="B33" s="15"/>
      <c r="C33" s="15" t="s">
        <v>1809</v>
      </c>
      <c r="D33" s="97">
        <f>D31-D32</f>
        <v>0</v>
      </c>
      <c r="E33" s="97"/>
      <c r="F33" s="106">
        <v>0</v>
      </c>
      <c r="G33" s="106">
        <v>0</v>
      </c>
      <c r="H33" s="15"/>
      <c r="I33" s="29"/>
      <c r="J33" s="29"/>
      <c r="K33" s="29"/>
      <c r="L33" s="29"/>
      <c r="M33" s="106">
        <v>0</v>
      </c>
      <c r="N33" s="106">
        <v>0</v>
      </c>
      <c r="O33" s="30"/>
      <c r="P33" s="30"/>
      <c r="Q33" s="106">
        <v>0</v>
      </c>
      <c r="R33" s="106">
        <v>0</v>
      </c>
      <c r="S33" s="16">
        <f>D33*F33-(G33*$G$7+H33*$H$7+I33*$I$7+J33*$J$7+K33*$K$7+L33*$L$7)-M33*N33-O33*P33+Q33+R33</f>
        <v>0</v>
      </c>
      <c r="T33" s="29"/>
      <c r="U33" s="29"/>
      <c r="V33" s="29"/>
      <c r="W33" s="87"/>
    </row>
    <row r="34" spans="1:23" ht="15.75" customHeight="1">
      <c r="A34" s="41"/>
      <c r="B34" s="15"/>
      <c r="C34" s="44" t="s">
        <v>285</v>
      </c>
      <c r="D34" s="107">
        <v>0</v>
      </c>
      <c r="E34" s="43"/>
      <c r="F34" s="29"/>
      <c r="G34" s="29"/>
      <c r="H34" s="29"/>
      <c r="I34" s="29"/>
      <c r="J34" s="29"/>
      <c r="K34" s="29"/>
      <c r="L34" s="29"/>
      <c r="M34" s="29"/>
      <c r="N34" s="29"/>
      <c r="O34" s="29"/>
      <c r="P34" s="29"/>
      <c r="Q34" s="29"/>
      <c r="R34" s="29"/>
      <c r="S34" s="91"/>
      <c r="T34" s="29"/>
      <c r="U34" s="29"/>
      <c r="V34" s="29"/>
      <c r="W34" s="87"/>
    </row>
    <row r="35" spans="1:23" ht="15.75" customHeight="1">
      <c r="A35" s="46">
        <v>12</v>
      </c>
      <c r="B35" s="47" t="s">
        <v>136</v>
      </c>
      <c r="C35" s="34" t="s">
        <v>1810</v>
      </c>
      <c r="D35" s="34"/>
      <c r="E35" s="34">
        <f>E31</f>
        <v>0</v>
      </c>
      <c r="F35" s="36"/>
      <c r="G35" s="36"/>
      <c r="H35" s="36"/>
      <c r="I35" s="36"/>
      <c r="J35" s="36"/>
      <c r="K35" s="36"/>
      <c r="L35" s="36"/>
      <c r="M35" s="36"/>
      <c r="N35" s="36"/>
      <c r="O35" s="36"/>
      <c r="P35" s="36"/>
      <c r="Q35" s="36"/>
      <c r="R35" s="36"/>
      <c r="S35" s="35">
        <f>SUM(S32:S33)</f>
        <v>0</v>
      </c>
      <c r="T35" s="35">
        <f>D31-($G$6*G33+$H$6*H33)</f>
        <v>0</v>
      </c>
      <c r="U35" s="35">
        <f>M33*0.12</f>
        <v>0</v>
      </c>
      <c r="V35" s="35">
        <f>O33*0.7</f>
        <v>0</v>
      </c>
      <c r="W35" s="88">
        <v>0</v>
      </c>
    </row>
    <row r="36" spans="1:23" ht="15.75" customHeight="1">
      <c r="A36" s="46">
        <v>13</v>
      </c>
      <c r="B36" s="47"/>
      <c r="C36" s="34" t="s">
        <v>1811</v>
      </c>
      <c r="D36" s="47"/>
      <c r="E36" s="35">
        <f>E25+E30+E35</f>
        <v>23.35</v>
      </c>
      <c r="F36" s="47"/>
      <c r="G36" s="47"/>
      <c r="H36" s="47"/>
      <c r="I36" s="47"/>
      <c r="J36" s="47"/>
      <c r="K36" s="47"/>
      <c r="L36" s="47"/>
      <c r="M36" s="47"/>
      <c r="N36" s="47"/>
      <c r="O36" s="47"/>
      <c r="P36" s="47"/>
      <c r="Q36" s="47"/>
      <c r="R36" s="47"/>
      <c r="S36" s="35">
        <f t="shared" ref="S36" si="0">S25+S30+S35</f>
        <v>44.577252000000001</v>
      </c>
      <c r="T36" s="35">
        <f>T25+T30+T35</f>
        <v>20.096</v>
      </c>
      <c r="U36" s="35">
        <f>U25+U30+U35</f>
        <v>0</v>
      </c>
      <c r="V36" s="35">
        <f>V25+V30+V35</f>
        <v>0</v>
      </c>
      <c r="W36" s="35">
        <f>W25+W30+W35</f>
        <v>0</v>
      </c>
    </row>
    <row r="37" spans="1:23" ht="24.75" customHeight="1">
      <c r="A37" s="37" t="s">
        <v>60</v>
      </c>
      <c r="B37" s="38"/>
      <c r="C37" s="39" t="s">
        <v>1812</v>
      </c>
      <c r="D37" s="38"/>
      <c r="E37" s="38"/>
      <c r="F37" s="38"/>
      <c r="G37" s="40"/>
      <c r="H37" s="40"/>
      <c r="I37" s="40"/>
      <c r="J37" s="40"/>
      <c r="K37" s="40"/>
      <c r="L37" s="40"/>
      <c r="M37" s="40"/>
      <c r="N37" s="40"/>
      <c r="O37" s="40"/>
      <c r="P37" s="40"/>
      <c r="Q37" s="40"/>
      <c r="R37" s="38"/>
      <c r="S37" s="38">
        <v>0</v>
      </c>
      <c r="T37" s="38"/>
      <c r="U37" s="40"/>
      <c r="V37" s="40"/>
      <c r="W37" s="89"/>
    </row>
    <row r="38" spans="1:23" ht="15.75" customHeight="1">
      <c r="A38" s="48">
        <v>7</v>
      </c>
      <c r="B38" s="49"/>
      <c r="C38" s="49" t="s">
        <v>634</v>
      </c>
      <c r="D38" s="32">
        <v>0</v>
      </c>
      <c r="E38" s="32">
        <v>0</v>
      </c>
      <c r="F38" s="49">
        <v>0</v>
      </c>
      <c r="G38" s="49">
        <v>0</v>
      </c>
      <c r="H38" s="49"/>
      <c r="I38" s="81"/>
      <c r="J38" s="81"/>
      <c r="K38" s="81"/>
      <c r="L38" s="81"/>
      <c r="M38" s="81"/>
      <c r="N38" s="81"/>
      <c r="O38" s="81"/>
      <c r="P38" s="81"/>
      <c r="Q38" s="81"/>
      <c r="R38" s="81"/>
      <c r="S38" s="32">
        <f>(D38*F38-G7*G38-H7*H38)*S37</f>
        <v>0</v>
      </c>
      <c r="T38" s="43">
        <f>(D38-G6)*S37</f>
        <v>0</v>
      </c>
      <c r="U38" s="81"/>
      <c r="V38" s="81"/>
      <c r="W38" s="92"/>
    </row>
    <row r="39" spans="1:23" ht="33.75" customHeight="1">
      <c r="A39" s="50"/>
      <c r="B39" s="51"/>
      <c r="C39" s="51"/>
      <c r="D39" s="51"/>
      <c r="E39" s="51"/>
      <c r="F39" s="51"/>
      <c r="G39" s="51"/>
      <c r="H39" s="51"/>
      <c r="I39" s="51"/>
      <c r="J39" s="51"/>
      <c r="K39" s="51"/>
      <c r="L39" s="51"/>
      <c r="M39" s="51"/>
      <c r="N39" s="51"/>
      <c r="O39" s="51"/>
      <c r="P39" s="51"/>
      <c r="Q39" s="51"/>
      <c r="R39" s="51"/>
      <c r="S39" s="51"/>
      <c r="T39" s="51"/>
      <c r="U39" s="51"/>
      <c r="V39" s="51"/>
    </row>
    <row r="40" spans="1:23" ht="22.5" customHeight="1">
      <c r="A40" s="994" t="s">
        <v>54</v>
      </c>
      <c r="B40" s="990" t="s">
        <v>1758</v>
      </c>
      <c r="C40" s="990" t="s">
        <v>1767</v>
      </c>
      <c r="D40" s="14" t="s">
        <v>1768</v>
      </c>
      <c r="E40" s="14" t="s">
        <v>1769</v>
      </c>
      <c r="F40" s="998" t="s">
        <v>1813</v>
      </c>
      <c r="G40" s="15" t="s">
        <v>1771</v>
      </c>
      <c r="H40" s="999" t="s">
        <v>1773</v>
      </c>
      <c r="I40" s="999"/>
      <c r="J40" s="999" t="s">
        <v>1774</v>
      </c>
      <c r="K40" s="999"/>
      <c r="L40" s="15" t="s">
        <v>315</v>
      </c>
      <c r="M40" s="15" t="s">
        <v>1814</v>
      </c>
      <c r="N40" s="82" t="s">
        <v>1815</v>
      </c>
      <c r="O40" s="15" t="s">
        <v>1816</v>
      </c>
      <c r="P40" s="15"/>
      <c r="Q40" s="988" t="s">
        <v>1817</v>
      </c>
      <c r="R40" s="988" t="s">
        <v>1818</v>
      </c>
      <c r="S40" s="988" t="s">
        <v>1819</v>
      </c>
      <c r="T40" s="988" t="s">
        <v>1820</v>
      </c>
      <c r="U40" s="52" t="s">
        <v>275</v>
      </c>
      <c r="V40" s="52" t="s">
        <v>335</v>
      </c>
      <c r="W40" s="52" t="s">
        <v>338</v>
      </c>
    </row>
    <row r="41" spans="1:23" ht="24" customHeight="1">
      <c r="A41" s="994"/>
      <c r="B41" s="990"/>
      <c r="C41" s="990"/>
      <c r="D41" s="988" t="s">
        <v>1780</v>
      </c>
      <c r="E41" s="988"/>
      <c r="F41" s="998"/>
      <c r="G41" s="14" t="s">
        <v>1482</v>
      </c>
      <c r="H41" s="15" t="s">
        <v>1821</v>
      </c>
      <c r="I41" s="15" t="s">
        <v>1822</v>
      </c>
      <c r="J41" s="15" t="s">
        <v>1821</v>
      </c>
      <c r="K41" s="15" t="s">
        <v>1822</v>
      </c>
      <c r="L41" s="15" t="s">
        <v>1823</v>
      </c>
      <c r="M41" s="15" t="s">
        <v>1823</v>
      </c>
      <c r="N41" s="15" t="s">
        <v>1823</v>
      </c>
      <c r="O41" s="15" t="s">
        <v>1824</v>
      </c>
      <c r="P41" s="15"/>
      <c r="Q41" s="988"/>
      <c r="R41" s="988"/>
      <c r="S41" s="988"/>
      <c r="T41" s="988"/>
      <c r="U41" s="15" t="s">
        <v>1823</v>
      </c>
      <c r="V41" s="93" t="s">
        <v>336</v>
      </c>
      <c r="W41" s="93" t="s">
        <v>231</v>
      </c>
    </row>
    <row r="42" spans="1:23" ht="24.75" customHeight="1">
      <c r="A42" s="994"/>
      <c r="B42" s="990"/>
      <c r="C42" s="990"/>
      <c r="D42" s="14" t="s">
        <v>235</v>
      </c>
      <c r="E42" s="14" t="s">
        <v>1092</v>
      </c>
      <c r="F42" s="998"/>
      <c r="G42" s="16"/>
      <c r="H42" s="15"/>
      <c r="I42" s="15"/>
      <c r="J42" s="15"/>
      <c r="K42" s="15"/>
      <c r="L42" s="15"/>
      <c r="M42" s="15"/>
      <c r="N42" s="15"/>
      <c r="O42" s="15"/>
      <c r="P42" s="15"/>
      <c r="Q42" s="988"/>
      <c r="R42" s="988"/>
      <c r="S42" s="988"/>
      <c r="T42" s="988"/>
      <c r="U42" s="15"/>
      <c r="V42" s="15"/>
      <c r="W42" s="94"/>
    </row>
    <row r="43" spans="1:23" ht="24" customHeight="1">
      <c r="A43" s="53" t="s">
        <v>62</v>
      </c>
      <c r="B43" s="54"/>
      <c r="C43" s="54" t="s">
        <v>299</v>
      </c>
      <c r="D43" s="54"/>
      <c r="E43" s="54"/>
      <c r="F43" s="54"/>
      <c r="G43" s="54"/>
      <c r="H43" s="54"/>
      <c r="I43" s="54"/>
      <c r="J43" s="54"/>
      <c r="K43" s="54"/>
      <c r="L43" s="54"/>
      <c r="M43" s="54"/>
      <c r="N43" s="54"/>
      <c r="O43" s="54"/>
      <c r="P43" s="54"/>
      <c r="Q43" s="54"/>
      <c r="R43" s="54"/>
      <c r="S43" s="54"/>
      <c r="T43" s="54"/>
      <c r="U43" s="54"/>
      <c r="V43" s="54"/>
      <c r="W43" s="95"/>
    </row>
    <row r="44" spans="1:23" ht="24" customHeight="1">
      <c r="A44" s="55">
        <v>1</v>
      </c>
      <c r="B44" s="56"/>
      <c r="C44" s="56" t="s">
        <v>1825</v>
      </c>
      <c r="D44" s="104">
        <v>7.28</v>
      </c>
      <c r="E44" s="104">
        <v>4.24</v>
      </c>
      <c r="F44" s="104">
        <f>2.33+0.02</f>
        <v>2.35</v>
      </c>
      <c r="G44" s="104">
        <v>1</v>
      </c>
      <c r="H44" s="104">
        <v>0</v>
      </c>
      <c r="I44" s="104">
        <v>0</v>
      </c>
      <c r="J44" s="56"/>
      <c r="K44" s="56"/>
      <c r="L44" s="104">
        <v>1.05</v>
      </c>
      <c r="M44" s="104">
        <v>1.1499999999999999</v>
      </c>
      <c r="N44" s="104"/>
      <c r="O44" s="104">
        <v>1.88</v>
      </c>
      <c r="P44" s="56"/>
      <c r="Q44" s="56"/>
      <c r="R44" s="96">
        <f>D44*1.8+D45*1.8-$H$6*G44*1.8-(1.8-0.9)*H44+(H44+(1.8-0.9)*2)*0.1</f>
        <v>11.764800000000001</v>
      </c>
      <c r="S44" s="97">
        <f>D44*F44+D45*F45-$H$7*G44-H44*I44+(H44+I44)*2*0.1</f>
        <v>15.190432000000001</v>
      </c>
      <c r="T44" s="97">
        <f>E44+(D44+D45-$H$6)*0.15</f>
        <v>5.2054</v>
      </c>
      <c r="U44" s="56"/>
      <c r="V44" s="56"/>
      <c r="W44" s="98"/>
    </row>
    <row r="45" spans="1:23" ht="24" customHeight="1">
      <c r="A45" s="55"/>
      <c r="B45" s="56"/>
      <c r="C45" s="56"/>
      <c r="D45" s="104"/>
      <c r="E45" s="56"/>
      <c r="F45" s="104"/>
      <c r="G45" s="56"/>
      <c r="H45" s="56"/>
      <c r="I45" s="56"/>
      <c r="J45" s="56"/>
      <c r="K45" s="56"/>
      <c r="L45" s="56"/>
      <c r="M45" s="56"/>
      <c r="N45" s="56"/>
      <c r="O45" s="56"/>
      <c r="P45" s="56"/>
      <c r="Q45" s="56"/>
      <c r="R45" s="96"/>
      <c r="S45" s="96"/>
      <c r="T45" s="96"/>
      <c r="U45" s="56"/>
      <c r="V45" s="56"/>
      <c r="W45" s="98"/>
    </row>
    <row r="46" spans="1:23" ht="24" customHeight="1">
      <c r="A46" s="55">
        <v>2</v>
      </c>
      <c r="B46" s="56"/>
      <c r="C46" s="56" t="s">
        <v>1826</v>
      </c>
      <c r="D46" s="30"/>
      <c r="E46" s="30"/>
      <c r="F46" s="30"/>
      <c r="G46" s="30"/>
      <c r="H46" s="30"/>
      <c r="I46" s="30"/>
      <c r="J46" s="30"/>
      <c r="K46" s="30"/>
      <c r="L46" s="30"/>
      <c r="M46" s="30"/>
      <c r="N46" s="30"/>
      <c r="O46" s="30"/>
      <c r="P46" s="30"/>
      <c r="Q46" s="56"/>
      <c r="R46" s="96">
        <f>(D46*1.8-$H$6*G46*1.8-(1.8-0.9)*H46+(H46+(1.8-0.9)*2)*0.1)*$J$3</f>
        <v>0</v>
      </c>
      <c r="S46" s="96">
        <f>D46*F46-$H$7*G46-H46*I46+(H46+I46)*2*0.1</f>
        <v>0</v>
      </c>
      <c r="T46" s="96">
        <f>(E46+(D46-$H$6)*0.15)*$J$3</f>
        <v>0</v>
      </c>
      <c r="U46" s="56"/>
      <c r="V46" s="56"/>
      <c r="W46" s="98"/>
    </row>
    <row r="47" spans="1:23" ht="24" customHeight="1">
      <c r="A47" s="55"/>
      <c r="B47" s="56"/>
      <c r="C47" s="56"/>
      <c r="D47" s="30"/>
      <c r="E47" s="30"/>
      <c r="F47" s="30"/>
      <c r="G47" s="30"/>
      <c r="H47" s="30"/>
      <c r="I47" s="30"/>
      <c r="J47" s="30"/>
      <c r="K47" s="30"/>
      <c r="L47" s="30"/>
      <c r="M47" s="30"/>
      <c r="N47" s="30"/>
      <c r="O47" s="30"/>
      <c r="P47" s="30"/>
      <c r="Q47" s="56"/>
      <c r="R47" s="96"/>
      <c r="S47" s="96"/>
      <c r="T47" s="96"/>
      <c r="U47" s="56"/>
      <c r="V47" s="56"/>
      <c r="W47" s="98"/>
    </row>
    <row r="48" spans="1:23" ht="24" customHeight="1">
      <c r="A48" s="46">
        <v>3</v>
      </c>
      <c r="B48" s="47"/>
      <c r="C48" s="34" t="s">
        <v>1827</v>
      </c>
      <c r="D48" s="47"/>
      <c r="E48" s="35">
        <f>E44+E46</f>
        <v>4.24</v>
      </c>
      <c r="F48" s="35"/>
      <c r="G48" s="35"/>
      <c r="H48" s="35"/>
      <c r="I48" s="35"/>
      <c r="J48" s="35"/>
      <c r="K48" s="35"/>
      <c r="L48" s="35">
        <f t="shared" ref="L48" si="1">SUM(L44:L46)</f>
        <v>1.05</v>
      </c>
      <c r="M48" s="35">
        <f t="shared" ref="M48:W48" si="2">SUM(M44:M46)</f>
        <v>1.1499999999999999</v>
      </c>
      <c r="N48" s="35">
        <f t="shared" si="2"/>
        <v>0</v>
      </c>
      <c r="O48" s="35">
        <f t="shared" si="2"/>
        <v>1.88</v>
      </c>
      <c r="P48" s="35">
        <f t="shared" si="2"/>
        <v>0</v>
      </c>
      <c r="Q48" s="35">
        <f t="shared" si="2"/>
        <v>0</v>
      </c>
      <c r="R48" s="35">
        <f t="shared" si="2"/>
        <v>11.764800000000001</v>
      </c>
      <c r="S48" s="35">
        <f t="shared" si="2"/>
        <v>15.190432000000001</v>
      </c>
      <c r="T48" s="35">
        <f t="shared" si="2"/>
        <v>5.2054</v>
      </c>
      <c r="U48" s="35">
        <f t="shared" si="2"/>
        <v>0</v>
      </c>
      <c r="V48" s="35">
        <f t="shared" si="2"/>
        <v>0</v>
      </c>
      <c r="W48" s="35">
        <f t="shared" si="2"/>
        <v>0</v>
      </c>
    </row>
    <row r="49" spans="1:23" ht="24" customHeight="1">
      <c r="A49" s="57"/>
      <c r="B49" s="58"/>
      <c r="C49" s="59"/>
      <c r="D49" s="58"/>
      <c r="E49" s="60"/>
      <c r="F49" s="60"/>
      <c r="G49" s="60"/>
      <c r="H49" s="60"/>
      <c r="I49" s="60"/>
      <c r="J49" s="60"/>
      <c r="K49" s="60"/>
      <c r="L49" s="60"/>
      <c r="M49" s="60"/>
      <c r="N49" s="60"/>
      <c r="O49" s="60"/>
      <c r="P49" s="60"/>
      <c r="Q49" s="60"/>
      <c r="R49" s="60"/>
      <c r="S49" s="60"/>
      <c r="T49" s="60"/>
      <c r="U49" s="60"/>
      <c r="V49" s="60"/>
      <c r="W49" s="99"/>
    </row>
    <row r="50" spans="1:23" ht="30" customHeight="1">
      <c r="A50" s="994" t="s">
        <v>54</v>
      </c>
      <c r="B50" s="990" t="s">
        <v>1758</v>
      </c>
      <c r="C50" s="990" t="s">
        <v>1767</v>
      </c>
      <c r="D50" s="14" t="s">
        <v>1768</v>
      </c>
      <c r="E50" s="14" t="s">
        <v>1769</v>
      </c>
      <c r="F50" s="998" t="s">
        <v>1813</v>
      </c>
      <c r="G50" s="61" t="s">
        <v>1771</v>
      </c>
      <c r="H50" s="62"/>
      <c r="I50" s="996" t="s">
        <v>1828</v>
      </c>
      <c r="J50" s="997"/>
      <c r="K50" s="988" t="s">
        <v>1829</v>
      </c>
      <c r="L50" s="988"/>
      <c r="M50" s="1003" t="s">
        <v>375</v>
      </c>
      <c r="N50" s="988" t="s">
        <v>1818</v>
      </c>
      <c r="O50" s="988" t="s">
        <v>1819</v>
      </c>
      <c r="P50" s="988" t="s">
        <v>1830</v>
      </c>
      <c r="Q50" s="988" t="s">
        <v>1831</v>
      </c>
      <c r="R50" s="988" t="s">
        <v>1832</v>
      </c>
      <c r="S50" s="988"/>
      <c r="T50" s="988"/>
      <c r="U50" s="15"/>
      <c r="V50" s="52" t="s">
        <v>335</v>
      </c>
      <c r="W50" s="52" t="s">
        <v>338</v>
      </c>
    </row>
    <row r="51" spans="1:23" ht="35.25" customHeight="1">
      <c r="A51" s="994"/>
      <c r="B51" s="990"/>
      <c r="C51" s="990"/>
      <c r="D51" s="988" t="s">
        <v>1780</v>
      </c>
      <c r="E51" s="988"/>
      <c r="F51" s="998"/>
      <c r="G51" s="14" t="s">
        <v>1782</v>
      </c>
      <c r="H51" s="14" t="s">
        <v>1783</v>
      </c>
      <c r="I51" s="14" t="s">
        <v>1833</v>
      </c>
      <c r="J51" s="15" t="s">
        <v>1834</v>
      </c>
      <c r="K51" s="14" t="s">
        <v>1833</v>
      </c>
      <c r="L51" s="15" t="s">
        <v>1834</v>
      </c>
      <c r="M51" s="1004"/>
      <c r="N51" s="988"/>
      <c r="O51" s="988"/>
      <c r="P51" s="988"/>
      <c r="Q51" s="988"/>
      <c r="R51" s="988"/>
      <c r="S51" s="988"/>
      <c r="T51" s="988"/>
      <c r="U51" s="15"/>
      <c r="V51" s="93" t="s">
        <v>336</v>
      </c>
      <c r="W51" s="93" t="s">
        <v>231</v>
      </c>
    </row>
    <row r="52" spans="1:23" ht="24.75" customHeight="1">
      <c r="A52" s="994"/>
      <c r="B52" s="990"/>
      <c r="C52" s="990"/>
      <c r="D52" s="14" t="s">
        <v>235</v>
      </c>
      <c r="E52" s="14" t="s">
        <v>1092</v>
      </c>
      <c r="F52" s="998"/>
      <c r="G52" s="16"/>
      <c r="H52" s="15"/>
      <c r="I52" s="15" t="s">
        <v>1823</v>
      </c>
      <c r="J52" s="15" t="s">
        <v>1823</v>
      </c>
      <c r="K52" s="15" t="s">
        <v>1823</v>
      </c>
      <c r="L52" s="15" t="s">
        <v>1823</v>
      </c>
      <c r="M52" s="17" t="s">
        <v>1092</v>
      </c>
      <c r="N52" s="988"/>
      <c r="O52" s="988"/>
      <c r="P52" s="15" t="s">
        <v>1835</v>
      </c>
      <c r="Q52" s="15" t="s">
        <v>1835</v>
      </c>
      <c r="R52" s="15" t="s">
        <v>1835</v>
      </c>
      <c r="S52" s="988"/>
      <c r="T52" s="988"/>
      <c r="U52" s="15"/>
      <c r="V52" s="15"/>
      <c r="W52" s="94"/>
    </row>
    <row r="53" spans="1:23" ht="24" customHeight="1">
      <c r="A53" s="53" t="s">
        <v>64</v>
      </c>
      <c r="B53" s="54"/>
      <c r="C53" s="54" t="s">
        <v>1354</v>
      </c>
      <c r="D53" s="54"/>
      <c r="E53" s="54"/>
      <c r="F53" s="54"/>
      <c r="G53" s="54"/>
      <c r="H53" s="54"/>
      <c r="I53" s="54"/>
      <c r="J53" s="54"/>
      <c r="K53" s="54"/>
      <c r="L53" s="54"/>
      <c r="M53" s="54"/>
      <c r="N53" s="54"/>
      <c r="O53" s="54"/>
      <c r="P53" s="54"/>
      <c r="Q53" s="54"/>
      <c r="R53" s="54"/>
      <c r="S53" s="54"/>
      <c r="T53" s="54"/>
      <c r="U53" s="54"/>
      <c r="V53" s="54"/>
      <c r="W53" s="95"/>
    </row>
    <row r="54" spans="1:23" ht="15.75" customHeight="1">
      <c r="A54" s="63" t="s">
        <v>1836</v>
      </c>
      <c r="B54" s="64" t="s">
        <v>133</v>
      </c>
      <c r="C54" s="64" t="s">
        <v>1837</v>
      </c>
      <c r="D54" s="109">
        <v>10.19</v>
      </c>
      <c r="E54" s="109">
        <v>5.88</v>
      </c>
      <c r="F54" s="109">
        <f>2.38</f>
        <v>2.38</v>
      </c>
      <c r="G54" s="109">
        <f>I16</f>
        <v>0</v>
      </c>
      <c r="H54" s="109">
        <f>J17</f>
        <v>0</v>
      </c>
      <c r="I54" s="111">
        <v>0</v>
      </c>
      <c r="J54" s="111">
        <v>0</v>
      </c>
      <c r="K54" s="111">
        <v>0</v>
      </c>
      <c r="L54" s="111">
        <v>0</v>
      </c>
      <c r="M54" s="109">
        <f>2.86*0.82</f>
        <v>2.3451999999999997</v>
      </c>
      <c r="N54" s="83">
        <f>(D54-I6*G54-J6*H54-I54-K54)*1</f>
        <v>10.19</v>
      </c>
      <c r="O54" s="84">
        <f>D54*F54-I7*G54-J7*H54-I54*2.24-J54*1.19-K54*2.24-L54*1.32-M54+(2.24+I54+J54+1.19+J54)*0.1*P54+(2.24*2+K54)*0.1*Q54+(1.32*2+L54*2)*0.1*R54</f>
        <v>21.907</v>
      </c>
      <c r="P54" s="111">
        <v>0</v>
      </c>
      <c r="Q54" s="111">
        <v>0</v>
      </c>
      <c r="R54" s="109">
        <v>0</v>
      </c>
      <c r="S54" s="64"/>
      <c r="T54" s="64"/>
      <c r="U54" s="64"/>
      <c r="V54" s="56">
        <f>0.6*0.12*2.4</f>
        <v>0.17279999999999998</v>
      </c>
      <c r="W54" s="98">
        <f>1.32*2.4</f>
        <v>3.1680000000000001</v>
      </c>
    </row>
    <row r="55" spans="1:23" ht="30" customHeight="1">
      <c r="A55" s="41"/>
      <c r="B55" s="15"/>
      <c r="C55" s="52" t="s">
        <v>1838</v>
      </c>
      <c r="D55" s="15"/>
      <c r="E55" s="104">
        <v>0.97</v>
      </c>
      <c r="F55" s="15"/>
      <c r="G55" s="15"/>
      <c r="H55" s="15"/>
      <c r="I55" s="15"/>
      <c r="J55" s="15"/>
      <c r="K55" s="15"/>
      <c r="L55" s="15"/>
      <c r="M55" s="15"/>
      <c r="N55" s="15"/>
      <c r="O55" s="15"/>
      <c r="P55" s="15"/>
      <c r="Q55" s="15"/>
      <c r="R55" s="15"/>
      <c r="S55" s="15"/>
      <c r="T55" s="15"/>
      <c r="U55" s="15"/>
      <c r="V55" s="15"/>
      <c r="W55" s="101"/>
    </row>
    <row r="56" spans="1:23" ht="22.5" customHeight="1">
      <c r="A56" s="66"/>
      <c r="B56" s="67"/>
      <c r="C56" s="68" t="s">
        <v>1839</v>
      </c>
      <c r="D56" s="67"/>
      <c r="E56" s="69">
        <f>E54-E55</f>
        <v>4.91</v>
      </c>
      <c r="F56" s="70"/>
      <c r="G56" s="70"/>
      <c r="H56" s="70"/>
      <c r="I56" s="70"/>
      <c r="J56" s="70"/>
      <c r="K56" s="70"/>
      <c r="L56" s="70"/>
      <c r="M56" s="70"/>
      <c r="N56" s="70"/>
      <c r="O56" s="70"/>
      <c r="P56" s="70"/>
      <c r="Q56" s="70"/>
      <c r="R56" s="70"/>
      <c r="S56" s="70"/>
      <c r="T56" s="67"/>
      <c r="U56" s="67"/>
      <c r="V56" s="67"/>
      <c r="W56" s="67"/>
    </row>
    <row r="57" spans="1:23" ht="22.5" customHeight="1">
      <c r="A57" s="71"/>
      <c r="B57" s="72"/>
      <c r="C57" s="73"/>
      <c r="D57" s="72"/>
      <c r="E57" s="74"/>
      <c r="F57" s="75"/>
      <c r="G57" s="76"/>
      <c r="H57" s="77"/>
      <c r="I57" s="76"/>
      <c r="J57" s="77"/>
      <c r="K57" s="75"/>
      <c r="L57" s="75"/>
      <c r="M57" s="75"/>
      <c r="N57" s="75"/>
      <c r="O57" s="75"/>
      <c r="P57" s="75"/>
      <c r="Q57" s="75"/>
      <c r="R57" s="75"/>
      <c r="S57" s="75"/>
      <c r="T57" s="72"/>
      <c r="U57" s="72"/>
      <c r="V57" s="72"/>
      <c r="W57" s="72"/>
    </row>
    <row r="58" spans="1:23" ht="19.5" customHeight="1">
      <c r="A58" s="3" t="s">
        <v>1840</v>
      </c>
      <c r="E58" s="4"/>
      <c r="F58" s="4"/>
      <c r="G58" s="4"/>
      <c r="H58" s="4"/>
      <c r="I58" s="4"/>
      <c r="J58" s="4"/>
      <c r="K58" s="4"/>
      <c r="L58" s="4"/>
      <c r="M58" s="4"/>
      <c r="N58" s="4"/>
      <c r="O58" s="4"/>
      <c r="P58" s="4"/>
      <c r="Q58" s="4"/>
      <c r="R58" s="4"/>
      <c r="S58" s="4"/>
    </row>
    <row r="59" spans="1:23" ht="19.5" customHeight="1">
      <c r="A59" s="3"/>
      <c r="E59" s="4"/>
      <c r="F59" s="4"/>
      <c r="G59" s="4"/>
      <c r="H59" s="4"/>
      <c r="I59" s="4"/>
      <c r="J59" s="4"/>
      <c r="K59" s="4"/>
      <c r="L59" s="4"/>
      <c r="M59" s="4"/>
      <c r="N59" s="4"/>
      <c r="O59" s="4"/>
      <c r="P59" s="4"/>
      <c r="Q59" s="4"/>
      <c r="R59" s="4"/>
      <c r="S59" s="4"/>
    </row>
  </sheetData>
  <mergeCells count="40">
    <mergeCell ref="T4:T7"/>
    <mergeCell ref="T40:T42"/>
    <mergeCell ref="T50:T52"/>
    <mergeCell ref="W4:W7"/>
    <mergeCell ref="M4:N5"/>
    <mergeCell ref="O4:P5"/>
    <mergeCell ref="U4:V5"/>
    <mergeCell ref="R4:R7"/>
    <mergeCell ref="R40:R42"/>
    <mergeCell ref="R50:R51"/>
    <mergeCell ref="S4:S7"/>
    <mergeCell ref="S40:S42"/>
    <mergeCell ref="S50:S52"/>
    <mergeCell ref="M50:M51"/>
    <mergeCell ref="N50:N52"/>
    <mergeCell ref="O50:O52"/>
    <mergeCell ref="F4:F7"/>
    <mergeCell ref="F40:F42"/>
    <mergeCell ref="F50:F52"/>
    <mergeCell ref="G4:K4"/>
    <mergeCell ref="D5:E5"/>
    <mergeCell ref="H40:I40"/>
    <mergeCell ref="J40:K40"/>
    <mergeCell ref="D41:E41"/>
    <mergeCell ref="D51:E51"/>
    <mergeCell ref="P50:P51"/>
    <mergeCell ref="Q4:Q7"/>
    <mergeCell ref="Q40:Q42"/>
    <mergeCell ref="Q50:Q51"/>
    <mergeCell ref="I50:J50"/>
    <mergeCell ref="K50:L50"/>
    <mergeCell ref="C4:C7"/>
    <mergeCell ref="C40:C42"/>
    <mergeCell ref="C50:C52"/>
    <mergeCell ref="A4:A7"/>
    <mergeCell ref="A40:A42"/>
    <mergeCell ref="A50:A52"/>
    <mergeCell ref="B4:B7"/>
    <mergeCell ref="B40:B42"/>
    <mergeCell ref="B50:B52"/>
  </mergeCells>
  <phoneticPr fontId="7" type="noConversion"/>
  <printOptions horizontalCentered="1"/>
  <pageMargins left="0.43307086614173229" right="0.23622047244094491" top="0.74803149606299213" bottom="0.74803149606299213" header="0.31496062992125984" footer="0.31496062992125984"/>
  <pageSetup paperSize="9" scale="85" orientation="portrait" blackAndWhite="1" r:id="rId1"/>
  <headerFooter alignWithMargins="0">
    <oddFooter>&amp;C第 &amp;P 页，共 &amp;N 页</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indexed="60"/>
  </sheetPr>
  <dimension ref="A1:W59"/>
  <sheetViews>
    <sheetView zoomScale="93" zoomScaleNormal="93" workbookViewId="0">
      <pane xSplit="5" ySplit="7" topLeftCell="F26" activePane="bottomRight" state="frozen"/>
      <selection activeCell="J6" sqref="J6"/>
      <selection pane="topRight" activeCell="J6" sqref="J6"/>
      <selection pane="bottomLeft" activeCell="J6" sqref="J6"/>
      <selection pane="bottomRight" activeCell="J6" sqref="J6"/>
    </sheetView>
  </sheetViews>
  <sheetFormatPr defaultColWidth="9.125" defaultRowHeight="14.25"/>
  <cols>
    <col min="1" max="1" width="6.875" customWidth="1"/>
    <col min="2" max="2" width="11.75" customWidth="1"/>
    <col min="3" max="3" width="28" customWidth="1"/>
    <col min="4" max="4" width="9.25" customWidth="1"/>
    <col min="5" max="5" width="11.75" customWidth="1"/>
    <col min="6" max="11" width="9.25" customWidth="1"/>
    <col min="12" max="12" width="10.25" customWidth="1"/>
    <col min="13" max="18" width="9.25" customWidth="1"/>
    <col min="19" max="19" width="9.75" customWidth="1"/>
    <col min="20" max="21" width="9.25" customWidth="1"/>
    <col min="22" max="22" width="9.375" customWidth="1"/>
  </cols>
  <sheetData>
    <row r="1" spans="1:23" ht="21" customHeight="1">
      <c r="A1" s="3"/>
      <c r="C1" s="1" t="s">
        <v>1755</v>
      </c>
      <c r="E1" s="4"/>
      <c r="F1" s="4"/>
      <c r="G1" s="4"/>
      <c r="H1" s="4"/>
      <c r="I1" s="4"/>
      <c r="J1" s="4"/>
      <c r="K1" s="4"/>
      <c r="L1" s="4"/>
      <c r="M1" s="4"/>
      <c r="N1" s="4"/>
      <c r="O1" s="4"/>
      <c r="P1" s="4"/>
      <c r="Q1" s="4"/>
      <c r="R1" s="4"/>
      <c r="S1" s="4"/>
    </row>
    <row r="2" spans="1:23" ht="21" customHeight="1">
      <c r="A2" s="5" t="s">
        <v>1756</v>
      </c>
      <c r="B2" s="6" t="s">
        <v>131</v>
      </c>
      <c r="C2" s="7"/>
      <c r="D2" s="8" t="s">
        <v>1758</v>
      </c>
      <c r="E2" s="6" t="s">
        <v>1841</v>
      </c>
      <c r="F2" s="9"/>
      <c r="G2" s="8" t="s">
        <v>1760</v>
      </c>
      <c r="H2" s="6">
        <v>1</v>
      </c>
      <c r="I2" s="9" t="s">
        <v>1761</v>
      </c>
      <c r="J2" s="9"/>
      <c r="K2" s="9"/>
      <c r="L2" s="9"/>
      <c r="M2" s="9"/>
      <c r="N2" s="9"/>
      <c r="O2" s="9"/>
      <c r="P2" s="9"/>
      <c r="Q2" s="9"/>
      <c r="R2" s="9"/>
      <c r="S2" s="9"/>
    </row>
    <row r="3" spans="1:23" ht="21" customHeight="1">
      <c r="A3" s="10" t="s">
        <v>120</v>
      </c>
      <c r="B3" s="11" t="s">
        <v>1841</v>
      </c>
      <c r="C3" s="7"/>
      <c r="D3" s="7"/>
      <c r="F3" s="9"/>
      <c r="G3" s="12" t="s">
        <v>1763</v>
      </c>
      <c r="H3" s="11">
        <v>1</v>
      </c>
      <c r="I3" s="9" t="s">
        <v>1764</v>
      </c>
      <c r="J3" s="9">
        <v>0</v>
      </c>
      <c r="K3" s="9" t="s">
        <v>1765</v>
      </c>
      <c r="L3" s="9">
        <v>0</v>
      </c>
      <c r="M3" s="9"/>
      <c r="N3" s="9"/>
      <c r="O3" s="9"/>
      <c r="P3" s="9"/>
      <c r="Q3" s="9"/>
      <c r="R3" s="9"/>
      <c r="S3" s="9"/>
    </row>
    <row r="4" spans="1:23" ht="35.25" customHeight="1">
      <c r="A4" s="991" t="s">
        <v>54</v>
      </c>
      <c r="B4" s="987" t="s">
        <v>1766</v>
      </c>
      <c r="C4" s="987" t="s">
        <v>1767</v>
      </c>
      <c r="D4" s="13" t="s">
        <v>1768</v>
      </c>
      <c r="E4" s="13" t="s">
        <v>1769</v>
      </c>
      <c r="F4" s="987" t="s">
        <v>1770</v>
      </c>
      <c r="G4" s="987" t="s">
        <v>1771</v>
      </c>
      <c r="H4" s="987"/>
      <c r="I4" s="987"/>
      <c r="J4" s="987"/>
      <c r="K4" s="987"/>
      <c r="L4" s="78" t="s">
        <v>1772</v>
      </c>
      <c r="M4" s="987" t="s">
        <v>1773</v>
      </c>
      <c r="N4" s="987"/>
      <c r="O4" s="987" t="s">
        <v>1774</v>
      </c>
      <c r="P4" s="987"/>
      <c r="Q4" s="987" t="s">
        <v>1775</v>
      </c>
      <c r="R4" s="987" t="s">
        <v>1776</v>
      </c>
      <c r="S4" s="987" t="s">
        <v>1777</v>
      </c>
      <c r="T4" s="987" t="s">
        <v>1778</v>
      </c>
      <c r="U4" s="987" t="s">
        <v>1574</v>
      </c>
      <c r="V4" s="987"/>
      <c r="W4" s="1000" t="s">
        <v>1779</v>
      </c>
    </row>
    <row r="5" spans="1:23" ht="24" customHeight="1">
      <c r="A5" s="992"/>
      <c r="B5" s="988"/>
      <c r="C5" s="988"/>
      <c r="D5" s="988" t="s">
        <v>1780</v>
      </c>
      <c r="E5" s="988"/>
      <c r="F5" s="988"/>
      <c r="G5" s="14" t="s">
        <v>1781</v>
      </c>
      <c r="H5" s="14" t="s">
        <v>1482</v>
      </c>
      <c r="I5" s="14" t="s">
        <v>1782</v>
      </c>
      <c r="J5" s="14" t="s">
        <v>1783</v>
      </c>
      <c r="K5" s="14" t="s">
        <v>1418</v>
      </c>
      <c r="L5" s="14" t="s">
        <v>1784</v>
      </c>
      <c r="M5" s="988"/>
      <c r="N5" s="988"/>
      <c r="O5" s="988"/>
      <c r="P5" s="988"/>
      <c r="Q5" s="988"/>
      <c r="R5" s="988"/>
      <c r="S5" s="988"/>
      <c r="T5" s="988"/>
      <c r="U5" s="988"/>
      <c r="V5" s="988"/>
      <c r="W5" s="1001"/>
    </row>
    <row r="6" spans="1:23" ht="27" customHeight="1">
      <c r="A6" s="992"/>
      <c r="B6" s="988"/>
      <c r="C6" s="988"/>
      <c r="D6" s="14"/>
      <c r="E6" s="15"/>
      <c r="F6" s="988"/>
      <c r="G6" s="16">
        <v>0.99399999999999999</v>
      </c>
      <c r="H6" s="16">
        <v>0.84399999999999997</v>
      </c>
      <c r="I6" s="16">
        <v>0.9</v>
      </c>
      <c r="J6" s="16">
        <v>1.65</v>
      </c>
      <c r="K6" s="16">
        <v>1.1599999999999999</v>
      </c>
      <c r="L6" s="79"/>
      <c r="M6" s="14" t="s">
        <v>1785</v>
      </c>
      <c r="N6" s="15" t="s">
        <v>1786</v>
      </c>
      <c r="O6" s="14" t="s">
        <v>1785</v>
      </c>
      <c r="P6" s="15" t="s">
        <v>1786</v>
      </c>
      <c r="Q6" s="988"/>
      <c r="R6" s="988"/>
      <c r="S6" s="988"/>
      <c r="T6" s="988"/>
      <c r="U6" s="14" t="s">
        <v>1787</v>
      </c>
      <c r="V6" s="14" t="s">
        <v>1788</v>
      </c>
      <c r="W6" s="1001"/>
    </row>
    <row r="7" spans="1:23" ht="24.75" customHeight="1">
      <c r="A7" s="993"/>
      <c r="B7" s="989"/>
      <c r="C7" s="989"/>
      <c r="D7" s="17" t="s">
        <v>235</v>
      </c>
      <c r="E7" s="17" t="s">
        <v>1092</v>
      </c>
      <c r="F7" s="989"/>
      <c r="G7" s="18">
        <f>0.994*2.272</f>
        <v>2.2583679999999999</v>
      </c>
      <c r="H7" s="18">
        <f>0.844*2.272</f>
        <v>1.9175679999999997</v>
      </c>
      <c r="I7" s="18">
        <f>0.9*2.19</f>
        <v>1.9710000000000001</v>
      </c>
      <c r="J7" s="18">
        <f>1.65*2.14</f>
        <v>3.5310000000000001</v>
      </c>
      <c r="K7" s="18">
        <f>1.16*2.18</f>
        <v>2.5287999999999999</v>
      </c>
      <c r="L7" s="18">
        <v>2.27</v>
      </c>
      <c r="M7" s="80"/>
      <c r="N7" s="80"/>
      <c r="O7" s="80"/>
      <c r="P7" s="80"/>
      <c r="Q7" s="995"/>
      <c r="R7" s="989"/>
      <c r="S7" s="989"/>
      <c r="T7" s="989"/>
      <c r="U7" s="80" t="s">
        <v>1789</v>
      </c>
      <c r="V7" s="80" t="s">
        <v>1790</v>
      </c>
      <c r="W7" s="1002"/>
    </row>
    <row r="8" spans="1:23" ht="24.75" customHeight="1">
      <c r="A8" s="19" t="s">
        <v>58</v>
      </c>
      <c r="B8" s="20"/>
      <c r="C8" s="21" t="s">
        <v>1406</v>
      </c>
      <c r="D8" s="20"/>
      <c r="E8" s="20"/>
      <c r="F8" s="20"/>
      <c r="G8" s="22"/>
      <c r="H8" s="22"/>
      <c r="I8" s="22"/>
      <c r="J8" s="22"/>
      <c r="K8" s="22"/>
      <c r="L8" s="22"/>
      <c r="M8" s="22"/>
      <c r="N8" s="22"/>
      <c r="O8" s="22"/>
      <c r="P8" s="22"/>
      <c r="Q8" s="22"/>
      <c r="R8" s="20"/>
      <c r="S8" s="20"/>
      <c r="T8" s="20"/>
      <c r="U8" s="22"/>
      <c r="V8" s="22"/>
      <c r="W8" s="85"/>
    </row>
    <row r="9" spans="1:23" ht="24.75" customHeight="1">
      <c r="A9" s="23">
        <v>1</v>
      </c>
      <c r="B9" s="24"/>
      <c r="C9" s="25" t="s">
        <v>237</v>
      </c>
      <c r="D9" s="103">
        <v>0</v>
      </c>
      <c r="E9" s="27"/>
      <c r="F9" s="28"/>
      <c r="G9" s="29"/>
      <c r="H9" s="29"/>
      <c r="I9" s="29"/>
      <c r="J9" s="29"/>
      <c r="K9" s="29"/>
      <c r="L9" s="29"/>
      <c r="M9" s="29"/>
      <c r="N9" s="29"/>
      <c r="O9" s="29"/>
      <c r="P9" s="29"/>
      <c r="Q9" s="29"/>
      <c r="R9" s="28"/>
      <c r="S9" s="28"/>
      <c r="T9" s="28"/>
      <c r="U9" s="29"/>
      <c r="V9" s="29"/>
      <c r="W9" s="86"/>
    </row>
    <row r="10" spans="1:23" ht="24.75" customHeight="1">
      <c r="A10" s="23">
        <v>2</v>
      </c>
      <c r="B10" s="24"/>
      <c r="C10" s="25" t="s">
        <v>241</v>
      </c>
      <c r="D10" s="104">
        <v>0</v>
      </c>
      <c r="E10" s="27"/>
      <c r="F10" s="28"/>
      <c r="G10" s="29"/>
      <c r="H10" s="29"/>
      <c r="I10" s="29"/>
      <c r="J10" s="29"/>
      <c r="K10" s="29"/>
      <c r="L10" s="29"/>
      <c r="M10" s="29"/>
      <c r="N10" s="29"/>
      <c r="O10" s="29"/>
      <c r="P10" s="29"/>
      <c r="Q10" s="29"/>
      <c r="R10" s="28"/>
      <c r="S10" s="28"/>
      <c r="T10" s="28"/>
      <c r="U10" s="29"/>
      <c r="V10" s="29"/>
      <c r="W10" s="86"/>
    </row>
    <row r="11" spans="1:23" ht="24.75" customHeight="1">
      <c r="A11" s="23">
        <v>3</v>
      </c>
      <c r="B11" s="15"/>
      <c r="C11" s="15" t="s">
        <v>1791</v>
      </c>
      <c r="D11" s="104">
        <v>24.73</v>
      </c>
      <c r="E11" s="104">
        <v>28.77</v>
      </c>
      <c r="F11" s="29"/>
      <c r="G11" s="29"/>
      <c r="H11" s="29"/>
      <c r="I11" s="29"/>
      <c r="J11" s="29"/>
      <c r="K11" s="29"/>
      <c r="L11" s="29"/>
      <c r="M11" s="29"/>
      <c r="N11" s="29"/>
      <c r="O11" s="29"/>
      <c r="P11" s="29"/>
      <c r="Q11" s="29"/>
      <c r="R11" s="29"/>
      <c r="S11" s="15"/>
      <c r="T11" s="29"/>
      <c r="U11" s="29"/>
      <c r="V11" s="29"/>
      <c r="W11" s="87"/>
    </row>
    <row r="12" spans="1:23" ht="15.75" customHeight="1">
      <c r="A12" s="23">
        <v>4</v>
      </c>
      <c r="B12" s="15"/>
      <c r="C12" s="15" t="s">
        <v>1792</v>
      </c>
      <c r="D12" s="104">
        <v>11.52</v>
      </c>
      <c r="E12" s="104">
        <v>5</v>
      </c>
      <c r="F12" s="104">
        <f>3-0.5-0.065-0.1-0.012</f>
        <v>2.323</v>
      </c>
      <c r="G12" s="29"/>
      <c r="H12" s="29"/>
      <c r="I12" s="29"/>
      <c r="J12" s="29"/>
      <c r="K12" s="29"/>
      <c r="L12" s="29"/>
      <c r="M12" s="29"/>
      <c r="N12" s="29"/>
      <c r="O12" s="29"/>
      <c r="P12" s="29"/>
      <c r="Q12" s="29"/>
      <c r="R12" s="29"/>
      <c r="S12" s="32">
        <f>D12*F12</f>
        <v>26.760959999999997</v>
      </c>
      <c r="T12" s="29"/>
      <c r="U12" s="29"/>
      <c r="V12" s="29"/>
      <c r="W12" s="87"/>
    </row>
    <row r="13" spans="1:23" ht="15.75" customHeight="1">
      <c r="A13" s="23">
        <v>5</v>
      </c>
      <c r="B13" s="15"/>
      <c r="C13" s="15" t="s">
        <v>1793</v>
      </c>
      <c r="D13" s="104"/>
      <c r="E13" s="9">
        <f>(D13*0.12-0.12*0.12*4)*$K$2</f>
        <v>0</v>
      </c>
      <c r="F13" s="29"/>
      <c r="G13" s="29"/>
      <c r="H13" s="29"/>
      <c r="I13" s="29"/>
      <c r="J13" s="29"/>
      <c r="K13" s="29"/>
      <c r="L13" s="29"/>
      <c r="M13" s="29"/>
      <c r="N13" s="29"/>
      <c r="O13" s="29"/>
      <c r="P13" s="29"/>
      <c r="Q13" s="29"/>
      <c r="R13" s="29"/>
      <c r="S13" s="43"/>
      <c r="T13" s="29"/>
      <c r="U13" s="29"/>
      <c r="V13" s="29"/>
      <c r="W13" s="87"/>
    </row>
    <row r="14" spans="1:23" ht="15.75" customHeight="1">
      <c r="A14" s="23">
        <v>6</v>
      </c>
      <c r="B14" s="15"/>
      <c r="C14" s="15" t="s">
        <v>1794</v>
      </c>
      <c r="D14" s="104">
        <v>0</v>
      </c>
      <c r="E14" s="104">
        <v>0</v>
      </c>
      <c r="F14" s="104">
        <v>0</v>
      </c>
      <c r="G14" s="29"/>
      <c r="H14" s="29"/>
      <c r="I14" s="29"/>
      <c r="J14" s="29"/>
      <c r="K14" s="29"/>
      <c r="L14" s="29"/>
      <c r="M14" s="29"/>
      <c r="N14" s="29"/>
      <c r="O14" s="29"/>
      <c r="P14" s="29"/>
      <c r="Q14" s="29"/>
      <c r="R14" s="29"/>
      <c r="S14" s="32">
        <f>D14*F14</f>
        <v>0</v>
      </c>
      <c r="T14" s="29"/>
      <c r="U14" s="29"/>
      <c r="V14" s="29"/>
      <c r="W14" s="87"/>
    </row>
    <row r="15" spans="1:23" ht="15.75" customHeight="1">
      <c r="A15" s="23">
        <v>7</v>
      </c>
      <c r="B15" s="15"/>
      <c r="C15" s="15" t="s">
        <v>1795</v>
      </c>
      <c r="D15" s="104">
        <v>0</v>
      </c>
      <c r="E15" s="104">
        <v>0</v>
      </c>
      <c r="F15" s="105">
        <f>D15*E15</f>
        <v>0</v>
      </c>
      <c r="G15" s="29"/>
      <c r="H15" s="29"/>
      <c r="I15" s="29"/>
      <c r="J15" s="29"/>
      <c r="K15" s="29"/>
      <c r="L15" s="29"/>
      <c r="M15" s="29"/>
      <c r="N15" s="29"/>
      <c r="O15" s="29"/>
      <c r="P15" s="29"/>
      <c r="Q15" s="29"/>
      <c r="R15" s="29"/>
      <c r="S15" s="43"/>
      <c r="T15" s="29"/>
      <c r="U15" s="29"/>
      <c r="V15" s="29"/>
      <c r="W15" s="87"/>
    </row>
    <row r="16" spans="1:23" ht="15.75" customHeight="1">
      <c r="A16" s="23">
        <v>8</v>
      </c>
      <c r="B16" s="15"/>
      <c r="C16" s="15" t="s">
        <v>1796</v>
      </c>
      <c r="D16" s="104">
        <v>2.96</v>
      </c>
      <c r="E16" s="33"/>
      <c r="F16" s="104">
        <f>3-0.1-0.012-0.135-0.065-0.1</f>
        <v>2.5880000000000001</v>
      </c>
      <c r="G16" s="29"/>
      <c r="H16" s="29"/>
      <c r="I16" s="29"/>
      <c r="J16" s="29"/>
      <c r="K16" s="29"/>
      <c r="L16" s="29"/>
      <c r="M16" s="29"/>
      <c r="N16" s="29"/>
      <c r="O16" s="29"/>
      <c r="P16" s="29"/>
      <c r="Q16" s="29"/>
      <c r="R16" s="29"/>
      <c r="S16" s="32">
        <f>(D16-0.2)*(F16-0.1)</f>
        <v>6.8668799999999992</v>
      </c>
      <c r="T16" s="29"/>
      <c r="U16" s="29"/>
      <c r="V16" s="29"/>
      <c r="W16" s="87"/>
    </row>
    <row r="17" spans="1:23" ht="15.75" customHeight="1">
      <c r="A17" s="23">
        <v>9</v>
      </c>
      <c r="B17" s="15"/>
      <c r="C17" s="15" t="s">
        <v>1797</v>
      </c>
      <c r="D17" s="32">
        <f>D11-D12-D14-D16</f>
        <v>10.25</v>
      </c>
      <c r="E17" s="29"/>
      <c r="F17" s="104">
        <f>3-0.1-0.012-0.135-0.065-0.1</f>
        <v>2.5880000000000001</v>
      </c>
      <c r="G17" s="104">
        <v>1</v>
      </c>
      <c r="H17" s="104">
        <v>1</v>
      </c>
      <c r="I17" s="104">
        <v>0</v>
      </c>
      <c r="J17" s="104">
        <v>1</v>
      </c>
      <c r="K17" s="104">
        <v>1</v>
      </c>
      <c r="L17" s="104">
        <v>2.6</v>
      </c>
      <c r="M17" s="30">
        <v>0</v>
      </c>
      <c r="N17" s="30">
        <v>0</v>
      </c>
      <c r="O17" s="30">
        <v>0</v>
      </c>
      <c r="P17" s="30">
        <v>0</v>
      </c>
      <c r="Q17" s="30">
        <f>(L2*2+L17)*0.07</f>
        <v>0.18200000000000002</v>
      </c>
      <c r="R17" s="15">
        <v>0</v>
      </c>
      <c r="S17" s="32">
        <f>D17*F17-(G17*$G$7+H17*$H$7+I17*$I$7+J17*$J$7+K17*$K$7+L17*$L$7)-M17*N17-P17*O17+Q17+R17</f>
        <v>10.571264000000001</v>
      </c>
      <c r="T17" s="29"/>
      <c r="U17" s="29"/>
      <c r="V17" s="29"/>
      <c r="W17" s="87"/>
    </row>
    <row r="18" spans="1:23" ht="15.75" customHeight="1">
      <c r="A18" s="23">
        <v>10</v>
      </c>
      <c r="B18" s="34"/>
      <c r="C18" s="34" t="s">
        <v>1798</v>
      </c>
      <c r="D18" s="34"/>
      <c r="E18" s="35">
        <f>E11</f>
        <v>28.77</v>
      </c>
      <c r="F18" s="36"/>
      <c r="G18" s="36"/>
      <c r="H18" s="36"/>
      <c r="I18" s="36"/>
      <c r="J18" s="36"/>
      <c r="K18" s="36"/>
      <c r="L18" s="36"/>
      <c r="M18" s="36"/>
      <c r="N18" s="36"/>
      <c r="O18" s="36"/>
      <c r="P18" s="36"/>
      <c r="Q18" s="36"/>
      <c r="R18" s="36"/>
      <c r="S18" s="35">
        <f>S12+S14+S17</f>
        <v>37.332223999999997</v>
      </c>
      <c r="T18" s="35">
        <f>D11-($G$6*G17+$H$6*H17+$I$6*I17+$J$6*J17+$K$6*K17+L17)</f>
        <v>17.481999999999999</v>
      </c>
      <c r="U18" s="35">
        <f>M17*0.12</f>
        <v>0</v>
      </c>
      <c r="V18" s="35">
        <f>O17*0.7</f>
        <v>0</v>
      </c>
      <c r="W18" s="88">
        <v>0</v>
      </c>
    </row>
    <row r="19" spans="1:23" ht="24.75" customHeight="1">
      <c r="A19" s="37" t="s">
        <v>60</v>
      </c>
      <c r="B19" s="38"/>
      <c r="C19" s="39" t="s">
        <v>1799</v>
      </c>
      <c r="D19" s="38"/>
      <c r="E19" s="38"/>
      <c r="F19" s="38"/>
      <c r="G19" s="40"/>
      <c r="H19" s="40"/>
      <c r="I19" s="40"/>
      <c r="J19" s="40"/>
      <c r="K19" s="40"/>
      <c r="L19" s="40"/>
      <c r="M19" s="40"/>
      <c r="N19" s="40"/>
      <c r="O19" s="40"/>
      <c r="P19" s="40"/>
      <c r="Q19" s="40"/>
      <c r="R19" s="38"/>
      <c r="S19" s="38"/>
      <c r="T19" s="38"/>
      <c r="U19" s="40"/>
      <c r="V19" s="40"/>
      <c r="W19" s="89"/>
    </row>
    <row r="20" spans="1:23" ht="15.75" customHeight="1">
      <c r="A20" s="41">
        <v>1</v>
      </c>
      <c r="B20" s="15" t="s">
        <v>1374</v>
      </c>
      <c r="C20" s="15" t="s">
        <v>1800</v>
      </c>
      <c r="D20" s="104">
        <v>14.6</v>
      </c>
      <c r="E20" s="104">
        <v>12.9</v>
      </c>
      <c r="F20" s="15"/>
      <c r="G20" s="29"/>
      <c r="H20" s="29"/>
      <c r="I20" s="29"/>
      <c r="J20" s="29"/>
      <c r="K20" s="29"/>
      <c r="L20" s="29"/>
      <c r="M20" s="29"/>
      <c r="N20" s="29"/>
      <c r="O20" s="29"/>
      <c r="P20" s="29"/>
      <c r="Q20" s="29"/>
      <c r="R20" s="29"/>
      <c r="S20" s="29"/>
      <c r="T20" s="29"/>
      <c r="U20" s="29"/>
      <c r="V20" s="29"/>
      <c r="W20" s="90"/>
    </row>
    <row r="21" spans="1:23" ht="15.75" customHeight="1">
      <c r="A21" s="41">
        <v>2</v>
      </c>
      <c r="B21" s="15"/>
      <c r="C21" s="15" t="s">
        <v>1794</v>
      </c>
      <c r="D21" s="106">
        <v>0</v>
      </c>
      <c r="E21" s="106">
        <v>0</v>
      </c>
      <c r="F21" s="106">
        <v>0</v>
      </c>
      <c r="G21" s="29"/>
      <c r="H21" s="29"/>
      <c r="I21" s="29"/>
      <c r="J21" s="29"/>
      <c r="K21" s="29"/>
      <c r="L21" s="29"/>
      <c r="M21" s="29"/>
      <c r="N21" s="29"/>
      <c r="O21" s="29"/>
      <c r="P21" s="29"/>
      <c r="Q21" s="106">
        <v>0</v>
      </c>
      <c r="R21" s="29"/>
      <c r="S21" s="16">
        <f>D21*F21</f>
        <v>0</v>
      </c>
      <c r="T21" s="29"/>
      <c r="U21" s="29"/>
      <c r="V21" s="29"/>
      <c r="W21" s="87"/>
    </row>
    <row r="22" spans="1:23" ht="15.75" customHeight="1">
      <c r="A22" s="41">
        <v>3</v>
      </c>
      <c r="B22" s="15"/>
      <c r="C22" s="15" t="s">
        <v>1801</v>
      </c>
      <c r="D22" s="32">
        <f>D20-D21</f>
        <v>14.6</v>
      </c>
      <c r="E22" s="32">
        <f>E20-E21</f>
        <v>12.9</v>
      </c>
      <c r="F22" s="104">
        <f>3-0.1-0.012-0.1-0.065-0.1</f>
        <v>2.6229999999999998</v>
      </c>
      <c r="G22" s="104">
        <v>1</v>
      </c>
      <c r="H22" s="106">
        <v>0</v>
      </c>
      <c r="I22" s="29"/>
      <c r="J22" s="29"/>
      <c r="K22" s="29"/>
      <c r="L22" s="110">
        <v>1.7</v>
      </c>
      <c r="M22" s="30"/>
      <c r="N22" s="30"/>
      <c r="O22" s="106">
        <v>0</v>
      </c>
      <c r="P22" s="106">
        <v>0</v>
      </c>
      <c r="Q22" s="30">
        <f>3.4*(0.4-0.1-0.135)+(L7*2+L22)*0.07</f>
        <v>0.99780000000000013</v>
      </c>
      <c r="R22" s="106">
        <v>0</v>
      </c>
      <c r="S22" s="16">
        <f>D22*F22-(G22*$G$7+H22*$H$7+I22*$I$7+J22*$J$7+K22*$K$7+L22*$L$7)-M22*N22-O22*P22+Q22+R22</f>
        <v>33.176231999999992</v>
      </c>
      <c r="T22" s="29"/>
      <c r="U22" s="29"/>
      <c r="V22" s="29"/>
      <c r="W22" s="87"/>
    </row>
    <row r="23" spans="1:23" ht="15.75" customHeight="1">
      <c r="A23" s="41"/>
      <c r="B23" s="15"/>
      <c r="C23" s="15" t="s">
        <v>240</v>
      </c>
      <c r="D23" s="107">
        <v>0</v>
      </c>
      <c r="E23" s="43"/>
      <c r="F23" s="29"/>
      <c r="G23" s="29"/>
      <c r="H23" s="29"/>
      <c r="I23" s="29"/>
      <c r="J23" s="29"/>
      <c r="K23" s="29"/>
      <c r="L23" s="29"/>
      <c r="M23" s="29"/>
      <c r="N23" s="29"/>
      <c r="O23" s="29"/>
      <c r="P23" s="29"/>
      <c r="Q23" s="29"/>
      <c r="R23" s="29"/>
      <c r="S23" s="91"/>
      <c r="T23" s="29"/>
      <c r="U23" s="29"/>
      <c r="V23" s="29"/>
      <c r="W23" s="87"/>
    </row>
    <row r="24" spans="1:23" ht="15.75" customHeight="1">
      <c r="A24" s="41"/>
      <c r="B24" s="15"/>
      <c r="C24" s="44" t="s">
        <v>285</v>
      </c>
      <c r="D24" s="108">
        <v>14.4</v>
      </c>
      <c r="E24" s="43"/>
      <c r="F24" s="29"/>
      <c r="G24" s="29"/>
      <c r="H24" s="29"/>
      <c r="I24" s="29"/>
      <c r="J24" s="29"/>
      <c r="K24" s="29"/>
      <c r="L24" s="29"/>
      <c r="M24" s="29"/>
      <c r="N24" s="29"/>
      <c r="O24" s="29"/>
      <c r="P24" s="29"/>
      <c r="Q24" s="29"/>
      <c r="R24" s="29"/>
      <c r="S24" s="91"/>
      <c r="T24" s="29"/>
      <c r="U24" s="29"/>
      <c r="V24" s="29"/>
      <c r="W24" s="87"/>
    </row>
    <row r="25" spans="1:23" ht="15.75" customHeight="1">
      <c r="A25" s="45">
        <v>4</v>
      </c>
      <c r="B25" s="34" t="s">
        <v>133</v>
      </c>
      <c r="C25" s="34" t="s">
        <v>1802</v>
      </c>
      <c r="D25" s="34"/>
      <c r="E25" s="34">
        <f>E20</f>
        <v>12.9</v>
      </c>
      <c r="F25" s="36"/>
      <c r="G25" s="36"/>
      <c r="H25" s="36"/>
      <c r="I25" s="36"/>
      <c r="J25" s="36"/>
      <c r="K25" s="36"/>
      <c r="L25" s="36"/>
      <c r="M25" s="36"/>
      <c r="N25" s="36"/>
      <c r="O25" s="36"/>
      <c r="P25" s="36"/>
      <c r="Q25" s="36"/>
      <c r="R25" s="36"/>
      <c r="S25" s="35">
        <f>SUM(S21:S22)</f>
        <v>33.176231999999992</v>
      </c>
      <c r="T25" s="35">
        <f>D20-($G$6*G22+$H$6*H22)</f>
        <v>13.606</v>
      </c>
      <c r="U25" s="35">
        <f>M22*0.12</f>
        <v>0</v>
      </c>
      <c r="V25" s="35">
        <f>O22*0.7</f>
        <v>0</v>
      </c>
      <c r="W25" s="88"/>
    </row>
    <row r="26" spans="1:23" ht="15.75" customHeight="1">
      <c r="A26" s="41">
        <v>5</v>
      </c>
      <c r="B26" s="15" t="s">
        <v>1803</v>
      </c>
      <c r="C26" s="15" t="s">
        <v>1804</v>
      </c>
      <c r="D26" s="106">
        <v>0</v>
      </c>
      <c r="E26" s="106">
        <v>0</v>
      </c>
      <c r="F26" s="15"/>
      <c r="G26" s="29"/>
      <c r="H26" s="29"/>
      <c r="I26" s="29"/>
      <c r="J26" s="29"/>
      <c r="K26" s="29"/>
      <c r="L26" s="29"/>
      <c r="M26" s="29"/>
      <c r="N26" s="29"/>
      <c r="O26" s="29"/>
      <c r="P26" s="29"/>
      <c r="Q26" s="29"/>
      <c r="R26" s="29"/>
      <c r="S26" s="29"/>
      <c r="T26" s="29"/>
      <c r="U26" s="29"/>
      <c r="V26" s="29"/>
      <c r="W26" s="90"/>
    </row>
    <row r="27" spans="1:23" ht="15.75" customHeight="1">
      <c r="A27" s="41">
        <v>6</v>
      </c>
      <c r="B27" s="15"/>
      <c r="C27" s="15" t="s">
        <v>1794</v>
      </c>
      <c r="D27" s="106">
        <v>0</v>
      </c>
      <c r="E27" s="106">
        <v>0</v>
      </c>
      <c r="F27" s="106">
        <v>0</v>
      </c>
      <c r="G27" s="29"/>
      <c r="H27" s="29"/>
      <c r="I27" s="29"/>
      <c r="J27" s="29"/>
      <c r="K27" s="29"/>
      <c r="L27" s="29"/>
      <c r="M27" s="29"/>
      <c r="N27" s="29"/>
      <c r="O27" s="29"/>
      <c r="P27" s="29"/>
      <c r="Q27" s="29"/>
      <c r="R27" s="29"/>
      <c r="S27" s="16">
        <f>D27*F27</f>
        <v>0</v>
      </c>
      <c r="T27" s="29"/>
      <c r="U27" s="29"/>
      <c r="V27" s="29"/>
      <c r="W27" s="87"/>
    </row>
    <row r="28" spans="1:23" ht="15.75" customHeight="1">
      <c r="A28" s="41">
        <v>7</v>
      </c>
      <c r="B28" s="15"/>
      <c r="C28" s="15" t="s">
        <v>1805</v>
      </c>
      <c r="D28" s="32">
        <f>D26-D27</f>
        <v>0</v>
      </c>
      <c r="E28" s="32">
        <f>E26-E27</f>
        <v>0</v>
      </c>
      <c r="F28" s="106">
        <v>0</v>
      </c>
      <c r="G28" s="106">
        <v>0</v>
      </c>
      <c r="H28" s="15"/>
      <c r="I28" s="29"/>
      <c r="J28" s="29"/>
      <c r="K28" s="29"/>
      <c r="L28" s="29"/>
      <c r="M28" s="106">
        <v>0</v>
      </c>
      <c r="N28" s="106">
        <v>0</v>
      </c>
      <c r="O28" s="30"/>
      <c r="P28" s="30"/>
      <c r="Q28" s="30"/>
      <c r="R28" s="30"/>
      <c r="S28" s="16">
        <f>D28*F28-(G28*$G$7+H28*$H$7+I28*$I$7+J28*$J$7+K28*$K$7+L28*$L$7)-M28*N28-O28*P28+Q28+R28</f>
        <v>0</v>
      </c>
      <c r="T28" s="29"/>
      <c r="U28" s="29"/>
      <c r="V28" s="29"/>
      <c r="W28" s="87"/>
    </row>
    <row r="29" spans="1:23" ht="15.75" customHeight="1">
      <c r="A29" s="41"/>
      <c r="B29" s="15"/>
      <c r="C29" s="44" t="s">
        <v>285</v>
      </c>
      <c r="D29" s="107">
        <v>0</v>
      </c>
      <c r="E29" s="43"/>
      <c r="F29" s="29"/>
      <c r="G29" s="29"/>
      <c r="H29" s="29"/>
      <c r="I29" s="29"/>
      <c r="J29" s="29"/>
      <c r="K29" s="29"/>
      <c r="L29" s="29"/>
      <c r="M29" s="29"/>
      <c r="N29" s="29"/>
      <c r="O29" s="29"/>
      <c r="P29" s="29"/>
      <c r="Q29" s="29"/>
      <c r="R29" s="29"/>
      <c r="S29" s="91"/>
      <c r="T29" s="29"/>
      <c r="U29" s="29"/>
      <c r="V29" s="29"/>
      <c r="W29" s="87"/>
    </row>
    <row r="30" spans="1:23" ht="15.75" customHeight="1">
      <c r="A30" s="46">
        <v>8</v>
      </c>
      <c r="B30" s="47" t="s">
        <v>246</v>
      </c>
      <c r="C30" s="34" t="s">
        <v>1806</v>
      </c>
      <c r="D30" s="34"/>
      <c r="E30" s="34">
        <f>E26</f>
        <v>0</v>
      </c>
      <c r="F30" s="36"/>
      <c r="G30" s="36"/>
      <c r="H30" s="36"/>
      <c r="I30" s="36"/>
      <c r="J30" s="36"/>
      <c r="K30" s="36"/>
      <c r="L30" s="36"/>
      <c r="M30" s="36"/>
      <c r="N30" s="36"/>
      <c r="O30" s="36"/>
      <c r="P30" s="36"/>
      <c r="Q30" s="36"/>
      <c r="R30" s="36"/>
      <c r="S30" s="35">
        <f>SUM(S27:S28)</f>
        <v>0</v>
      </c>
      <c r="T30" s="35">
        <f>D26-($G$6*G28+$H$6*H28)</f>
        <v>0</v>
      </c>
      <c r="U30" s="35">
        <f>M28*0.12</f>
        <v>0</v>
      </c>
      <c r="V30" s="35">
        <f>O28*0.7</f>
        <v>0</v>
      </c>
      <c r="W30" s="88">
        <v>0</v>
      </c>
    </row>
    <row r="31" spans="1:23" ht="15.75" customHeight="1">
      <c r="A31" s="41">
        <v>9</v>
      </c>
      <c r="B31" s="15" t="s">
        <v>1807</v>
      </c>
      <c r="C31" s="15" t="s">
        <v>1808</v>
      </c>
      <c r="D31" s="106">
        <v>0</v>
      </c>
      <c r="E31" s="106">
        <v>0</v>
      </c>
      <c r="F31" s="15"/>
      <c r="G31" s="29"/>
      <c r="H31" s="29"/>
      <c r="I31" s="29"/>
      <c r="J31" s="29"/>
      <c r="K31" s="29"/>
      <c r="L31" s="29"/>
      <c r="M31" s="29"/>
      <c r="N31" s="29"/>
      <c r="O31" s="29"/>
      <c r="P31" s="29"/>
      <c r="Q31" s="29"/>
      <c r="R31" s="29"/>
      <c r="S31" s="29"/>
      <c r="T31" s="29"/>
      <c r="U31" s="29"/>
      <c r="V31" s="29"/>
      <c r="W31" s="90"/>
    </row>
    <row r="32" spans="1:23" ht="15.75" customHeight="1">
      <c r="A32" s="41">
        <v>10</v>
      </c>
      <c r="B32" s="15"/>
      <c r="C32" s="15" t="s">
        <v>1794</v>
      </c>
      <c r="D32" s="106">
        <v>0</v>
      </c>
      <c r="E32" s="106">
        <v>0</v>
      </c>
      <c r="F32" s="106">
        <v>0</v>
      </c>
      <c r="G32" s="29"/>
      <c r="H32" s="29"/>
      <c r="I32" s="29"/>
      <c r="J32" s="29"/>
      <c r="K32" s="29"/>
      <c r="L32" s="29"/>
      <c r="M32" s="29"/>
      <c r="N32" s="29"/>
      <c r="O32" s="29"/>
      <c r="P32" s="29"/>
      <c r="Q32" s="29"/>
      <c r="R32" s="29"/>
      <c r="S32" s="16">
        <f>D32*F32</f>
        <v>0</v>
      </c>
      <c r="T32" s="29"/>
      <c r="U32" s="29"/>
      <c r="V32" s="29"/>
      <c r="W32" s="87"/>
    </row>
    <row r="33" spans="1:23" ht="15.75" customHeight="1">
      <c r="A33" s="41">
        <v>11</v>
      </c>
      <c r="B33" s="15"/>
      <c r="C33" s="15" t="s">
        <v>1809</v>
      </c>
      <c r="D33" s="97">
        <f>D31-D32</f>
        <v>0</v>
      </c>
      <c r="E33" s="97"/>
      <c r="F33" s="106">
        <v>0</v>
      </c>
      <c r="G33" s="106">
        <v>0</v>
      </c>
      <c r="H33" s="15"/>
      <c r="I33" s="29"/>
      <c r="J33" s="29"/>
      <c r="K33" s="29"/>
      <c r="L33" s="29"/>
      <c r="M33" s="106">
        <v>0</v>
      </c>
      <c r="N33" s="106">
        <v>0</v>
      </c>
      <c r="O33" s="30"/>
      <c r="P33" s="30"/>
      <c r="Q33" s="106">
        <v>0</v>
      </c>
      <c r="R33" s="106">
        <v>0</v>
      </c>
      <c r="S33" s="16">
        <f>D33*F33-(G33*$G$7+H33*$H$7+I33*$I$7+J33*$J$7+K33*$K$7+L33*$L$7)-M33*N33-O33*P33+Q33+R33</f>
        <v>0</v>
      </c>
      <c r="T33" s="29"/>
      <c r="U33" s="29"/>
      <c r="V33" s="29"/>
      <c r="W33" s="87"/>
    </row>
    <row r="34" spans="1:23" ht="15.75" customHeight="1">
      <c r="A34" s="41"/>
      <c r="B34" s="15"/>
      <c r="C34" s="44" t="s">
        <v>285</v>
      </c>
      <c r="D34" s="107">
        <v>0</v>
      </c>
      <c r="E34" s="43"/>
      <c r="F34" s="29"/>
      <c r="G34" s="29"/>
      <c r="H34" s="29"/>
      <c r="I34" s="29"/>
      <c r="J34" s="29"/>
      <c r="K34" s="29"/>
      <c r="L34" s="29"/>
      <c r="M34" s="29"/>
      <c r="N34" s="29"/>
      <c r="O34" s="29"/>
      <c r="P34" s="29"/>
      <c r="Q34" s="29"/>
      <c r="R34" s="29"/>
      <c r="S34" s="91"/>
      <c r="T34" s="29"/>
      <c r="U34" s="29"/>
      <c r="V34" s="29"/>
      <c r="W34" s="87"/>
    </row>
    <row r="35" spans="1:23" ht="15.75" customHeight="1">
      <c r="A35" s="46">
        <v>12</v>
      </c>
      <c r="B35" s="47" t="s">
        <v>136</v>
      </c>
      <c r="C35" s="34" t="s">
        <v>1810</v>
      </c>
      <c r="D35" s="34"/>
      <c r="E35" s="34">
        <f>E31</f>
        <v>0</v>
      </c>
      <c r="F35" s="36"/>
      <c r="G35" s="36"/>
      <c r="H35" s="36"/>
      <c r="I35" s="36"/>
      <c r="J35" s="36"/>
      <c r="K35" s="36"/>
      <c r="L35" s="36"/>
      <c r="M35" s="36"/>
      <c r="N35" s="36"/>
      <c r="O35" s="36"/>
      <c r="P35" s="36"/>
      <c r="Q35" s="36"/>
      <c r="R35" s="36"/>
      <c r="S35" s="35">
        <f>SUM(S32:S33)</f>
        <v>0</v>
      </c>
      <c r="T35" s="35">
        <f>D31-($G$6*G33+$H$6*H33)</f>
        <v>0</v>
      </c>
      <c r="U35" s="35">
        <f>M33*0.12</f>
        <v>0</v>
      </c>
      <c r="V35" s="35">
        <f>O33*0.7</f>
        <v>0</v>
      </c>
      <c r="W35" s="88">
        <v>0</v>
      </c>
    </row>
    <row r="36" spans="1:23" ht="15.75" customHeight="1">
      <c r="A36" s="46">
        <v>13</v>
      </c>
      <c r="B36" s="47"/>
      <c r="C36" s="34" t="s">
        <v>1811</v>
      </c>
      <c r="D36" s="47"/>
      <c r="E36" s="35">
        <f>E25+E30+E35</f>
        <v>12.9</v>
      </c>
      <c r="F36" s="47"/>
      <c r="G36" s="47"/>
      <c r="H36" s="47"/>
      <c r="I36" s="47"/>
      <c r="J36" s="47"/>
      <c r="K36" s="47"/>
      <c r="L36" s="47"/>
      <c r="M36" s="47"/>
      <c r="N36" s="47"/>
      <c r="O36" s="47"/>
      <c r="P36" s="47"/>
      <c r="Q36" s="47"/>
      <c r="R36" s="47"/>
      <c r="S36" s="35">
        <f t="shared" ref="S36" si="0">S25+S30+S35</f>
        <v>33.176231999999992</v>
      </c>
      <c r="T36" s="35">
        <f>T25+T30+T35</f>
        <v>13.606</v>
      </c>
      <c r="U36" s="35">
        <f>U25+U30+U35</f>
        <v>0</v>
      </c>
      <c r="V36" s="35">
        <f>V25+V30+V35</f>
        <v>0</v>
      </c>
      <c r="W36" s="35">
        <f>W25+W30+W35</f>
        <v>0</v>
      </c>
    </row>
    <row r="37" spans="1:23" ht="24.75" customHeight="1">
      <c r="A37" s="37" t="s">
        <v>60</v>
      </c>
      <c r="B37" s="38"/>
      <c r="C37" s="39" t="s">
        <v>1812</v>
      </c>
      <c r="D37" s="38"/>
      <c r="E37" s="38"/>
      <c r="F37" s="38"/>
      <c r="G37" s="40"/>
      <c r="H37" s="40"/>
      <c r="I37" s="40"/>
      <c r="J37" s="40"/>
      <c r="K37" s="40"/>
      <c r="L37" s="40"/>
      <c r="M37" s="40"/>
      <c r="N37" s="40"/>
      <c r="O37" s="40"/>
      <c r="P37" s="40"/>
      <c r="Q37" s="40"/>
      <c r="R37" s="38"/>
      <c r="S37" s="38">
        <v>0</v>
      </c>
      <c r="T37" s="38"/>
      <c r="U37" s="40"/>
      <c r="V37" s="40"/>
      <c r="W37" s="89"/>
    </row>
    <row r="38" spans="1:23" ht="15.75" customHeight="1">
      <c r="A38" s="48">
        <v>7</v>
      </c>
      <c r="B38" s="49"/>
      <c r="C38" s="49" t="s">
        <v>634</v>
      </c>
      <c r="D38" s="32">
        <v>0</v>
      </c>
      <c r="E38" s="32">
        <v>0</v>
      </c>
      <c r="F38" s="49">
        <v>0</v>
      </c>
      <c r="G38" s="49">
        <v>0</v>
      </c>
      <c r="H38" s="49"/>
      <c r="I38" s="81"/>
      <c r="J38" s="81"/>
      <c r="K38" s="81"/>
      <c r="L38" s="81"/>
      <c r="M38" s="81"/>
      <c r="N38" s="81"/>
      <c r="O38" s="81"/>
      <c r="P38" s="81"/>
      <c r="Q38" s="81"/>
      <c r="R38" s="81"/>
      <c r="S38" s="32">
        <f>(D38*F38-G7*G38-H7*H38)*S37</f>
        <v>0</v>
      </c>
      <c r="T38" s="43">
        <f>(D38-G6)*S37</f>
        <v>0</v>
      </c>
      <c r="U38" s="81"/>
      <c r="V38" s="81"/>
      <c r="W38" s="92"/>
    </row>
    <row r="39" spans="1:23" ht="33.75" customHeight="1">
      <c r="A39" s="50"/>
      <c r="B39" s="51"/>
      <c r="C39" s="51"/>
      <c r="D39" s="51"/>
      <c r="E39" s="51"/>
      <c r="F39" s="51"/>
      <c r="G39" s="51"/>
      <c r="H39" s="51"/>
      <c r="I39" s="51"/>
      <c r="J39" s="51"/>
      <c r="K39" s="51"/>
      <c r="L39" s="51"/>
      <c r="M39" s="51"/>
      <c r="N39" s="51"/>
      <c r="O39" s="51"/>
      <c r="P39" s="51"/>
      <c r="Q39" s="51"/>
      <c r="R39" s="51"/>
      <c r="S39" s="51"/>
      <c r="T39" s="51"/>
      <c r="U39" s="51"/>
      <c r="V39" s="51"/>
    </row>
    <row r="40" spans="1:23" ht="22.5" customHeight="1">
      <c r="A40" s="994" t="s">
        <v>54</v>
      </c>
      <c r="B40" s="990" t="s">
        <v>1758</v>
      </c>
      <c r="C40" s="990" t="s">
        <v>1767</v>
      </c>
      <c r="D40" s="14" t="s">
        <v>1768</v>
      </c>
      <c r="E40" s="14" t="s">
        <v>1769</v>
      </c>
      <c r="F40" s="998" t="s">
        <v>1813</v>
      </c>
      <c r="G40" s="15" t="s">
        <v>1771</v>
      </c>
      <c r="H40" s="999" t="s">
        <v>1773</v>
      </c>
      <c r="I40" s="999"/>
      <c r="J40" s="999" t="s">
        <v>1774</v>
      </c>
      <c r="K40" s="999"/>
      <c r="L40" s="15" t="s">
        <v>315</v>
      </c>
      <c r="M40" s="15" t="s">
        <v>1814</v>
      </c>
      <c r="N40" s="82" t="s">
        <v>1815</v>
      </c>
      <c r="O40" s="15" t="s">
        <v>1816</v>
      </c>
      <c r="P40" s="15"/>
      <c r="Q40" s="988" t="s">
        <v>1817</v>
      </c>
      <c r="R40" s="988" t="s">
        <v>1818</v>
      </c>
      <c r="S40" s="988" t="s">
        <v>1819</v>
      </c>
      <c r="T40" s="988" t="s">
        <v>1820</v>
      </c>
      <c r="U40" s="52" t="s">
        <v>275</v>
      </c>
      <c r="V40" s="52" t="s">
        <v>335</v>
      </c>
      <c r="W40" s="52" t="s">
        <v>338</v>
      </c>
    </row>
    <row r="41" spans="1:23" ht="24" customHeight="1">
      <c r="A41" s="994"/>
      <c r="B41" s="990"/>
      <c r="C41" s="990"/>
      <c r="D41" s="988" t="s">
        <v>1780</v>
      </c>
      <c r="E41" s="988"/>
      <c r="F41" s="998"/>
      <c r="G41" s="14" t="s">
        <v>1482</v>
      </c>
      <c r="H41" s="15" t="s">
        <v>1821</v>
      </c>
      <c r="I41" s="15" t="s">
        <v>1822</v>
      </c>
      <c r="J41" s="15" t="s">
        <v>1821</v>
      </c>
      <c r="K41" s="15" t="s">
        <v>1822</v>
      </c>
      <c r="L41" s="15" t="s">
        <v>1823</v>
      </c>
      <c r="M41" s="15" t="s">
        <v>1823</v>
      </c>
      <c r="N41" s="15" t="s">
        <v>1823</v>
      </c>
      <c r="O41" s="15" t="s">
        <v>1824</v>
      </c>
      <c r="P41" s="15"/>
      <c r="Q41" s="988"/>
      <c r="R41" s="988"/>
      <c r="S41" s="988"/>
      <c r="T41" s="988"/>
      <c r="U41" s="15" t="s">
        <v>1823</v>
      </c>
      <c r="V41" s="93" t="s">
        <v>336</v>
      </c>
      <c r="W41" s="93" t="s">
        <v>231</v>
      </c>
    </row>
    <row r="42" spans="1:23" ht="24.75" customHeight="1">
      <c r="A42" s="994"/>
      <c r="B42" s="990"/>
      <c r="C42" s="990"/>
      <c r="D42" s="14" t="s">
        <v>235</v>
      </c>
      <c r="E42" s="14" t="s">
        <v>1092</v>
      </c>
      <c r="F42" s="998"/>
      <c r="G42" s="16"/>
      <c r="H42" s="15"/>
      <c r="I42" s="15"/>
      <c r="J42" s="15"/>
      <c r="K42" s="15"/>
      <c r="L42" s="15"/>
      <c r="M42" s="15"/>
      <c r="N42" s="15"/>
      <c r="O42" s="15"/>
      <c r="P42" s="15"/>
      <c r="Q42" s="988"/>
      <c r="R42" s="988"/>
      <c r="S42" s="988"/>
      <c r="T42" s="988"/>
      <c r="U42" s="15"/>
      <c r="V42" s="15"/>
      <c r="W42" s="94"/>
    </row>
    <row r="43" spans="1:23" ht="24" customHeight="1">
      <c r="A43" s="53" t="s">
        <v>62</v>
      </c>
      <c r="B43" s="54"/>
      <c r="C43" s="54" t="s">
        <v>299</v>
      </c>
      <c r="D43" s="54"/>
      <c r="E43" s="54"/>
      <c r="F43" s="54"/>
      <c r="G43" s="54"/>
      <c r="H43" s="54"/>
      <c r="I43" s="54"/>
      <c r="J43" s="54"/>
      <c r="K43" s="54"/>
      <c r="L43" s="54"/>
      <c r="M43" s="54"/>
      <c r="N43" s="54"/>
      <c r="O43" s="54"/>
      <c r="P43" s="54"/>
      <c r="Q43" s="54"/>
      <c r="R43" s="54"/>
      <c r="S43" s="54"/>
      <c r="T43" s="54"/>
      <c r="U43" s="54"/>
      <c r="V43" s="54"/>
      <c r="W43" s="95"/>
    </row>
    <row r="44" spans="1:23" ht="24" customHeight="1">
      <c r="A44" s="55">
        <v>1</v>
      </c>
      <c r="B44" s="56"/>
      <c r="C44" s="56" t="s">
        <v>1825</v>
      </c>
      <c r="D44" s="104">
        <v>4.41</v>
      </c>
      <c r="E44" s="104">
        <v>6.63</v>
      </c>
      <c r="F44" s="104">
        <f>2.38+0.02</f>
        <v>2.4</v>
      </c>
      <c r="G44" s="104">
        <v>1</v>
      </c>
      <c r="H44" s="104">
        <v>0</v>
      </c>
      <c r="I44" s="104">
        <v>0</v>
      </c>
      <c r="J44" s="56"/>
      <c r="K44" s="56"/>
      <c r="L44" s="104">
        <v>1.05</v>
      </c>
      <c r="M44" s="104">
        <v>1.1499999999999999</v>
      </c>
      <c r="N44" s="104"/>
      <c r="O44" s="104">
        <f>2.34</f>
        <v>2.34</v>
      </c>
      <c r="P44" s="56"/>
      <c r="Q44" s="56"/>
      <c r="R44" s="96">
        <f>D44*1.8+D45*1.8-$H$6*G44*1.8-(1.8-0.9)*H44+(H44+(1.8-0.9)*2)*0.1</f>
        <v>10.594800000000001</v>
      </c>
      <c r="S44" s="97">
        <f>D44*F44+D45*F45-$H$7*G44-H44*I44+(H44+I44)*2*0.1</f>
        <v>13.772432</v>
      </c>
      <c r="T44" s="97">
        <f>E44+(D44+D45-$H$6)*0.15</f>
        <v>7.4978999999999996</v>
      </c>
      <c r="U44" s="56"/>
      <c r="V44" s="56"/>
      <c r="W44" s="98"/>
    </row>
    <row r="45" spans="1:23" ht="24" customHeight="1">
      <c r="A45" s="55"/>
      <c r="B45" s="56"/>
      <c r="C45" s="56"/>
      <c r="D45" s="104">
        <v>2.2200000000000002</v>
      </c>
      <c r="E45" s="56"/>
      <c r="F45" s="104">
        <f>2.28+0.02</f>
        <v>2.2999999999999998</v>
      </c>
      <c r="G45" s="56"/>
      <c r="H45" s="56"/>
      <c r="I45" s="56"/>
      <c r="J45" s="56"/>
      <c r="K45" s="56"/>
      <c r="L45" s="56"/>
      <c r="M45" s="56"/>
      <c r="N45" s="56"/>
      <c r="O45" s="56"/>
      <c r="P45" s="56"/>
      <c r="Q45" s="56"/>
      <c r="R45" s="96"/>
      <c r="S45" s="96"/>
      <c r="T45" s="96"/>
      <c r="U45" s="56"/>
      <c r="V45" s="56"/>
      <c r="W45" s="98"/>
    </row>
    <row r="46" spans="1:23" ht="24" customHeight="1">
      <c r="A46" s="55">
        <v>2</v>
      </c>
      <c r="B46" s="56"/>
      <c r="C46" s="56" t="s">
        <v>1826</v>
      </c>
      <c r="D46" s="30"/>
      <c r="E46" s="30"/>
      <c r="F46" s="30"/>
      <c r="G46" s="30"/>
      <c r="H46" s="30"/>
      <c r="I46" s="30"/>
      <c r="J46" s="30"/>
      <c r="K46" s="30"/>
      <c r="L46" s="30"/>
      <c r="M46" s="30"/>
      <c r="N46" s="30"/>
      <c r="O46" s="30"/>
      <c r="P46" s="30"/>
      <c r="Q46" s="56"/>
      <c r="R46" s="96">
        <f>(D46*1.8-$H$6*G46*1.8-(1.8-0.9)*H46+(H46+(1.8-0.9)*2)*0.1)*$J$3</f>
        <v>0</v>
      </c>
      <c r="S46" s="96">
        <f>D46*F46-$H$7*G46-H46*I46+(H46+I46)*2*0.1</f>
        <v>0</v>
      </c>
      <c r="T46" s="96">
        <f>(E46+(D46-$H$6)*0.15)*$J$3</f>
        <v>0</v>
      </c>
      <c r="U46" s="56"/>
      <c r="V46" s="56"/>
      <c r="W46" s="98"/>
    </row>
    <row r="47" spans="1:23" ht="24" customHeight="1">
      <c r="A47" s="55"/>
      <c r="B47" s="56"/>
      <c r="C47" s="56"/>
      <c r="D47" s="30"/>
      <c r="E47" s="30"/>
      <c r="F47" s="30"/>
      <c r="G47" s="30"/>
      <c r="H47" s="30"/>
      <c r="I47" s="30"/>
      <c r="J47" s="30"/>
      <c r="K47" s="30"/>
      <c r="L47" s="30"/>
      <c r="M47" s="30"/>
      <c r="N47" s="30"/>
      <c r="O47" s="30"/>
      <c r="P47" s="30"/>
      <c r="Q47" s="56"/>
      <c r="R47" s="96"/>
      <c r="S47" s="96"/>
      <c r="T47" s="96"/>
      <c r="U47" s="56"/>
      <c r="V47" s="56"/>
      <c r="W47" s="98"/>
    </row>
    <row r="48" spans="1:23" ht="24" customHeight="1">
      <c r="A48" s="46">
        <v>3</v>
      </c>
      <c r="B48" s="47"/>
      <c r="C48" s="34" t="s">
        <v>1827</v>
      </c>
      <c r="D48" s="47"/>
      <c r="E48" s="35">
        <f>E44+E46</f>
        <v>6.63</v>
      </c>
      <c r="F48" s="35"/>
      <c r="G48" s="35"/>
      <c r="H48" s="35"/>
      <c r="I48" s="35"/>
      <c r="J48" s="35"/>
      <c r="K48" s="35"/>
      <c r="L48" s="35">
        <f t="shared" ref="L48" si="1">SUM(L44:L46)</f>
        <v>1.05</v>
      </c>
      <c r="M48" s="35">
        <f t="shared" ref="M48:W48" si="2">SUM(M44:M46)</f>
        <v>1.1499999999999999</v>
      </c>
      <c r="N48" s="35">
        <f t="shared" si="2"/>
        <v>0</v>
      </c>
      <c r="O48" s="35">
        <f t="shared" si="2"/>
        <v>2.34</v>
      </c>
      <c r="P48" s="35">
        <f t="shared" si="2"/>
        <v>0</v>
      </c>
      <c r="Q48" s="35">
        <f t="shared" si="2"/>
        <v>0</v>
      </c>
      <c r="R48" s="35">
        <f t="shared" si="2"/>
        <v>10.594800000000001</v>
      </c>
      <c r="S48" s="35">
        <f t="shared" si="2"/>
        <v>13.772432</v>
      </c>
      <c r="T48" s="35">
        <f t="shared" si="2"/>
        <v>7.4978999999999996</v>
      </c>
      <c r="U48" s="35">
        <f t="shared" si="2"/>
        <v>0</v>
      </c>
      <c r="V48" s="35">
        <f t="shared" si="2"/>
        <v>0</v>
      </c>
      <c r="W48" s="35">
        <f t="shared" si="2"/>
        <v>0</v>
      </c>
    </row>
    <row r="49" spans="1:23" ht="24" customHeight="1">
      <c r="A49" s="57"/>
      <c r="B49" s="58"/>
      <c r="C49" s="59"/>
      <c r="D49" s="58"/>
      <c r="E49" s="60"/>
      <c r="F49" s="60"/>
      <c r="G49" s="60"/>
      <c r="H49" s="60"/>
      <c r="I49" s="60"/>
      <c r="J49" s="60"/>
      <c r="K49" s="60"/>
      <c r="L49" s="60"/>
      <c r="M49" s="60"/>
      <c r="N49" s="60"/>
      <c r="O49" s="60"/>
      <c r="P49" s="60"/>
      <c r="Q49" s="60"/>
      <c r="R49" s="60"/>
      <c r="S49" s="60"/>
      <c r="T49" s="60"/>
      <c r="U49" s="60"/>
      <c r="V49" s="60"/>
      <c r="W49" s="99"/>
    </row>
    <row r="50" spans="1:23" ht="30" customHeight="1">
      <c r="A50" s="994" t="s">
        <v>54</v>
      </c>
      <c r="B50" s="990" t="s">
        <v>1758</v>
      </c>
      <c r="C50" s="990" t="s">
        <v>1767</v>
      </c>
      <c r="D50" s="14" t="s">
        <v>1768</v>
      </c>
      <c r="E50" s="14" t="s">
        <v>1769</v>
      </c>
      <c r="F50" s="998" t="s">
        <v>1813</v>
      </c>
      <c r="G50" s="61" t="s">
        <v>1771</v>
      </c>
      <c r="H50" s="62"/>
      <c r="I50" s="996" t="s">
        <v>1828</v>
      </c>
      <c r="J50" s="997"/>
      <c r="K50" s="988" t="s">
        <v>1829</v>
      </c>
      <c r="L50" s="988"/>
      <c r="M50" s="1003" t="s">
        <v>375</v>
      </c>
      <c r="N50" s="988" t="s">
        <v>1818</v>
      </c>
      <c r="O50" s="988" t="s">
        <v>1819</v>
      </c>
      <c r="P50" s="988" t="s">
        <v>1830</v>
      </c>
      <c r="Q50" s="988" t="s">
        <v>1831</v>
      </c>
      <c r="R50" s="988" t="s">
        <v>1832</v>
      </c>
      <c r="S50" s="988"/>
      <c r="T50" s="988"/>
      <c r="U50" s="15"/>
      <c r="V50" s="15"/>
      <c r="W50" s="82"/>
    </row>
    <row r="51" spans="1:23" ht="35.25" customHeight="1">
      <c r="A51" s="994"/>
      <c r="B51" s="990"/>
      <c r="C51" s="990"/>
      <c r="D51" s="988" t="s">
        <v>1780</v>
      </c>
      <c r="E51" s="988"/>
      <c r="F51" s="998"/>
      <c r="G51" s="14" t="s">
        <v>1782</v>
      </c>
      <c r="H51" s="14" t="s">
        <v>1783</v>
      </c>
      <c r="I51" s="14" t="s">
        <v>1833</v>
      </c>
      <c r="J51" s="15" t="s">
        <v>1834</v>
      </c>
      <c r="K51" s="14" t="s">
        <v>1833</v>
      </c>
      <c r="L51" s="15" t="s">
        <v>1834</v>
      </c>
      <c r="M51" s="1004"/>
      <c r="N51" s="988"/>
      <c r="O51" s="988"/>
      <c r="P51" s="988"/>
      <c r="Q51" s="988"/>
      <c r="R51" s="988"/>
      <c r="S51" s="988"/>
      <c r="T51" s="988"/>
      <c r="U51" s="15"/>
      <c r="V51" s="15"/>
      <c r="W51" s="15"/>
    </row>
    <row r="52" spans="1:23" ht="24.75" customHeight="1">
      <c r="A52" s="994"/>
      <c r="B52" s="990"/>
      <c r="C52" s="990"/>
      <c r="D52" s="14" t="s">
        <v>235</v>
      </c>
      <c r="E52" s="14" t="s">
        <v>1092</v>
      </c>
      <c r="F52" s="998"/>
      <c r="G52" s="16"/>
      <c r="H52" s="15"/>
      <c r="I52" s="15" t="s">
        <v>1823</v>
      </c>
      <c r="J52" s="15" t="s">
        <v>1823</v>
      </c>
      <c r="K52" s="15" t="s">
        <v>1823</v>
      </c>
      <c r="L52" s="15" t="s">
        <v>1823</v>
      </c>
      <c r="M52" s="17" t="s">
        <v>1092</v>
      </c>
      <c r="N52" s="988"/>
      <c r="O52" s="988"/>
      <c r="P52" s="15" t="s">
        <v>1835</v>
      </c>
      <c r="Q52" s="15" t="s">
        <v>1835</v>
      </c>
      <c r="R52" s="15" t="s">
        <v>1835</v>
      </c>
      <c r="S52" s="988"/>
      <c r="T52" s="988"/>
      <c r="U52" s="15"/>
      <c r="V52" s="15"/>
      <c r="W52" s="94"/>
    </row>
    <row r="53" spans="1:23" ht="24" customHeight="1">
      <c r="A53" s="53" t="s">
        <v>64</v>
      </c>
      <c r="B53" s="54"/>
      <c r="C53" s="54" t="s">
        <v>1354</v>
      </c>
      <c r="D53" s="54"/>
      <c r="E53" s="54"/>
      <c r="F53" s="54"/>
      <c r="G53" s="54"/>
      <c r="H53" s="54"/>
      <c r="I53" s="54"/>
      <c r="J53" s="54"/>
      <c r="K53" s="54"/>
      <c r="L53" s="54"/>
      <c r="M53" s="54"/>
      <c r="N53" s="54"/>
      <c r="O53" s="54"/>
      <c r="P53" s="54"/>
      <c r="Q53" s="54"/>
      <c r="R53" s="54"/>
      <c r="S53" s="54"/>
      <c r="T53" s="54"/>
      <c r="U53" s="54"/>
      <c r="V53" s="54"/>
      <c r="W53" s="95"/>
    </row>
    <row r="54" spans="1:23" ht="15.75" customHeight="1">
      <c r="A54" s="63" t="s">
        <v>1836</v>
      </c>
      <c r="B54" s="64" t="s">
        <v>133</v>
      </c>
      <c r="C54" s="64" t="s">
        <v>1837</v>
      </c>
      <c r="D54" s="109">
        <v>10.46</v>
      </c>
      <c r="E54" s="109">
        <v>6.25</v>
      </c>
      <c r="F54" s="109">
        <f>2.38+0.02</f>
        <v>2.4</v>
      </c>
      <c r="G54" s="109">
        <f>I16</f>
        <v>0</v>
      </c>
      <c r="H54" s="109">
        <f>J17</f>
        <v>1</v>
      </c>
      <c r="I54" s="111">
        <v>0</v>
      </c>
      <c r="J54" s="111">
        <v>0</v>
      </c>
      <c r="K54" s="111">
        <v>0</v>
      </c>
      <c r="L54" s="111">
        <v>0</v>
      </c>
      <c r="M54" s="109">
        <f>4.61*0.82</f>
        <v>3.7802000000000002</v>
      </c>
      <c r="N54" s="83">
        <f>(D54-I6*G54-J6*H54-I54-K54)*1</f>
        <v>8.81</v>
      </c>
      <c r="O54" s="84">
        <f>D54*F54-I7*G54-J7*H54-I54*2.24-J54*1.19-K54*2.24-L54*1.32-M54+(2.24+I54+J54+1.19+J54)*0.1*P54+(2.24*2+K54)*0.1*Q54+(1.32*2+L54*2)*0.1*R54</f>
        <v>18.056800000000003</v>
      </c>
      <c r="P54" s="111">
        <v>0</v>
      </c>
      <c r="Q54" s="111">
        <v>0</v>
      </c>
      <c r="R54" s="109">
        <v>1</v>
      </c>
      <c r="S54" s="64"/>
      <c r="T54" s="64"/>
      <c r="U54" s="64"/>
      <c r="V54" s="64"/>
      <c r="W54" s="100"/>
    </row>
    <row r="55" spans="1:23" ht="30" customHeight="1">
      <c r="A55" s="41"/>
      <c r="B55" s="15"/>
      <c r="C55" s="52" t="s">
        <v>1838</v>
      </c>
      <c r="D55" s="15"/>
      <c r="E55" s="104">
        <v>1.47</v>
      </c>
      <c r="F55" s="15"/>
      <c r="G55" s="15"/>
      <c r="H55" s="15"/>
      <c r="I55" s="15"/>
      <c r="J55" s="15"/>
      <c r="K55" s="15"/>
      <c r="L55" s="15"/>
      <c r="M55" s="15"/>
      <c r="N55" s="15"/>
      <c r="O55" s="15"/>
      <c r="P55" s="15"/>
      <c r="Q55" s="15"/>
      <c r="R55" s="15"/>
      <c r="S55" s="15"/>
      <c r="T55" s="15"/>
      <c r="U55" s="15"/>
      <c r="V55" s="15"/>
      <c r="W55" s="101"/>
    </row>
    <row r="56" spans="1:23" ht="22.5" customHeight="1">
      <c r="A56" s="66"/>
      <c r="B56" s="67"/>
      <c r="C56" s="68" t="s">
        <v>1839</v>
      </c>
      <c r="D56" s="67"/>
      <c r="E56" s="69">
        <f>E54-E55</f>
        <v>4.78</v>
      </c>
      <c r="F56" s="70"/>
      <c r="G56" s="70"/>
      <c r="H56" s="70"/>
      <c r="I56" s="70"/>
      <c r="J56" s="70"/>
      <c r="K56" s="70"/>
      <c r="L56" s="70"/>
      <c r="M56" s="70"/>
      <c r="N56" s="70"/>
      <c r="O56" s="70"/>
      <c r="P56" s="70"/>
      <c r="Q56" s="70"/>
      <c r="R56" s="70"/>
      <c r="S56" s="70"/>
      <c r="T56" s="67"/>
      <c r="U56" s="67"/>
      <c r="V56" s="67"/>
      <c r="W56" s="67"/>
    </row>
    <row r="57" spans="1:23" ht="22.5" customHeight="1">
      <c r="A57" s="71"/>
      <c r="B57" s="72"/>
      <c r="C57" s="73"/>
      <c r="D57" s="72"/>
      <c r="E57" s="74"/>
      <c r="F57" s="75"/>
      <c r="G57" s="76"/>
      <c r="H57" s="77"/>
      <c r="I57" s="76"/>
      <c r="J57" s="77"/>
      <c r="K57" s="75"/>
      <c r="L57" s="75"/>
      <c r="M57" s="75"/>
      <c r="N57" s="75"/>
      <c r="O57" s="75"/>
      <c r="P57" s="75"/>
      <c r="Q57" s="75"/>
      <c r="R57" s="75"/>
      <c r="S57" s="75"/>
      <c r="T57" s="72"/>
      <c r="U57" s="72"/>
      <c r="V57" s="72"/>
      <c r="W57" s="72"/>
    </row>
    <row r="58" spans="1:23" ht="19.5" customHeight="1">
      <c r="A58" s="3" t="s">
        <v>1840</v>
      </c>
      <c r="E58" s="4"/>
      <c r="F58" s="4"/>
      <c r="G58" s="4"/>
      <c r="H58" s="4"/>
      <c r="I58" s="4"/>
      <c r="J58" s="4"/>
      <c r="K58" s="4"/>
      <c r="L58" s="4"/>
      <c r="M58" s="4"/>
      <c r="N58" s="4"/>
      <c r="O58" s="4"/>
      <c r="P58" s="4"/>
      <c r="Q58" s="4"/>
      <c r="R58" s="4"/>
      <c r="S58" s="4"/>
    </row>
    <row r="59" spans="1:23" ht="19.5" customHeight="1">
      <c r="A59" s="3"/>
      <c r="E59" s="4"/>
      <c r="F59" s="4"/>
      <c r="G59" s="4"/>
      <c r="H59" s="4"/>
      <c r="I59" s="4"/>
      <c r="J59" s="4"/>
      <c r="K59" s="4"/>
      <c r="L59" s="4"/>
      <c r="M59" s="4"/>
      <c r="N59" s="4"/>
      <c r="O59" s="4"/>
      <c r="P59" s="4"/>
      <c r="Q59" s="4"/>
      <c r="R59" s="4"/>
      <c r="S59" s="4"/>
    </row>
  </sheetData>
  <mergeCells count="40">
    <mergeCell ref="T4:T7"/>
    <mergeCell ref="T40:T42"/>
    <mergeCell ref="T50:T52"/>
    <mergeCell ref="W4:W7"/>
    <mergeCell ref="M4:N5"/>
    <mergeCell ref="O4:P5"/>
    <mergeCell ref="U4:V5"/>
    <mergeCell ref="R4:R7"/>
    <mergeCell ref="R40:R42"/>
    <mergeCell ref="R50:R51"/>
    <mergeCell ref="S4:S7"/>
    <mergeCell ref="S40:S42"/>
    <mergeCell ref="S50:S52"/>
    <mergeCell ref="M50:M51"/>
    <mergeCell ref="N50:N52"/>
    <mergeCell ref="O50:O52"/>
    <mergeCell ref="F4:F7"/>
    <mergeCell ref="F40:F42"/>
    <mergeCell ref="F50:F52"/>
    <mergeCell ref="G4:K4"/>
    <mergeCell ref="D5:E5"/>
    <mergeCell ref="H40:I40"/>
    <mergeCell ref="J40:K40"/>
    <mergeCell ref="D41:E41"/>
    <mergeCell ref="D51:E51"/>
    <mergeCell ref="P50:P51"/>
    <mergeCell ref="Q4:Q7"/>
    <mergeCell ref="Q40:Q42"/>
    <mergeCell ref="Q50:Q51"/>
    <mergeCell ref="I50:J50"/>
    <mergeCell ref="K50:L50"/>
    <mergeCell ref="C4:C7"/>
    <mergeCell ref="C40:C42"/>
    <mergeCell ref="C50:C52"/>
    <mergeCell ref="A4:A7"/>
    <mergeCell ref="A40:A42"/>
    <mergeCell ref="A50:A52"/>
    <mergeCell ref="B4:B7"/>
    <mergeCell ref="B40:B42"/>
    <mergeCell ref="B50:B52"/>
  </mergeCells>
  <phoneticPr fontId="7" type="noConversion"/>
  <printOptions horizontalCentered="1"/>
  <pageMargins left="0.43307086614173229" right="0.23622047244094491" top="0.74803149606299213" bottom="0.74803149606299213" header="0.31496062992125984" footer="0.31496062992125984"/>
  <pageSetup paperSize="9" scale="85" orientation="portrait" blackAndWhite="1" r:id="rId1"/>
  <headerFooter alignWithMargins="0">
    <oddFooter>&amp;C第 &amp;P 页，共 &amp;N 页</oddFoot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indexed="60"/>
  </sheetPr>
  <dimension ref="A1:W59"/>
  <sheetViews>
    <sheetView zoomScale="93" zoomScaleNormal="93" workbookViewId="0">
      <pane xSplit="5" ySplit="7" topLeftCell="F29" activePane="bottomRight" state="frozen"/>
      <selection activeCell="J6" sqref="J6"/>
      <selection pane="topRight" activeCell="J6" sqref="J6"/>
      <selection pane="bottomLeft" activeCell="J6" sqref="J6"/>
      <selection pane="bottomRight" activeCell="J6" sqref="J6"/>
    </sheetView>
  </sheetViews>
  <sheetFormatPr defaultColWidth="9.125" defaultRowHeight="14.25"/>
  <cols>
    <col min="1" max="1" width="6.875" customWidth="1"/>
    <col min="2" max="2" width="11.75" customWidth="1"/>
    <col min="3" max="3" width="28" customWidth="1"/>
    <col min="4" max="4" width="9.25" customWidth="1"/>
    <col min="5" max="5" width="11.75" customWidth="1"/>
    <col min="6" max="11" width="9.25" customWidth="1"/>
    <col min="12" max="12" width="10.25" customWidth="1"/>
    <col min="13" max="18" width="9.25" customWidth="1"/>
    <col min="19" max="19" width="9.75" customWidth="1"/>
    <col min="20" max="21" width="9.25" customWidth="1"/>
    <col min="22" max="22" width="9.375" customWidth="1"/>
  </cols>
  <sheetData>
    <row r="1" spans="1:23" ht="21" customHeight="1">
      <c r="A1" s="3"/>
      <c r="C1" s="1" t="s">
        <v>1755</v>
      </c>
      <c r="E1" s="4"/>
      <c r="F1" s="4"/>
      <c r="G1" s="4"/>
      <c r="H1" s="4"/>
      <c r="I1" s="4"/>
      <c r="J1" s="4"/>
      <c r="K1" s="4"/>
      <c r="L1" s="4"/>
      <c r="M1" s="4"/>
      <c r="N1" s="4"/>
      <c r="O1" s="4"/>
      <c r="P1" s="4"/>
      <c r="Q1" s="4"/>
      <c r="R1" s="4"/>
      <c r="S1" s="4"/>
    </row>
    <row r="2" spans="1:23" ht="21" customHeight="1">
      <c r="A2" s="5" t="s">
        <v>1756</v>
      </c>
      <c r="B2" s="6" t="s">
        <v>131</v>
      </c>
      <c r="C2" s="7"/>
      <c r="D2" s="8" t="s">
        <v>1758</v>
      </c>
      <c r="E2" s="6" t="s">
        <v>1842</v>
      </c>
      <c r="F2" s="9"/>
      <c r="G2" s="8" t="s">
        <v>1760</v>
      </c>
      <c r="H2" s="6">
        <v>2</v>
      </c>
      <c r="I2" s="9" t="s">
        <v>1761</v>
      </c>
      <c r="J2" s="9"/>
      <c r="K2" s="9"/>
      <c r="L2" s="9"/>
      <c r="M2" s="9"/>
      <c r="N2" s="9"/>
      <c r="O2" s="9"/>
      <c r="P2" s="9"/>
      <c r="Q2" s="9"/>
      <c r="R2" s="9"/>
      <c r="S2" s="9"/>
    </row>
    <row r="3" spans="1:23" ht="21" customHeight="1">
      <c r="A3" s="10" t="s">
        <v>120</v>
      </c>
      <c r="B3" s="11" t="s">
        <v>246</v>
      </c>
      <c r="C3" s="7"/>
      <c r="D3" s="7"/>
      <c r="F3" s="9"/>
      <c r="G3" s="12" t="s">
        <v>1763</v>
      </c>
      <c r="H3" s="11">
        <v>1</v>
      </c>
      <c r="I3" s="9" t="s">
        <v>1764</v>
      </c>
      <c r="J3" s="9">
        <v>0</v>
      </c>
      <c r="K3" s="9" t="s">
        <v>1765</v>
      </c>
      <c r="L3" s="9">
        <v>0</v>
      </c>
      <c r="M3" s="9"/>
      <c r="N3" s="9"/>
      <c r="O3" s="9"/>
      <c r="P3" s="9"/>
      <c r="Q3" s="9"/>
      <c r="R3" s="9"/>
      <c r="S3" s="9"/>
    </row>
    <row r="4" spans="1:23" ht="35.25" customHeight="1">
      <c r="A4" s="991" t="s">
        <v>54</v>
      </c>
      <c r="B4" s="987" t="s">
        <v>1766</v>
      </c>
      <c r="C4" s="987" t="s">
        <v>1767</v>
      </c>
      <c r="D4" s="13" t="s">
        <v>1768</v>
      </c>
      <c r="E4" s="13" t="s">
        <v>1769</v>
      </c>
      <c r="F4" s="987" t="s">
        <v>1770</v>
      </c>
      <c r="G4" s="987" t="s">
        <v>1771</v>
      </c>
      <c r="H4" s="987"/>
      <c r="I4" s="987"/>
      <c r="J4" s="987"/>
      <c r="K4" s="987"/>
      <c r="L4" s="78" t="s">
        <v>1772</v>
      </c>
      <c r="M4" s="987" t="s">
        <v>1773</v>
      </c>
      <c r="N4" s="987"/>
      <c r="O4" s="987" t="s">
        <v>1774</v>
      </c>
      <c r="P4" s="987"/>
      <c r="Q4" s="987" t="s">
        <v>1775</v>
      </c>
      <c r="R4" s="987" t="s">
        <v>1776</v>
      </c>
      <c r="S4" s="987" t="s">
        <v>1777</v>
      </c>
      <c r="T4" s="987" t="s">
        <v>1778</v>
      </c>
      <c r="U4" s="987" t="s">
        <v>1574</v>
      </c>
      <c r="V4" s="987"/>
      <c r="W4" s="1000" t="s">
        <v>1779</v>
      </c>
    </row>
    <row r="5" spans="1:23" ht="24" customHeight="1">
      <c r="A5" s="992"/>
      <c r="B5" s="988"/>
      <c r="C5" s="988"/>
      <c r="D5" s="988" t="s">
        <v>1780</v>
      </c>
      <c r="E5" s="988"/>
      <c r="F5" s="988"/>
      <c r="G5" s="14" t="s">
        <v>1781</v>
      </c>
      <c r="H5" s="14" t="s">
        <v>1482</v>
      </c>
      <c r="I5" s="14" t="s">
        <v>1782</v>
      </c>
      <c r="J5" s="14" t="s">
        <v>1783</v>
      </c>
      <c r="K5" s="14" t="s">
        <v>1418</v>
      </c>
      <c r="L5" s="14" t="s">
        <v>1784</v>
      </c>
      <c r="M5" s="988"/>
      <c r="N5" s="988"/>
      <c r="O5" s="988"/>
      <c r="P5" s="988"/>
      <c r="Q5" s="988"/>
      <c r="R5" s="988"/>
      <c r="S5" s="988"/>
      <c r="T5" s="988"/>
      <c r="U5" s="988"/>
      <c r="V5" s="988"/>
      <c r="W5" s="1001"/>
    </row>
    <row r="6" spans="1:23" ht="27" customHeight="1">
      <c r="A6" s="992"/>
      <c r="B6" s="988"/>
      <c r="C6" s="988"/>
      <c r="D6" s="14"/>
      <c r="E6" s="15"/>
      <c r="F6" s="988"/>
      <c r="G6" s="16">
        <v>0.99399999999999999</v>
      </c>
      <c r="H6" s="16">
        <v>0.84399999999999997</v>
      </c>
      <c r="I6" s="16">
        <v>0.9</v>
      </c>
      <c r="J6" s="16">
        <v>1.65</v>
      </c>
      <c r="K6" s="16">
        <v>1.1599999999999999</v>
      </c>
      <c r="L6" s="79"/>
      <c r="M6" s="14" t="s">
        <v>1785</v>
      </c>
      <c r="N6" s="15" t="s">
        <v>1786</v>
      </c>
      <c r="O6" s="14" t="s">
        <v>1785</v>
      </c>
      <c r="P6" s="15" t="s">
        <v>1786</v>
      </c>
      <c r="Q6" s="988"/>
      <c r="R6" s="988"/>
      <c r="S6" s="988"/>
      <c r="T6" s="988"/>
      <c r="U6" s="14" t="s">
        <v>1787</v>
      </c>
      <c r="V6" s="14" t="s">
        <v>1788</v>
      </c>
      <c r="W6" s="1001"/>
    </row>
    <row r="7" spans="1:23" ht="24.75" customHeight="1">
      <c r="A7" s="993"/>
      <c r="B7" s="989"/>
      <c r="C7" s="989"/>
      <c r="D7" s="17" t="s">
        <v>235</v>
      </c>
      <c r="E7" s="17" t="s">
        <v>1092</v>
      </c>
      <c r="F7" s="989"/>
      <c r="G7" s="18">
        <f>0.994*2.272</f>
        <v>2.2583679999999999</v>
      </c>
      <c r="H7" s="18">
        <f>0.844*2.272</f>
        <v>1.9175679999999997</v>
      </c>
      <c r="I7" s="18">
        <f>0.9*2.19</f>
        <v>1.9710000000000001</v>
      </c>
      <c r="J7" s="18">
        <f>1.65*2.14</f>
        <v>3.5310000000000001</v>
      </c>
      <c r="K7" s="18">
        <f>1.16*2.18</f>
        <v>2.5287999999999999</v>
      </c>
      <c r="L7" s="18">
        <v>2.27</v>
      </c>
      <c r="M7" s="80"/>
      <c r="N7" s="80"/>
      <c r="O7" s="80"/>
      <c r="P7" s="80"/>
      <c r="Q7" s="995"/>
      <c r="R7" s="989"/>
      <c r="S7" s="989"/>
      <c r="T7" s="989"/>
      <c r="U7" s="80" t="s">
        <v>1789</v>
      </c>
      <c r="V7" s="80" t="s">
        <v>1790</v>
      </c>
      <c r="W7" s="1002"/>
    </row>
    <row r="8" spans="1:23" ht="24.75" customHeight="1">
      <c r="A8" s="19" t="s">
        <v>58</v>
      </c>
      <c r="B8" s="20"/>
      <c r="C8" s="21" t="s">
        <v>1406</v>
      </c>
      <c r="D8" s="20"/>
      <c r="E8" s="20"/>
      <c r="F8" s="20"/>
      <c r="G8" s="22"/>
      <c r="H8" s="22"/>
      <c r="I8" s="22"/>
      <c r="J8" s="22"/>
      <c r="K8" s="22"/>
      <c r="L8" s="22"/>
      <c r="M8" s="22"/>
      <c r="N8" s="22"/>
      <c r="O8" s="22"/>
      <c r="P8" s="22"/>
      <c r="Q8" s="22"/>
      <c r="R8" s="20"/>
      <c r="S8" s="20"/>
      <c r="T8" s="20"/>
      <c r="U8" s="22"/>
      <c r="V8" s="22"/>
      <c r="W8" s="85"/>
    </row>
    <row r="9" spans="1:23" ht="24.75" customHeight="1">
      <c r="A9" s="23">
        <v>1</v>
      </c>
      <c r="B9" s="24"/>
      <c r="C9" s="25" t="s">
        <v>237</v>
      </c>
      <c r="D9" s="26"/>
      <c r="E9" s="27"/>
      <c r="F9" s="28"/>
      <c r="G9" s="29"/>
      <c r="H9" s="29"/>
      <c r="I9" s="29"/>
      <c r="J9" s="29"/>
      <c r="K9" s="29"/>
      <c r="L9" s="29"/>
      <c r="M9" s="29"/>
      <c r="N9" s="29"/>
      <c r="O9" s="29"/>
      <c r="P9" s="29"/>
      <c r="Q9" s="29"/>
      <c r="R9" s="28"/>
      <c r="S9" s="28"/>
      <c r="T9" s="28"/>
      <c r="U9" s="29"/>
      <c r="V9" s="29"/>
      <c r="W9" s="86"/>
    </row>
    <row r="10" spans="1:23" ht="24.75" customHeight="1">
      <c r="A10" s="23">
        <v>2</v>
      </c>
      <c r="B10" s="24"/>
      <c r="C10" s="25" t="s">
        <v>241</v>
      </c>
      <c r="D10" s="26"/>
      <c r="E10" s="27"/>
      <c r="F10" s="28"/>
      <c r="G10" s="29"/>
      <c r="H10" s="29"/>
      <c r="I10" s="29"/>
      <c r="J10" s="29"/>
      <c r="K10" s="29"/>
      <c r="L10" s="29"/>
      <c r="M10" s="29"/>
      <c r="N10" s="29"/>
      <c r="O10" s="29"/>
      <c r="P10" s="29"/>
      <c r="Q10" s="29"/>
      <c r="R10" s="28"/>
      <c r="S10" s="28"/>
      <c r="T10" s="28"/>
      <c r="U10" s="29"/>
      <c r="V10" s="29"/>
      <c r="W10" s="86"/>
    </row>
    <row r="11" spans="1:23" ht="24.75" customHeight="1">
      <c r="A11" s="23">
        <v>3</v>
      </c>
      <c r="B11" s="15"/>
      <c r="C11" s="15" t="s">
        <v>1791</v>
      </c>
      <c r="D11" s="26">
        <f>27.22</f>
        <v>27.22</v>
      </c>
      <c r="E11" s="30">
        <v>25.53</v>
      </c>
      <c r="F11" s="29"/>
      <c r="G11" s="29"/>
      <c r="H11" s="29"/>
      <c r="I11" s="29"/>
      <c r="J11" s="29"/>
      <c r="K11" s="29"/>
      <c r="L11" s="29"/>
      <c r="M11" s="29"/>
      <c r="N11" s="29"/>
      <c r="O11" s="29"/>
      <c r="P11" s="29"/>
      <c r="Q11" s="29"/>
      <c r="R11" s="29"/>
      <c r="S11" s="15"/>
      <c r="T11" s="29"/>
      <c r="U11" s="29"/>
      <c r="V11" s="29"/>
      <c r="W11" s="87"/>
    </row>
    <row r="12" spans="1:23" ht="15.75" customHeight="1">
      <c r="A12" s="23">
        <v>4</v>
      </c>
      <c r="B12" s="15"/>
      <c r="C12" s="15" t="s">
        <v>1792</v>
      </c>
      <c r="D12" s="30"/>
      <c r="E12" s="30"/>
      <c r="F12" s="15"/>
      <c r="G12" s="29"/>
      <c r="H12" s="29"/>
      <c r="I12" s="29"/>
      <c r="J12" s="29"/>
      <c r="K12" s="29"/>
      <c r="L12" s="29"/>
      <c r="M12" s="29"/>
      <c r="N12" s="29"/>
      <c r="O12" s="29"/>
      <c r="P12" s="29"/>
      <c r="Q12" s="29"/>
      <c r="R12" s="29"/>
      <c r="S12" s="32">
        <f>D12*F12</f>
        <v>0</v>
      </c>
      <c r="T12" s="29"/>
      <c r="U12" s="29"/>
      <c r="V12" s="29"/>
      <c r="W12" s="87"/>
    </row>
    <row r="13" spans="1:23" ht="15.75" customHeight="1">
      <c r="A13" s="23">
        <v>5</v>
      </c>
      <c r="B13" s="15"/>
      <c r="C13" s="15" t="s">
        <v>1793</v>
      </c>
      <c r="D13" s="30"/>
      <c r="E13" s="31"/>
      <c r="F13" s="29"/>
      <c r="G13" s="29"/>
      <c r="H13" s="29"/>
      <c r="I13" s="29"/>
      <c r="J13" s="29"/>
      <c r="K13" s="29"/>
      <c r="L13" s="29"/>
      <c r="M13" s="29"/>
      <c r="N13" s="29"/>
      <c r="O13" s="29"/>
      <c r="P13" s="29"/>
      <c r="Q13" s="29"/>
      <c r="R13" s="29"/>
      <c r="S13" s="43"/>
      <c r="T13" s="29"/>
      <c r="U13" s="29"/>
      <c r="V13" s="29"/>
      <c r="W13" s="87"/>
    </row>
    <row r="14" spans="1:23" ht="15.75" customHeight="1">
      <c r="A14" s="23">
        <v>6</v>
      </c>
      <c r="B14" s="15"/>
      <c r="C14" s="15" t="s">
        <v>1794</v>
      </c>
      <c r="D14" s="30">
        <f>9.6-0.2*2</f>
        <v>9.1999999999999993</v>
      </c>
      <c r="E14" s="30">
        <f>5.7-0.2*1.3</f>
        <v>5.44</v>
      </c>
      <c r="F14" s="15">
        <f>3-0.5-0.065-0.1-0.012</f>
        <v>2.323</v>
      </c>
      <c r="G14" s="29"/>
      <c r="H14" s="29"/>
      <c r="I14" s="29"/>
      <c r="J14" s="29"/>
      <c r="K14" s="29"/>
      <c r="L14" s="29"/>
      <c r="M14" s="29"/>
      <c r="N14" s="29"/>
      <c r="O14" s="29"/>
      <c r="P14" s="29"/>
      <c r="Q14" s="29"/>
      <c r="R14" s="29"/>
      <c r="S14" s="32">
        <f>D14*F14</f>
        <v>21.371599999999997</v>
      </c>
      <c r="T14" s="29"/>
      <c r="U14" s="29"/>
      <c r="V14" s="29"/>
      <c r="W14" s="87"/>
    </row>
    <row r="15" spans="1:23" ht="15.75" customHeight="1">
      <c r="A15" s="23">
        <v>7</v>
      </c>
      <c r="B15" s="15"/>
      <c r="C15" s="15" t="s">
        <v>1795</v>
      </c>
      <c r="D15" s="30">
        <v>1.3</v>
      </c>
      <c r="E15" s="30"/>
      <c r="F15" s="32">
        <f>D15*E15</f>
        <v>0</v>
      </c>
      <c r="G15" s="29"/>
      <c r="H15" s="29"/>
      <c r="I15" s="29"/>
      <c r="J15" s="29"/>
      <c r="K15" s="29"/>
      <c r="L15" s="29"/>
      <c r="M15" s="29"/>
      <c r="N15" s="29"/>
      <c r="O15" s="29"/>
      <c r="P15" s="29"/>
      <c r="Q15" s="29"/>
      <c r="R15" s="29"/>
      <c r="S15" s="43"/>
      <c r="T15" s="29"/>
      <c r="U15" s="29"/>
      <c r="V15" s="29"/>
      <c r="W15" s="87"/>
    </row>
    <row r="16" spans="1:23" ht="15.75" customHeight="1">
      <c r="A16" s="23">
        <v>8</v>
      </c>
      <c r="B16" s="15"/>
      <c r="C16" s="15" t="s">
        <v>1796</v>
      </c>
      <c r="D16" s="30">
        <v>2.96</v>
      </c>
      <c r="E16" s="33"/>
      <c r="F16" s="30">
        <f>3-0.1-0.012-0.065-0.1</f>
        <v>2.7229999999999999</v>
      </c>
      <c r="G16" s="29"/>
      <c r="H16" s="29"/>
      <c r="I16" s="29"/>
      <c r="J16" s="29"/>
      <c r="K16" s="29"/>
      <c r="L16" s="29"/>
      <c r="M16" s="29"/>
      <c r="N16" s="29"/>
      <c r="O16" s="29"/>
      <c r="P16" s="29"/>
      <c r="Q16" s="29"/>
      <c r="R16" s="29"/>
      <c r="S16" s="32">
        <f>(D16-0.2)*(F16-0.1)</f>
        <v>7.2394799999999986</v>
      </c>
      <c r="T16" s="29"/>
      <c r="U16" s="29"/>
      <c r="V16" s="29"/>
      <c r="W16" s="87"/>
    </row>
    <row r="17" spans="1:23" ht="15.75" customHeight="1">
      <c r="A17" s="23">
        <v>9</v>
      </c>
      <c r="B17" s="15"/>
      <c r="C17" s="15" t="s">
        <v>1797</v>
      </c>
      <c r="D17" s="32">
        <f>D11-D12-D14-D16</f>
        <v>15.059999999999999</v>
      </c>
      <c r="E17" s="29"/>
      <c r="F17" s="15">
        <f>3-0.1-0.012-0.065-0.1</f>
        <v>2.7229999999999999</v>
      </c>
      <c r="G17" s="15">
        <f>H2</f>
        <v>2</v>
      </c>
      <c r="H17" s="15">
        <f>H3</f>
        <v>1</v>
      </c>
      <c r="I17" s="15">
        <v>1</v>
      </c>
      <c r="J17" s="15">
        <v>0</v>
      </c>
      <c r="K17" s="15">
        <v>1</v>
      </c>
      <c r="L17" s="30">
        <v>2.5</v>
      </c>
      <c r="M17" s="30">
        <v>0</v>
      </c>
      <c r="N17" s="30">
        <v>0</v>
      </c>
      <c r="O17" s="30">
        <v>0</v>
      </c>
      <c r="P17" s="30">
        <v>0</v>
      </c>
      <c r="Q17" s="30">
        <f>D15*(0.4-0.1-0.135)+1.1*(0.5-0.1-0.135)+(L7*2+L17)*0.07</f>
        <v>0.99880000000000013</v>
      </c>
      <c r="R17" s="15">
        <v>0</v>
      </c>
      <c r="S17" s="32">
        <f>D17*F17-(G17*$G$7+H17*$H$7+I17*$I$7+J17*$J$7+K17*$K$7+L17*$L$7)-M17*N17-P17*O17+Q17+R17</f>
        <v>25.398075999999996</v>
      </c>
      <c r="T17" s="29"/>
      <c r="U17" s="29"/>
      <c r="V17" s="29"/>
      <c r="W17" s="87"/>
    </row>
    <row r="18" spans="1:23" ht="15.75" customHeight="1">
      <c r="A18" s="23">
        <v>10</v>
      </c>
      <c r="B18" s="34"/>
      <c r="C18" s="34" t="s">
        <v>1798</v>
      </c>
      <c r="D18" s="34"/>
      <c r="E18" s="35">
        <f>E11</f>
        <v>25.53</v>
      </c>
      <c r="F18" s="36"/>
      <c r="G18" s="36"/>
      <c r="H18" s="36"/>
      <c r="I18" s="36"/>
      <c r="J18" s="36"/>
      <c r="K18" s="36"/>
      <c r="L18" s="36"/>
      <c r="M18" s="36"/>
      <c r="N18" s="36"/>
      <c r="O18" s="36"/>
      <c r="P18" s="36"/>
      <c r="Q18" s="36"/>
      <c r="R18" s="36"/>
      <c r="S18" s="35">
        <f>S12+S14+S17</f>
        <v>46.76967599999999</v>
      </c>
      <c r="T18" s="35">
        <f>D11-($G$6*G17+$H$6*H17+$I$6*I17+$J$6*J17+$K$6*K17+L17)</f>
        <v>19.827999999999999</v>
      </c>
      <c r="U18" s="35">
        <f>M17*0.12</f>
        <v>0</v>
      </c>
      <c r="V18" s="35">
        <f>O17*0.7</f>
        <v>0</v>
      </c>
      <c r="W18" s="88">
        <v>0</v>
      </c>
    </row>
    <row r="19" spans="1:23" ht="24.75" customHeight="1">
      <c r="A19" s="37" t="s">
        <v>60</v>
      </c>
      <c r="B19" s="38"/>
      <c r="C19" s="39" t="s">
        <v>1799</v>
      </c>
      <c r="D19" s="38"/>
      <c r="E19" s="38"/>
      <c r="F19" s="38"/>
      <c r="G19" s="40"/>
      <c r="H19" s="40"/>
      <c r="I19" s="40"/>
      <c r="J19" s="40"/>
      <c r="K19" s="40"/>
      <c r="L19" s="40"/>
      <c r="M19" s="40"/>
      <c r="N19" s="40"/>
      <c r="O19" s="40"/>
      <c r="P19" s="40"/>
      <c r="Q19" s="40"/>
      <c r="R19" s="38"/>
      <c r="S19" s="38"/>
      <c r="T19" s="38"/>
      <c r="U19" s="40"/>
      <c r="V19" s="40"/>
      <c r="W19" s="89"/>
    </row>
    <row r="20" spans="1:23" ht="15.75" customHeight="1">
      <c r="A20" s="41">
        <v>1</v>
      </c>
      <c r="B20" s="15" t="s">
        <v>1374</v>
      </c>
      <c r="C20" s="15" t="s">
        <v>1800</v>
      </c>
      <c r="D20" s="30">
        <v>12.99</v>
      </c>
      <c r="E20" s="30">
        <v>10.37</v>
      </c>
      <c r="F20" s="15"/>
      <c r="G20" s="29"/>
      <c r="H20" s="29"/>
      <c r="I20" s="29"/>
      <c r="J20" s="29"/>
      <c r="K20" s="29"/>
      <c r="L20" s="29"/>
      <c r="M20" s="29"/>
      <c r="N20" s="29"/>
      <c r="O20" s="29"/>
      <c r="P20" s="29"/>
      <c r="Q20" s="29"/>
      <c r="R20" s="29"/>
      <c r="S20" s="29"/>
      <c r="T20" s="29"/>
      <c r="U20" s="29"/>
      <c r="V20" s="29"/>
      <c r="W20" s="90"/>
    </row>
    <row r="21" spans="1:23" ht="15.75" customHeight="1">
      <c r="A21" s="41">
        <v>2</v>
      </c>
      <c r="B21" s="15"/>
      <c r="C21" s="15" t="s">
        <v>1794</v>
      </c>
      <c r="D21" s="30">
        <v>0</v>
      </c>
      <c r="E21" s="30">
        <v>0</v>
      </c>
      <c r="F21" s="15">
        <v>0</v>
      </c>
      <c r="G21" s="29"/>
      <c r="H21" s="29"/>
      <c r="I21" s="29"/>
      <c r="J21" s="29"/>
      <c r="K21" s="29"/>
      <c r="L21" s="29"/>
      <c r="M21" s="29"/>
      <c r="N21" s="29"/>
      <c r="O21" s="29"/>
      <c r="P21" s="29"/>
      <c r="Q21" s="29"/>
      <c r="R21" s="29"/>
      <c r="S21" s="16">
        <f>D21*F21</f>
        <v>0</v>
      </c>
      <c r="T21" s="29"/>
      <c r="U21" s="29"/>
      <c r="V21" s="29"/>
      <c r="W21" s="87"/>
    </row>
    <row r="22" spans="1:23" ht="15.75" customHeight="1">
      <c r="A22" s="41">
        <v>3</v>
      </c>
      <c r="B22" s="15"/>
      <c r="C22" s="15" t="s">
        <v>1801</v>
      </c>
      <c r="D22" s="32">
        <f>D20-D21</f>
        <v>12.99</v>
      </c>
      <c r="E22" s="32">
        <f>E20-E21</f>
        <v>10.37</v>
      </c>
      <c r="F22" s="15">
        <f>3-0.1-0.012-0.1-0.065-0.1</f>
        <v>2.6229999999999998</v>
      </c>
      <c r="G22" s="30">
        <v>1</v>
      </c>
      <c r="H22" s="15">
        <v>0</v>
      </c>
      <c r="I22" s="29"/>
      <c r="J22" s="29"/>
      <c r="K22" s="29"/>
      <c r="L22" s="30">
        <v>1.8</v>
      </c>
      <c r="M22" s="30">
        <v>0</v>
      </c>
      <c r="N22" s="30">
        <v>0</v>
      </c>
      <c r="O22" s="30">
        <v>0</v>
      </c>
      <c r="P22" s="30">
        <v>0</v>
      </c>
      <c r="Q22" s="30">
        <f>3.4*(0.4-0.1-0.135)++(L7*2+L22)*0.07</f>
        <v>1.0048000000000001</v>
      </c>
      <c r="R22" s="30">
        <v>0</v>
      </c>
      <c r="S22" s="16">
        <f>D22*F22-(G22*$G$7+H22*$H$7+I22*$I$7+J22*$J$7+K22*$K$7+L22*$L$7)-M22*N22-O22*P22+Q22+R22</f>
        <v>28.733201999999999</v>
      </c>
      <c r="T22" s="29"/>
      <c r="U22" s="29"/>
      <c r="V22" s="29"/>
      <c r="W22" s="87"/>
    </row>
    <row r="23" spans="1:23" ht="15.75" customHeight="1">
      <c r="A23" s="41"/>
      <c r="B23" s="15"/>
      <c r="C23" s="15" t="s">
        <v>240</v>
      </c>
      <c r="D23" s="42">
        <v>0</v>
      </c>
      <c r="E23" s="43"/>
      <c r="F23" s="29"/>
      <c r="G23" s="29"/>
      <c r="H23" s="29"/>
      <c r="I23" s="29"/>
      <c r="J23" s="29"/>
      <c r="K23" s="29"/>
      <c r="L23" s="29"/>
      <c r="M23" s="29"/>
      <c r="N23" s="29"/>
      <c r="O23" s="29"/>
      <c r="P23" s="29"/>
      <c r="Q23" s="29"/>
      <c r="R23" s="29"/>
      <c r="S23" s="91"/>
      <c r="T23" s="29"/>
      <c r="U23" s="29"/>
      <c r="V23" s="29"/>
      <c r="W23" s="87"/>
    </row>
    <row r="24" spans="1:23" ht="15.75" customHeight="1">
      <c r="A24" s="41"/>
      <c r="B24" s="15"/>
      <c r="C24" s="44" t="s">
        <v>285</v>
      </c>
      <c r="D24" s="42">
        <v>12.6</v>
      </c>
      <c r="E24" s="43"/>
      <c r="F24" s="29"/>
      <c r="G24" s="29"/>
      <c r="H24" s="29"/>
      <c r="I24" s="29"/>
      <c r="J24" s="29"/>
      <c r="K24" s="29"/>
      <c r="L24" s="29"/>
      <c r="M24" s="29"/>
      <c r="N24" s="29"/>
      <c r="O24" s="29"/>
      <c r="P24" s="29"/>
      <c r="Q24" s="29"/>
      <c r="R24" s="29"/>
      <c r="S24" s="91"/>
      <c r="T24" s="29"/>
      <c r="U24" s="29"/>
      <c r="V24" s="29"/>
      <c r="W24" s="87"/>
    </row>
    <row r="25" spans="1:23" ht="15.75" customHeight="1">
      <c r="A25" s="45">
        <v>4</v>
      </c>
      <c r="B25" s="34" t="s">
        <v>133</v>
      </c>
      <c r="C25" s="34" t="s">
        <v>1802</v>
      </c>
      <c r="D25" s="34"/>
      <c r="E25" s="34">
        <f>E20</f>
        <v>10.37</v>
      </c>
      <c r="F25" s="36"/>
      <c r="G25" s="36"/>
      <c r="H25" s="36"/>
      <c r="I25" s="36"/>
      <c r="J25" s="36"/>
      <c r="K25" s="36"/>
      <c r="L25" s="36"/>
      <c r="M25" s="36"/>
      <c r="N25" s="36"/>
      <c r="O25" s="36"/>
      <c r="P25" s="36"/>
      <c r="Q25" s="36"/>
      <c r="R25" s="36"/>
      <c r="S25" s="35">
        <f>SUM(S21:S22)</f>
        <v>28.733201999999999</v>
      </c>
      <c r="T25" s="35">
        <f>D20-($G$6*G22+$H$6*H22)</f>
        <v>11.996</v>
      </c>
      <c r="U25" s="35">
        <f>M22*0.12</f>
        <v>0</v>
      </c>
      <c r="V25" s="35">
        <f>O22*0.7</f>
        <v>0</v>
      </c>
      <c r="W25" s="88">
        <v>0</v>
      </c>
    </row>
    <row r="26" spans="1:23" ht="15.75" customHeight="1">
      <c r="A26" s="41">
        <v>5</v>
      </c>
      <c r="B26" s="15" t="s">
        <v>1803</v>
      </c>
      <c r="C26" s="15" t="s">
        <v>1804</v>
      </c>
      <c r="D26" s="30">
        <v>12.4</v>
      </c>
      <c r="E26" s="30">
        <v>9.6</v>
      </c>
      <c r="F26" s="15"/>
      <c r="G26" s="29"/>
      <c r="H26" s="29"/>
      <c r="I26" s="29"/>
      <c r="J26" s="29"/>
      <c r="K26" s="29"/>
      <c r="L26" s="29"/>
      <c r="M26" s="29"/>
      <c r="N26" s="29"/>
      <c r="O26" s="29"/>
      <c r="P26" s="29"/>
      <c r="Q26" s="29"/>
      <c r="R26" s="29"/>
      <c r="S26" s="29"/>
      <c r="T26" s="29"/>
      <c r="U26" s="29"/>
      <c r="V26" s="29"/>
      <c r="W26" s="90"/>
    </row>
    <row r="27" spans="1:23" ht="15.75" customHeight="1">
      <c r="A27" s="41">
        <v>6</v>
      </c>
      <c r="B27" s="15"/>
      <c r="C27" s="15" t="s">
        <v>1794</v>
      </c>
      <c r="D27" s="30">
        <v>0</v>
      </c>
      <c r="E27" s="30">
        <v>0</v>
      </c>
      <c r="F27" s="15">
        <f>3-0.1-0.012-0.1-0.065-0.1</f>
        <v>2.6229999999999998</v>
      </c>
      <c r="G27" s="29"/>
      <c r="H27" s="29"/>
      <c r="I27" s="29"/>
      <c r="J27" s="29"/>
      <c r="K27" s="29"/>
      <c r="L27" s="29"/>
      <c r="M27" s="29"/>
      <c r="N27" s="29"/>
      <c r="O27" s="29"/>
      <c r="P27" s="29"/>
      <c r="Q27" s="29"/>
      <c r="R27" s="29"/>
      <c r="S27" s="16">
        <f>D27*F27</f>
        <v>0</v>
      </c>
      <c r="T27" s="29"/>
      <c r="U27" s="29"/>
      <c r="V27" s="29"/>
      <c r="W27" s="87"/>
    </row>
    <row r="28" spans="1:23" ht="15.75" customHeight="1">
      <c r="A28" s="41">
        <v>7</v>
      </c>
      <c r="B28" s="15"/>
      <c r="C28" s="15" t="s">
        <v>1805</v>
      </c>
      <c r="D28" s="32">
        <f>D26-D27</f>
        <v>12.4</v>
      </c>
      <c r="E28" s="32">
        <f>E26-E27</f>
        <v>9.6</v>
      </c>
      <c r="F28" s="15">
        <f>3-0.1-0.012-0.1-0.065-0.1</f>
        <v>2.6229999999999998</v>
      </c>
      <c r="G28" s="30">
        <v>1</v>
      </c>
      <c r="H28" s="15">
        <v>0</v>
      </c>
      <c r="I28" s="29"/>
      <c r="J28" s="29"/>
      <c r="K28" s="29"/>
      <c r="L28" s="29"/>
      <c r="M28" s="30">
        <v>1.8</v>
      </c>
      <c r="N28" s="30">
        <v>1.44</v>
      </c>
      <c r="O28" s="30">
        <v>0</v>
      </c>
      <c r="P28" s="30">
        <v>0</v>
      </c>
      <c r="Q28" s="30">
        <f>3.1*(0.5-0.1-0.135)</f>
        <v>0.82150000000000012</v>
      </c>
      <c r="R28" s="30">
        <f>0.06*(M28+N28*2)</f>
        <v>0.28079999999999999</v>
      </c>
      <c r="S28" s="16">
        <f>D28*F28-(G28*$G$7+H28*$H$7+I28*$I$7+J28*$J$7+K28*$K$7+L28*$L$7)-M28*N28-O28*P28+Q28+R28</f>
        <v>28.777131999999998</v>
      </c>
      <c r="T28" s="29"/>
      <c r="U28" s="29"/>
      <c r="V28" s="29"/>
      <c r="W28" s="87"/>
    </row>
    <row r="29" spans="1:23" ht="15.75" customHeight="1">
      <c r="A29" s="41"/>
      <c r="B29" s="15"/>
      <c r="C29" s="44" t="s">
        <v>285</v>
      </c>
      <c r="D29" s="42">
        <v>12</v>
      </c>
      <c r="E29" s="43"/>
      <c r="F29" s="29"/>
      <c r="G29" s="29"/>
      <c r="H29" s="29"/>
      <c r="I29" s="29"/>
      <c r="J29" s="29"/>
      <c r="K29" s="29"/>
      <c r="L29" s="29"/>
      <c r="M29" s="29"/>
      <c r="N29" s="29"/>
      <c r="O29" s="29"/>
      <c r="P29" s="29"/>
      <c r="Q29" s="29"/>
      <c r="R29" s="29"/>
      <c r="S29" s="91"/>
      <c r="T29" s="29"/>
      <c r="U29" s="29"/>
      <c r="V29" s="29"/>
      <c r="W29" s="87"/>
    </row>
    <row r="30" spans="1:23" ht="15.75" customHeight="1">
      <c r="A30" s="46">
        <v>8</v>
      </c>
      <c r="B30" s="47" t="s">
        <v>246</v>
      </c>
      <c r="C30" s="34" t="s">
        <v>1806</v>
      </c>
      <c r="D30" s="34"/>
      <c r="E30" s="34">
        <f>E26</f>
        <v>9.6</v>
      </c>
      <c r="F30" s="36"/>
      <c r="G30" s="36"/>
      <c r="H30" s="36"/>
      <c r="I30" s="36"/>
      <c r="J30" s="36"/>
      <c r="K30" s="36"/>
      <c r="L30" s="36"/>
      <c r="M30" s="36"/>
      <c r="N30" s="36"/>
      <c r="O30" s="36"/>
      <c r="P30" s="36"/>
      <c r="Q30" s="36"/>
      <c r="R30" s="36"/>
      <c r="S30" s="35">
        <f>SUM(S27:S28)</f>
        <v>28.777131999999998</v>
      </c>
      <c r="T30" s="35">
        <f>D26-($G$6*G28+$H$6*H28)</f>
        <v>11.406000000000001</v>
      </c>
      <c r="U30" s="35">
        <f>M28*0.12</f>
        <v>0.216</v>
      </c>
      <c r="V30" s="35">
        <f>O28*0.7</f>
        <v>0</v>
      </c>
      <c r="W30" s="88">
        <v>0</v>
      </c>
    </row>
    <row r="31" spans="1:23" ht="15.75" customHeight="1">
      <c r="A31" s="41">
        <v>9</v>
      </c>
      <c r="B31" s="15" t="s">
        <v>1807</v>
      </c>
      <c r="C31" s="15" t="s">
        <v>1808</v>
      </c>
      <c r="D31" s="30">
        <v>0</v>
      </c>
      <c r="E31" s="30">
        <v>0</v>
      </c>
      <c r="F31" s="15">
        <v>0</v>
      </c>
      <c r="G31" s="29"/>
      <c r="H31" s="29"/>
      <c r="I31" s="29"/>
      <c r="J31" s="29"/>
      <c r="K31" s="29"/>
      <c r="L31" s="29"/>
      <c r="M31" s="29"/>
      <c r="N31" s="29"/>
      <c r="O31" s="29"/>
      <c r="P31" s="29"/>
      <c r="Q31" s="29"/>
      <c r="R31" s="29"/>
      <c r="S31" s="29"/>
      <c r="T31" s="29"/>
      <c r="U31" s="29"/>
      <c r="V31" s="29"/>
      <c r="W31" s="90"/>
    </row>
    <row r="32" spans="1:23" ht="15.75" customHeight="1">
      <c r="A32" s="41">
        <v>10</v>
      </c>
      <c r="B32" s="15"/>
      <c r="C32" s="15" t="s">
        <v>1794</v>
      </c>
      <c r="D32" s="30">
        <v>0</v>
      </c>
      <c r="E32" s="30">
        <v>0</v>
      </c>
      <c r="F32" s="15">
        <v>0</v>
      </c>
      <c r="G32" s="29"/>
      <c r="H32" s="29"/>
      <c r="I32" s="29"/>
      <c r="J32" s="29"/>
      <c r="K32" s="29"/>
      <c r="L32" s="29"/>
      <c r="M32" s="29"/>
      <c r="N32" s="29"/>
      <c r="O32" s="29"/>
      <c r="P32" s="29"/>
      <c r="Q32" s="29"/>
      <c r="R32" s="29"/>
      <c r="S32" s="16">
        <f>D32*F32</f>
        <v>0</v>
      </c>
      <c r="T32" s="29"/>
      <c r="U32" s="29"/>
      <c r="V32" s="29"/>
      <c r="W32" s="87"/>
    </row>
    <row r="33" spans="1:23" ht="15.75" customHeight="1">
      <c r="A33" s="41">
        <v>11</v>
      </c>
      <c r="B33" s="15"/>
      <c r="C33" s="15" t="s">
        <v>1809</v>
      </c>
      <c r="D33" s="32">
        <f>D31-D32</f>
        <v>0</v>
      </c>
      <c r="E33" s="32">
        <f>E31-E32</f>
        <v>0</v>
      </c>
      <c r="F33" s="15">
        <v>0</v>
      </c>
      <c r="G33" s="30">
        <v>0</v>
      </c>
      <c r="H33" s="15"/>
      <c r="I33" s="29"/>
      <c r="J33" s="29"/>
      <c r="K33" s="29"/>
      <c r="L33" s="29"/>
      <c r="M33" s="30">
        <v>0</v>
      </c>
      <c r="N33" s="30">
        <v>0</v>
      </c>
      <c r="O33" s="30">
        <v>0</v>
      </c>
      <c r="P33" s="30">
        <v>0</v>
      </c>
      <c r="Q33" s="30">
        <v>0</v>
      </c>
      <c r="R33" s="30">
        <v>0</v>
      </c>
      <c r="S33" s="16">
        <f>D33*F33-(G33*$G$7+H33*$H$7+I33*$I$7+J33*$J$7+K33*$K$7+L33*$L$7)-M33*N33-O33*P33+Q33+R33</f>
        <v>0</v>
      </c>
      <c r="T33" s="29"/>
      <c r="U33" s="29"/>
      <c r="V33" s="29"/>
      <c r="W33" s="87"/>
    </row>
    <row r="34" spans="1:23" ht="15.75" customHeight="1">
      <c r="A34" s="41"/>
      <c r="B34" s="15"/>
      <c r="C34" s="44" t="s">
        <v>285</v>
      </c>
      <c r="D34" s="42">
        <v>0</v>
      </c>
      <c r="E34" s="43"/>
      <c r="F34" s="29"/>
      <c r="G34" s="29"/>
      <c r="H34" s="29"/>
      <c r="I34" s="29"/>
      <c r="J34" s="29"/>
      <c r="K34" s="29"/>
      <c r="L34" s="29"/>
      <c r="M34" s="29"/>
      <c r="N34" s="29"/>
      <c r="O34" s="29"/>
      <c r="P34" s="29"/>
      <c r="Q34" s="29"/>
      <c r="R34" s="29"/>
      <c r="S34" s="91"/>
      <c r="T34" s="29"/>
      <c r="U34" s="29"/>
      <c r="V34" s="29"/>
      <c r="W34" s="87"/>
    </row>
    <row r="35" spans="1:23" ht="15.75" customHeight="1">
      <c r="A35" s="46">
        <v>12</v>
      </c>
      <c r="B35" s="47" t="s">
        <v>136</v>
      </c>
      <c r="C35" s="34" t="s">
        <v>1810</v>
      </c>
      <c r="D35" s="34"/>
      <c r="E35" s="34">
        <f>E31</f>
        <v>0</v>
      </c>
      <c r="F35" s="36"/>
      <c r="G35" s="36"/>
      <c r="H35" s="36"/>
      <c r="I35" s="36"/>
      <c r="J35" s="36"/>
      <c r="K35" s="36"/>
      <c r="L35" s="36"/>
      <c r="M35" s="36"/>
      <c r="N35" s="36"/>
      <c r="O35" s="36"/>
      <c r="P35" s="36"/>
      <c r="Q35" s="36"/>
      <c r="R35" s="36"/>
      <c r="S35" s="35">
        <f>SUM(S32:S33)</f>
        <v>0</v>
      </c>
      <c r="T35" s="35">
        <f>D31-($G$6*G33+$H$6*H33)</f>
        <v>0</v>
      </c>
      <c r="U35" s="35">
        <f>M33*0.12</f>
        <v>0</v>
      </c>
      <c r="V35" s="35">
        <f>O33*0.7</f>
        <v>0</v>
      </c>
      <c r="W35" s="88">
        <v>0</v>
      </c>
    </row>
    <row r="36" spans="1:23" ht="15.75" customHeight="1">
      <c r="A36" s="46">
        <v>13</v>
      </c>
      <c r="B36" s="47"/>
      <c r="C36" s="34" t="s">
        <v>1811</v>
      </c>
      <c r="D36" s="47"/>
      <c r="E36" s="35">
        <f>E25+E30+E35</f>
        <v>19.97</v>
      </c>
      <c r="F36" s="47"/>
      <c r="G36" s="47"/>
      <c r="H36" s="47"/>
      <c r="I36" s="47"/>
      <c r="J36" s="47"/>
      <c r="K36" s="47"/>
      <c r="L36" s="47"/>
      <c r="M36" s="47"/>
      <c r="N36" s="47"/>
      <c r="O36" s="47"/>
      <c r="P36" s="47"/>
      <c r="Q36" s="47"/>
      <c r="R36" s="47"/>
      <c r="S36" s="35">
        <f t="shared" ref="S36" si="0">S25+S30+S35</f>
        <v>57.510334</v>
      </c>
      <c r="T36" s="35">
        <f>T25+T30+T35</f>
        <v>23.402000000000001</v>
      </c>
      <c r="U36" s="35">
        <f>U25+U30+U35</f>
        <v>0.216</v>
      </c>
      <c r="V36" s="35">
        <f>V25+V30+V35</f>
        <v>0</v>
      </c>
      <c r="W36" s="35">
        <f>W25+W30+W35</f>
        <v>0</v>
      </c>
    </row>
    <row r="37" spans="1:23" ht="24.75" customHeight="1">
      <c r="A37" s="37" t="s">
        <v>60</v>
      </c>
      <c r="B37" s="38"/>
      <c r="C37" s="39" t="s">
        <v>1812</v>
      </c>
      <c r="D37" s="38"/>
      <c r="E37" s="38"/>
      <c r="F37" s="38"/>
      <c r="G37" s="40"/>
      <c r="H37" s="40"/>
      <c r="I37" s="40"/>
      <c r="J37" s="40"/>
      <c r="K37" s="40"/>
      <c r="L37" s="40"/>
      <c r="M37" s="40"/>
      <c r="N37" s="40"/>
      <c r="O37" s="40"/>
      <c r="P37" s="40"/>
      <c r="Q37" s="40"/>
      <c r="R37" s="38"/>
      <c r="S37" s="38">
        <v>0</v>
      </c>
      <c r="T37" s="38"/>
      <c r="U37" s="40"/>
      <c r="V37" s="40"/>
      <c r="W37" s="89"/>
    </row>
    <row r="38" spans="1:23" ht="15.75" customHeight="1">
      <c r="A38" s="48">
        <v>7</v>
      </c>
      <c r="B38" s="49"/>
      <c r="C38" s="49" t="s">
        <v>634</v>
      </c>
      <c r="D38" s="32">
        <v>0</v>
      </c>
      <c r="E38" s="32">
        <v>0</v>
      </c>
      <c r="F38" s="49">
        <v>2.73</v>
      </c>
      <c r="G38" s="49">
        <v>1</v>
      </c>
      <c r="H38" s="49"/>
      <c r="I38" s="81"/>
      <c r="J38" s="81"/>
      <c r="K38" s="81"/>
      <c r="L38" s="81"/>
      <c r="M38" s="81"/>
      <c r="N38" s="81"/>
      <c r="O38" s="81"/>
      <c r="P38" s="81"/>
      <c r="Q38" s="81"/>
      <c r="R38" s="81"/>
      <c r="S38" s="32">
        <f>(D38*F38-G7*G38-H7*H38)*S37</f>
        <v>0</v>
      </c>
      <c r="T38" s="43">
        <f>(D38-G6)*S37</f>
        <v>0</v>
      </c>
      <c r="U38" s="81"/>
      <c r="V38" s="81"/>
      <c r="W38" s="92"/>
    </row>
    <row r="39" spans="1:23" ht="33.75" customHeight="1">
      <c r="A39" s="50"/>
      <c r="B39" s="51"/>
      <c r="C39" s="51"/>
      <c r="D39" s="51"/>
      <c r="E39" s="51"/>
      <c r="F39" s="51"/>
      <c r="G39" s="51"/>
      <c r="H39" s="51"/>
      <c r="I39" s="51"/>
      <c r="J39" s="51"/>
      <c r="K39" s="51"/>
      <c r="L39" s="51"/>
      <c r="M39" s="51"/>
      <c r="N39" s="51"/>
      <c r="O39" s="51"/>
      <c r="P39" s="51"/>
      <c r="Q39" s="51"/>
      <c r="R39" s="51"/>
      <c r="S39" s="51"/>
      <c r="T39" s="51"/>
      <c r="U39" s="51"/>
      <c r="V39" s="51"/>
    </row>
    <row r="40" spans="1:23" ht="22.5" customHeight="1">
      <c r="A40" s="994" t="s">
        <v>54</v>
      </c>
      <c r="B40" s="990" t="s">
        <v>1758</v>
      </c>
      <c r="C40" s="990" t="s">
        <v>1767</v>
      </c>
      <c r="D40" s="14" t="s">
        <v>1768</v>
      </c>
      <c r="E40" s="14" t="s">
        <v>1769</v>
      </c>
      <c r="F40" s="998" t="s">
        <v>1813</v>
      </c>
      <c r="G40" s="15" t="s">
        <v>1771</v>
      </c>
      <c r="H40" s="999" t="s">
        <v>1773</v>
      </c>
      <c r="I40" s="999"/>
      <c r="J40" s="999" t="s">
        <v>1774</v>
      </c>
      <c r="K40" s="999"/>
      <c r="L40" s="15" t="s">
        <v>315</v>
      </c>
      <c r="M40" s="15" t="s">
        <v>1814</v>
      </c>
      <c r="N40" s="82" t="s">
        <v>1815</v>
      </c>
      <c r="O40" s="15" t="s">
        <v>1816</v>
      </c>
      <c r="P40" s="15"/>
      <c r="Q40" s="988" t="s">
        <v>1817</v>
      </c>
      <c r="R40" s="988" t="s">
        <v>1818</v>
      </c>
      <c r="S40" s="988" t="s">
        <v>1819</v>
      </c>
      <c r="T40" s="988" t="s">
        <v>1820</v>
      </c>
      <c r="U40" s="52" t="s">
        <v>275</v>
      </c>
      <c r="V40" s="52" t="s">
        <v>335</v>
      </c>
      <c r="W40" s="52" t="s">
        <v>338</v>
      </c>
    </row>
    <row r="41" spans="1:23" ht="24" customHeight="1">
      <c r="A41" s="994"/>
      <c r="B41" s="990"/>
      <c r="C41" s="990"/>
      <c r="D41" s="988" t="s">
        <v>1780</v>
      </c>
      <c r="E41" s="988"/>
      <c r="F41" s="998"/>
      <c r="G41" s="14" t="s">
        <v>1482</v>
      </c>
      <c r="H41" s="15" t="s">
        <v>1821</v>
      </c>
      <c r="I41" s="15" t="s">
        <v>1822</v>
      </c>
      <c r="J41" s="15" t="s">
        <v>1821</v>
      </c>
      <c r="K41" s="15" t="s">
        <v>1822</v>
      </c>
      <c r="L41" s="15" t="s">
        <v>1823</v>
      </c>
      <c r="M41" s="15" t="s">
        <v>1823</v>
      </c>
      <c r="N41" s="15" t="s">
        <v>1823</v>
      </c>
      <c r="O41" s="15" t="s">
        <v>1824</v>
      </c>
      <c r="P41" s="15"/>
      <c r="Q41" s="988"/>
      <c r="R41" s="988"/>
      <c r="S41" s="988"/>
      <c r="T41" s="988"/>
      <c r="U41" s="15" t="s">
        <v>1823</v>
      </c>
      <c r="V41" s="93" t="s">
        <v>336</v>
      </c>
      <c r="W41" s="93" t="s">
        <v>231</v>
      </c>
    </row>
    <row r="42" spans="1:23" ht="24.75" customHeight="1">
      <c r="A42" s="994"/>
      <c r="B42" s="990"/>
      <c r="C42" s="990"/>
      <c r="D42" s="14" t="s">
        <v>235</v>
      </c>
      <c r="E42" s="14" t="s">
        <v>1092</v>
      </c>
      <c r="F42" s="998"/>
      <c r="G42" s="16"/>
      <c r="H42" s="15"/>
      <c r="I42" s="15"/>
      <c r="J42" s="15"/>
      <c r="K42" s="15"/>
      <c r="L42" s="15"/>
      <c r="M42" s="15"/>
      <c r="N42" s="15"/>
      <c r="O42" s="15"/>
      <c r="P42" s="15"/>
      <c r="Q42" s="988"/>
      <c r="R42" s="988"/>
      <c r="S42" s="988"/>
      <c r="T42" s="988"/>
      <c r="U42" s="15"/>
      <c r="V42" s="15"/>
      <c r="W42" s="94"/>
    </row>
    <row r="43" spans="1:23" ht="24" customHeight="1">
      <c r="A43" s="53" t="s">
        <v>62</v>
      </c>
      <c r="B43" s="54"/>
      <c r="C43" s="54" t="s">
        <v>299</v>
      </c>
      <c r="D43" s="54"/>
      <c r="E43" s="54"/>
      <c r="F43" s="54"/>
      <c r="G43" s="54"/>
      <c r="H43" s="54"/>
      <c r="I43" s="54"/>
      <c r="J43" s="54"/>
      <c r="K43" s="54"/>
      <c r="L43" s="54"/>
      <c r="M43" s="54"/>
      <c r="N43" s="54"/>
      <c r="O43" s="54"/>
      <c r="P43" s="54"/>
      <c r="Q43" s="54"/>
      <c r="R43" s="54"/>
      <c r="S43" s="54"/>
      <c r="T43" s="54"/>
      <c r="U43" s="54"/>
      <c r="V43" s="54"/>
      <c r="W43" s="95"/>
    </row>
    <row r="44" spans="1:23" ht="24" customHeight="1">
      <c r="A44" s="55">
        <v>1</v>
      </c>
      <c r="B44" s="56"/>
      <c r="C44" s="56" t="s">
        <v>1825</v>
      </c>
      <c r="D44" s="30">
        <v>9.07</v>
      </c>
      <c r="E44" s="30">
        <v>4.5199999999999996</v>
      </c>
      <c r="F44" s="30">
        <f>2.33+0.02</f>
        <v>2.35</v>
      </c>
      <c r="G44" s="30">
        <v>1</v>
      </c>
      <c r="H44" s="30">
        <v>0</v>
      </c>
      <c r="I44" s="30">
        <v>0</v>
      </c>
      <c r="J44" s="30">
        <v>0</v>
      </c>
      <c r="K44" s="30">
        <v>0</v>
      </c>
      <c r="L44" s="30">
        <v>1.49</v>
      </c>
      <c r="M44" s="30">
        <v>1.59</v>
      </c>
      <c r="N44" s="30">
        <v>0</v>
      </c>
      <c r="O44" s="30">
        <v>1.36</v>
      </c>
      <c r="P44" s="30"/>
      <c r="Q44" s="56"/>
      <c r="R44" s="96">
        <f>D44*1.8-$H$6*G44*1.8-(1.8-0.9)*H44+(H44+(1.8-0.9)*2)*0.1</f>
        <v>14.986800000000001</v>
      </c>
      <c r="S44" s="96">
        <f>D44*F44-$H$7*G44-H44*I44+(H44+I44)*2*0.1</f>
        <v>19.396932000000003</v>
      </c>
      <c r="T44" s="96">
        <f>E44+(D44-$H$6)*0.15</f>
        <v>5.7538999999999998</v>
      </c>
      <c r="U44" s="56"/>
      <c r="V44" s="56">
        <f>0.06*0.25*2.35</f>
        <v>3.5249999999999997E-2</v>
      </c>
      <c r="W44" s="98">
        <f>(0.06+0.25*2)*2.35</f>
        <v>1.3160000000000003</v>
      </c>
    </row>
    <row r="45" spans="1:23" ht="24" customHeight="1">
      <c r="A45" s="55"/>
      <c r="B45" s="56"/>
      <c r="C45" s="56"/>
      <c r="D45" s="30"/>
      <c r="E45" s="30"/>
      <c r="F45" s="30"/>
      <c r="G45" s="30"/>
      <c r="H45" s="30"/>
      <c r="I45" s="30"/>
      <c r="J45" s="30"/>
      <c r="K45" s="30"/>
      <c r="L45" s="30"/>
      <c r="M45" s="30"/>
      <c r="N45" s="30"/>
      <c r="O45" s="30"/>
      <c r="P45" s="30"/>
      <c r="Q45" s="56"/>
      <c r="R45" s="96"/>
      <c r="S45" s="96"/>
      <c r="T45" s="96"/>
      <c r="U45" s="56"/>
      <c r="V45" s="56"/>
      <c r="W45" s="98"/>
    </row>
    <row r="46" spans="1:23" ht="24" customHeight="1">
      <c r="A46" s="55">
        <v>2</v>
      </c>
      <c r="B46" s="56"/>
      <c r="C46" s="56" t="s">
        <v>1826</v>
      </c>
      <c r="D46" s="30"/>
      <c r="E46" s="30"/>
      <c r="F46" s="30"/>
      <c r="G46" s="30"/>
      <c r="H46" s="30"/>
      <c r="I46" s="30"/>
      <c r="J46" s="30"/>
      <c r="K46" s="30"/>
      <c r="L46" s="30"/>
      <c r="M46" s="30"/>
      <c r="N46" s="30"/>
      <c r="O46" s="30"/>
      <c r="P46" s="30"/>
      <c r="Q46" s="56"/>
      <c r="R46" s="96">
        <f>(D46*1.8-$H$6*G46*1.8-(1.8-0.9)*H46+(H46+(1.8-0.9)*2)*0.1)*$J$3</f>
        <v>0</v>
      </c>
      <c r="S46" s="96">
        <f>D46*F46-$H$7*G46-H46*I46+(H46+I46)*2*0.1</f>
        <v>0</v>
      </c>
      <c r="T46" s="96">
        <f>(E46+(D46-$H$6)*0.15)*$J$3</f>
        <v>0</v>
      </c>
      <c r="U46" s="56"/>
      <c r="V46" s="56"/>
      <c r="W46" s="98"/>
    </row>
    <row r="47" spans="1:23" ht="24" customHeight="1">
      <c r="A47" s="55"/>
      <c r="B47" s="56"/>
      <c r="C47" s="56"/>
      <c r="D47" s="30"/>
      <c r="E47" s="30"/>
      <c r="F47" s="30"/>
      <c r="G47" s="30"/>
      <c r="H47" s="30"/>
      <c r="I47" s="30"/>
      <c r="J47" s="30"/>
      <c r="K47" s="30"/>
      <c r="L47" s="30"/>
      <c r="M47" s="30"/>
      <c r="N47" s="30"/>
      <c r="O47" s="30"/>
      <c r="P47" s="30"/>
      <c r="Q47" s="56"/>
      <c r="R47" s="96"/>
      <c r="S47" s="96"/>
      <c r="T47" s="96"/>
      <c r="U47" s="56"/>
      <c r="V47" s="56"/>
      <c r="W47" s="98"/>
    </row>
    <row r="48" spans="1:23" ht="24" customHeight="1">
      <c r="A48" s="46">
        <v>3</v>
      </c>
      <c r="B48" s="47"/>
      <c r="C48" s="34" t="s">
        <v>1827</v>
      </c>
      <c r="D48" s="47"/>
      <c r="E48" s="35">
        <f>E44+E46</f>
        <v>4.5199999999999996</v>
      </c>
      <c r="F48" s="35"/>
      <c r="G48" s="35"/>
      <c r="H48" s="35"/>
      <c r="I48" s="35"/>
      <c r="J48" s="35"/>
      <c r="K48" s="35"/>
      <c r="L48" s="35">
        <f t="shared" ref="L48" si="1">SUM(L44:L46)</f>
        <v>1.49</v>
      </c>
      <c r="M48" s="35">
        <f t="shared" ref="M48:W48" si="2">SUM(M44:M46)</f>
        <v>1.59</v>
      </c>
      <c r="N48" s="35">
        <f t="shared" si="2"/>
        <v>0</v>
      </c>
      <c r="O48" s="35">
        <f t="shared" si="2"/>
        <v>1.36</v>
      </c>
      <c r="P48" s="35">
        <f t="shared" si="2"/>
        <v>0</v>
      </c>
      <c r="Q48" s="35">
        <f t="shared" si="2"/>
        <v>0</v>
      </c>
      <c r="R48" s="35">
        <f t="shared" si="2"/>
        <v>14.986800000000001</v>
      </c>
      <c r="S48" s="35">
        <f t="shared" si="2"/>
        <v>19.396932000000003</v>
      </c>
      <c r="T48" s="35">
        <f t="shared" si="2"/>
        <v>5.7538999999999998</v>
      </c>
      <c r="U48" s="35">
        <f t="shared" si="2"/>
        <v>0</v>
      </c>
      <c r="V48" s="35">
        <f t="shared" si="2"/>
        <v>3.5249999999999997E-2</v>
      </c>
      <c r="W48" s="35">
        <f t="shared" si="2"/>
        <v>1.3160000000000003</v>
      </c>
    </row>
    <row r="49" spans="1:23" ht="24" customHeight="1">
      <c r="A49" s="57"/>
      <c r="B49" s="58"/>
      <c r="C49" s="59"/>
      <c r="D49" s="58"/>
      <c r="E49" s="60"/>
      <c r="F49" s="60"/>
      <c r="G49" s="60"/>
      <c r="H49" s="60"/>
      <c r="I49" s="60"/>
      <c r="J49" s="60"/>
      <c r="K49" s="60"/>
      <c r="L49" s="60"/>
      <c r="M49" s="60"/>
      <c r="N49" s="60"/>
      <c r="O49" s="60"/>
      <c r="P49" s="60"/>
      <c r="Q49" s="60"/>
      <c r="R49" s="60"/>
      <c r="S49" s="60"/>
      <c r="T49" s="60"/>
      <c r="U49" s="60"/>
      <c r="V49" s="60"/>
      <c r="W49" s="99"/>
    </row>
    <row r="50" spans="1:23" ht="30" customHeight="1">
      <c r="A50" s="994" t="s">
        <v>54</v>
      </c>
      <c r="B50" s="990" t="s">
        <v>1758</v>
      </c>
      <c r="C50" s="990" t="s">
        <v>1767</v>
      </c>
      <c r="D50" s="14" t="s">
        <v>1768</v>
      </c>
      <c r="E50" s="14" t="s">
        <v>1769</v>
      </c>
      <c r="F50" s="998" t="s">
        <v>1813</v>
      </c>
      <c r="G50" s="61" t="s">
        <v>1771</v>
      </c>
      <c r="H50" s="62"/>
      <c r="I50" s="996" t="s">
        <v>1828</v>
      </c>
      <c r="J50" s="997"/>
      <c r="K50" s="988" t="s">
        <v>1829</v>
      </c>
      <c r="L50" s="988"/>
      <c r="M50" s="1003" t="s">
        <v>375</v>
      </c>
      <c r="N50" s="988" t="s">
        <v>1818</v>
      </c>
      <c r="O50" s="988" t="s">
        <v>1819</v>
      </c>
      <c r="P50" s="988" t="s">
        <v>1830</v>
      </c>
      <c r="Q50" s="988" t="s">
        <v>1831</v>
      </c>
      <c r="R50" s="988" t="s">
        <v>1832</v>
      </c>
      <c r="S50" s="988"/>
      <c r="T50" s="988"/>
      <c r="U50" s="15"/>
      <c r="V50" s="15"/>
      <c r="W50" s="82"/>
    </row>
    <row r="51" spans="1:23" ht="35.25" customHeight="1">
      <c r="A51" s="994"/>
      <c r="B51" s="990"/>
      <c r="C51" s="990"/>
      <c r="D51" s="988" t="s">
        <v>1780</v>
      </c>
      <c r="E51" s="988"/>
      <c r="F51" s="998"/>
      <c r="G51" s="14" t="s">
        <v>1782</v>
      </c>
      <c r="H51" s="14" t="s">
        <v>1783</v>
      </c>
      <c r="I51" s="14" t="s">
        <v>1833</v>
      </c>
      <c r="J51" s="15" t="s">
        <v>1834</v>
      </c>
      <c r="K51" s="14" t="s">
        <v>1833</v>
      </c>
      <c r="L51" s="15" t="s">
        <v>1834</v>
      </c>
      <c r="M51" s="1004"/>
      <c r="N51" s="988"/>
      <c r="O51" s="988"/>
      <c r="P51" s="988"/>
      <c r="Q51" s="988"/>
      <c r="R51" s="988"/>
      <c r="S51" s="988"/>
      <c r="T51" s="988"/>
      <c r="U51" s="15"/>
      <c r="V51" s="15"/>
      <c r="W51" s="15"/>
    </row>
    <row r="52" spans="1:23" ht="24.75" customHeight="1">
      <c r="A52" s="994"/>
      <c r="B52" s="990"/>
      <c r="C52" s="990"/>
      <c r="D52" s="14" t="s">
        <v>235</v>
      </c>
      <c r="E52" s="14" t="s">
        <v>1092</v>
      </c>
      <c r="F52" s="998"/>
      <c r="G52" s="16"/>
      <c r="H52" s="15"/>
      <c r="I52" s="15" t="s">
        <v>1823</v>
      </c>
      <c r="J52" s="15" t="s">
        <v>1823</v>
      </c>
      <c r="K52" s="15" t="s">
        <v>1823</v>
      </c>
      <c r="L52" s="15" t="s">
        <v>1823</v>
      </c>
      <c r="M52" s="17" t="s">
        <v>1092</v>
      </c>
      <c r="N52" s="988"/>
      <c r="O52" s="988"/>
      <c r="P52" s="15" t="s">
        <v>1835</v>
      </c>
      <c r="Q52" s="15" t="s">
        <v>1835</v>
      </c>
      <c r="R52" s="15" t="s">
        <v>1835</v>
      </c>
      <c r="S52" s="988"/>
      <c r="T52" s="988"/>
      <c r="U52" s="15"/>
      <c r="V52" s="15"/>
      <c r="W52" s="94"/>
    </row>
    <row r="53" spans="1:23" ht="24" customHeight="1">
      <c r="A53" s="53" t="s">
        <v>64</v>
      </c>
      <c r="B53" s="54"/>
      <c r="C53" s="54" t="s">
        <v>1354</v>
      </c>
      <c r="D53" s="54"/>
      <c r="E53" s="54"/>
      <c r="F53" s="54"/>
      <c r="G53" s="54"/>
      <c r="H53" s="54"/>
      <c r="I53" s="54"/>
      <c r="J53" s="54"/>
      <c r="K53" s="54"/>
      <c r="L53" s="54"/>
      <c r="M53" s="54"/>
      <c r="N53" s="54"/>
      <c r="O53" s="54"/>
      <c r="P53" s="54"/>
      <c r="Q53" s="54"/>
      <c r="R53" s="54"/>
      <c r="S53" s="54"/>
      <c r="T53" s="54"/>
      <c r="U53" s="54"/>
      <c r="V53" s="54"/>
      <c r="W53" s="95"/>
    </row>
    <row r="54" spans="1:23" ht="19.5" customHeight="1">
      <c r="A54" s="63" t="s">
        <v>1836</v>
      </c>
      <c r="B54" s="64" t="s">
        <v>133</v>
      </c>
      <c r="C54" s="64" t="s">
        <v>1837</v>
      </c>
      <c r="D54" s="65">
        <v>11.54</v>
      </c>
      <c r="E54" s="65">
        <v>7.78</v>
      </c>
      <c r="F54" s="65">
        <f>2.38+0.02</f>
        <v>2.4</v>
      </c>
      <c r="G54" s="65">
        <v>1</v>
      </c>
      <c r="H54" s="65">
        <v>0</v>
      </c>
      <c r="I54" s="65">
        <v>0</v>
      </c>
      <c r="J54" s="65">
        <v>0</v>
      </c>
      <c r="K54" s="65">
        <v>0</v>
      </c>
      <c r="L54" s="65">
        <v>0</v>
      </c>
      <c r="M54" s="65">
        <f>(0.46+1.53+2.72)*0.82</f>
        <v>3.8621999999999996</v>
      </c>
      <c r="N54" s="83">
        <f>(D54-I6*G54-J6*H54-I54-K54)*1</f>
        <v>10.639999999999999</v>
      </c>
      <c r="O54" s="84">
        <f>D54*F54-I7*G54-J7*H54-I54*2.24-J54*1.19-K54*2.24-L54*1.32-M54+(2.24+I54+J54+1.19+J54)*0.1*P54+(2.24*2+K54)*0.1*Q54+(1.32*2+L54*2)*0.1*R54</f>
        <v>22.126799999999999</v>
      </c>
      <c r="P54" s="64">
        <v>0</v>
      </c>
      <c r="Q54" s="64">
        <v>0</v>
      </c>
      <c r="R54" s="64">
        <v>1</v>
      </c>
      <c r="S54" s="64"/>
      <c r="T54" s="64"/>
      <c r="U54" s="64"/>
      <c r="V54" s="64"/>
      <c r="W54" s="100"/>
    </row>
    <row r="55" spans="1:23" ht="30" customHeight="1">
      <c r="A55" s="41"/>
      <c r="B55" s="15"/>
      <c r="C55" s="52" t="s">
        <v>1838</v>
      </c>
      <c r="D55" s="15"/>
      <c r="E55" s="30">
        <v>1.91</v>
      </c>
      <c r="F55" s="15"/>
      <c r="G55" s="15"/>
      <c r="H55" s="15"/>
      <c r="I55" s="15"/>
      <c r="J55" s="15"/>
      <c r="K55" s="15"/>
      <c r="L55" s="15"/>
      <c r="M55" s="15"/>
      <c r="N55" s="15"/>
      <c r="O55" s="15"/>
      <c r="P55" s="15"/>
      <c r="Q55" s="15"/>
      <c r="R55" s="15"/>
      <c r="S55" s="15"/>
      <c r="T55" s="15"/>
      <c r="U55" s="15"/>
      <c r="V55" s="15"/>
      <c r="W55" s="101"/>
    </row>
    <row r="56" spans="1:23" ht="22.5" customHeight="1">
      <c r="A56" s="66"/>
      <c r="B56" s="67"/>
      <c r="C56" s="68" t="s">
        <v>1839</v>
      </c>
      <c r="D56" s="67"/>
      <c r="E56" s="69">
        <f>E54-E55</f>
        <v>5.87</v>
      </c>
      <c r="F56" s="70"/>
      <c r="G56" s="70"/>
      <c r="H56" s="70"/>
      <c r="I56" s="70"/>
      <c r="J56" s="70"/>
      <c r="K56" s="70"/>
      <c r="L56" s="70"/>
      <c r="M56" s="70"/>
      <c r="N56" s="70"/>
      <c r="O56" s="70"/>
      <c r="P56" s="70"/>
      <c r="Q56" s="70"/>
      <c r="R56" s="70"/>
      <c r="S56" s="70"/>
      <c r="T56" s="67"/>
      <c r="U56" s="67"/>
      <c r="V56" s="67"/>
      <c r="W56" s="67"/>
    </row>
    <row r="57" spans="1:23" ht="22.5" customHeight="1">
      <c r="A57" s="71"/>
      <c r="B57" s="72"/>
      <c r="C57" s="73"/>
      <c r="D57" s="72"/>
      <c r="E57" s="74"/>
      <c r="F57" s="75"/>
      <c r="G57" s="76"/>
      <c r="H57" s="77"/>
      <c r="I57" s="76"/>
      <c r="J57" s="77"/>
      <c r="K57" s="75"/>
      <c r="L57" s="75"/>
      <c r="M57" s="75"/>
      <c r="N57" s="75"/>
      <c r="O57" s="75"/>
      <c r="P57" s="75"/>
      <c r="Q57" s="75"/>
      <c r="R57" s="75"/>
      <c r="S57" s="75"/>
      <c r="T57" s="72"/>
      <c r="U57" s="72"/>
      <c r="V57" s="72"/>
      <c r="W57" s="72"/>
    </row>
    <row r="58" spans="1:23" ht="19.5" customHeight="1">
      <c r="A58" s="3" t="s">
        <v>1840</v>
      </c>
      <c r="E58" s="4"/>
      <c r="F58" s="4"/>
      <c r="G58" s="4"/>
      <c r="H58" s="4"/>
      <c r="I58" s="4"/>
      <c r="J58" s="4"/>
      <c r="K58" s="4"/>
      <c r="L58" s="4"/>
      <c r="M58" s="4"/>
      <c r="N58" s="4"/>
      <c r="O58" s="4"/>
      <c r="P58" s="4"/>
      <c r="Q58" s="4"/>
      <c r="R58" s="4"/>
      <c r="S58" s="4"/>
    </row>
    <row r="59" spans="1:23" ht="19.5" customHeight="1">
      <c r="A59" s="3"/>
      <c r="E59" s="4"/>
      <c r="F59" s="4"/>
      <c r="G59" s="4"/>
      <c r="H59" s="4"/>
      <c r="I59" s="4"/>
      <c r="J59" s="4"/>
      <c r="K59" s="4"/>
      <c r="L59" s="4"/>
      <c r="M59" s="4"/>
      <c r="N59" s="4"/>
      <c r="O59" s="4"/>
      <c r="P59" s="4"/>
      <c r="Q59" s="4"/>
      <c r="R59" s="4"/>
      <c r="S59" s="4"/>
    </row>
  </sheetData>
  <mergeCells count="40">
    <mergeCell ref="T4:T7"/>
    <mergeCell ref="T40:T42"/>
    <mergeCell ref="T50:T52"/>
    <mergeCell ref="W4:W7"/>
    <mergeCell ref="M4:N5"/>
    <mergeCell ref="O4:P5"/>
    <mergeCell ref="U4:V5"/>
    <mergeCell ref="R4:R7"/>
    <mergeCell ref="R40:R42"/>
    <mergeCell ref="R50:R51"/>
    <mergeCell ref="S4:S7"/>
    <mergeCell ref="S40:S42"/>
    <mergeCell ref="S50:S52"/>
    <mergeCell ref="M50:M51"/>
    <mergeCell ref="N50:N52"/>
    <mergeCell ref="O50:O52"/>
    <mergeCell ref="F4:F7"/>
    <mergeCell ref="F40:F42"/>
    <mergeCell ref="F50:F52"/>
    <mergeCell ref="G4:K4"/>
    <mergeCell ref="D5:E5"/>
    <mergeCell ref="H40:I40"/>
    <mergeCell ref="J40:K40"/>
    <mergeCell ref="D41:E41"/>
    <mergeCell ref="D51:E51"/>
    <mergeCell ref="P50:P51"/>
    <mergeCell ref="Q4:Q7"/>
    <mergeCell ref="Q40:Q42"/>
    <mergeCell ref="Q50:Q51"/>
    <mergeCell ref="I50:J50"/>
    <mergeCell ref="K50:L50"/>
    <mergeCell ref="C4:C7"/>
    <mergeCell ref="C40:C42"/>
    <mergeCell ref="C50:C52"/>
    <mergeCell ref="A4:A7"/>
    <mergeCell ref="A40:A42"/>
    <mergeCell ref="A50:A52"/>
    <mergeCell ref="B4:B7"/>
    <mergeCell ref="B40:B42"/>
    <mergeCell ref="B50:B52"/>
  </mergeCells>
  <phoneticPr fontId="7" type="noConversion"/>
  <printOptions horizontalCentered="1"/>
  <pageMargins left="0.43307086614173229" right="0.23622047244094491" top="0.74803149606299213" bottom="0.74803149606299213" header="0.31496062992125984" footer="0.31496062992125984"/>
  <pageSetup paperSize="9" scale="85" orientation="portrait" blackAndWhite="1" r:id="rId1"/>
  <headerFooter alignWithMargins="0">
    <oddFooter>&amp;C第 &amp;P 页，共 &amp;N 页</oddFooter>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indexed="60"/>
  </sheetPr>
  <dimension ref="A1:W59"/>
  <sheetViews>
    <sheetView workbookViewId="0">
      <pane xSplit="5" ySplit="7" topLeftCell="F23" activePane="bottomRight" state="frozen"/>
      <selection activeCell="J6" sqref="J6"/>
      <selection pane="topRight" activeCell="J6" sqref="J6"/>
      <selection pane="bottomLeft" activeCell="J6" sqref="J6"/>
      <selection pane="bottomRight" activeCell="J6" sqref="J6"/>
    </sheetView>
  </sheetViews>
  <sheetFormatPr defaultColWidth="9.125" defaultRowHeight="14.25"/>
  <cols>
    <col min="1" max="1" width="6.875" customWidth="1"/>
    <col min="2" max="2" width="11.75" customWidth="1"/>
    <col min="3" max="3" width="28" customWidth="1"/>
    <col min="4" max="4" width="9.25" customWidth="1"/>
    <col min="5" max="5" width="11.75" customWidth="1"/>
    <col min="6" max="11" width="9.25" customWidth="1"/>
    <col min="12" max="12" width="10.25" customWidth="1"/>
    <col min="13" max="18" width="9.25" customWidth="1"/>
    <col min="19" max="19" width="9.75" customWidth="1"/>
    <col min="20" max="21" width="9.25" customWidth="1"/>
    <col min="22" max="22" width="9.375" customWidth="1"/>
  </cols>
  <sheetData>
    <row r="1" spans="1:23" ht="21" customHeight="1">
      <c r="A1" s="3"/>
      <c r="C1" s="1" t="s">
        <v>1755</v>
      </c>
      <c r="E1" s="4"/>
      <c r="F1" s="4"/>
      <c r="G1" s="4"/>
      <c r="H1" s="4"/>
      <c r="I1" s="4"/>
      <c r="J1" s="4"/>
      <c r="K1" s="4"/>
      <c r="L1" s="4"/>
      <c r="M1" s="4"/>
      <c r="N1" s="4"/>
      <c r="O1" s="4"/>
      <c r="P1" s="4"/>
      <c r="Q1" s="4"/>
      <c r="R1" s="4"/>
      <c r="S1" s="4"/>
    </row>
    <row r="2" spans="1:23" ht="21" customHeight="1">
      <c r="A2" s="5" t="s">
        <v>1756</v>
      </c>
      <c r="B2" s="6" t="s">
        <v>131</v>
      </c>
      <c r="C2" s="7"/>
      <c r="D2" s="8" t="s">
        <v>1758</v>
      </c>
      <c r="E2" s="6" t="s">
        <v>1842</v>
      </c>
      <c r="F2" s="9"/>
      <c r="G2" s="8" t="s">
        <v>1760</v>
      </c>
      <c r="H2" s="6">
        <v>2</v>
      </c>
      <c r="I2" s="9" t="s">
        <v>1761</v>
      </c>
      <c r="J2" s="9"/>
      <c r="K2" s="9"/>
      <c r="L2" s="9"/>
      <c r="M2" s="9"/>
      <c r="N2" s="9"/>
      <c r="O2" s="9"/>
      <c r="P2" s="9"/>
      <c r="Q2" s="9"/>
      <c r="R2" s="9"/>
      <c r="S2" s="9"/>
    </row>
    <row r="3" spans="1:23" ht="21" customHeight="1">
      <c r="A3" s="10" t="s">
        <v>120</v>
      </c>
      <c r="B3" s="11" t="s">
        <v>246</v>
      </c>
      <c r="C3" s="7"/>
      <c r="D3" s="7"/>
      <c r="F3" s="9"/>
      <c r="G3" s="12" t="s">
        <v>1763</v>
      </c>
      <c r="H3" s="11">
        <v>1</v>
      </c>
      <c r="I3" s="9" t="s">
        <v>1764</v>
      </c>
      <c r="J3" s="9">
        <v>0</v>
      </c>
      <c r="K3" s="9" t="s">
        <v>1765</v>
      </c>
      <c r="L3" s="9">
        <v>0</v>
      </c>
      <c r="M3" s="9"/>
      <c r="N3" s="9"/>
      <c r="O3" s="9"/>
      <c r="P3" s="9"/>
      <c r="Q3" s="9"/>
      <c r="R3" s="9"/>
      <c r="S3" s="9"/>
    </row>
    <row r="4" spans="1:23" ht="35.25" customHeight="1">
      <c r="A4" s="991" t="s">
        <v>54</v>
      </c>
      <c r="B4" s="987" t="s">
        <v>1766</v>
      </c>
      <c r="C4" s="987" t="s">
        <v>1767</v>
      </c>
      <c r="D4" s="13" t="s">
        <v>1768</v>
      </c>
      <c r="E4" s="13" t="s">
        <v>1769</v>
      </c>
      <c r="F4" s="987" t="s">
        <v>1770</v>
      </c>
      <c r="G4" s="987" t="s">
        <v>1771</v>
      </c>
      <c r="H4" s="987"/>
      <c r="I4" s="987"/>
      <c r="J4" s="987"/>
      <c r="K4" s="987"/>
      <c r="L4" s="78" t="s">
        <v>1772</v>
      </c>
      <c r="M4" s="987" t="s">
        <v>1773</v>
      </c>
      <c r="N4" s="987"/>
      <c r="O4" s="987" t="s">
        <v>1774</v>
      </c>
      <c r="P4" s="987"/>
      <c r="Q4" s="987" t="s">
        <v>1775</v>
      </c>
      <c r="R4" s="987" t="s">
        <v>1776</v>
      </c>
      <c r="S4" s="987" t="s">
        <v>1777</v>
      </c>
      <c r="T4" s="987" t="s">
        <v>1778</v>
      </c>
      <c r="U4" s="987" t="s">
        <v>1574</v>
      </c>
      <c r="V4" s="987"/>
      <c r="W4" s="1000" t="s">
        <v>1779</v>
      </c>
    </row>
    <row r="5" spans="1:23" ht="24" customHeight="1">
      <c r="A5" s="992"/>
      <c r="B5" s="988"/>
      <c r="C5" s="988"/>
      <c r="D5" s="988" t="s">
        <v>1780</v>
      </c>
      <c r="E5" s="988"/>
      <c r="F5" s="988"/>
      <c r="G5" s="14" t="s">
        <v>1781</v>
      </c>
      <c r="H5" s="14" t="s">
        <v>1482</v>
      </c>
      <c r="I5" s="14" t="s">
        <v>1782</v>
      </c>
      <c r="J5" s="14" t="s">
        <v>1783</v>
      </c>
      <c r="K5" s="14" t="s">
        <v>1418</v>
      </c>
      <c r="L5" s="14" t="s">
        <v>1784</v>
      </c>
      <c r="M5" s="988"/>
      <c r="N5" s="988"/>
      <c r="O5" s="988"/>
      <c r="P5" s="988"/>
      <c r="Q5" s="988"/>
      <c r="R5" s="988"/>
      <c r="S5" s="988"/>
      <c r="T5" s="988"/>
      <c r="U5" s="988"/>
      <c r="V5" s="988"/>
      <c r="W5" s="1001"/>
    </row>
    <row r="6" spans="1:23" ht="27" customHeight="1">
      <c r="A6" s="992"/>
      <c r="B6" s="988"/>
      <c r="C6" s="988"/>
      <c r="D6" s="14"/>
      <c r="E6" s="15"/>
      <c r="F6" s="988"/>
      <c r="G6" s="16">
        <v>0.99399999999999999</v>
      </c>
      <c r="H6" s="16">
        <v>0.84399999999999997</v>
      </c>
      <c r="I6" s="16">
        <v>0.9</v>
      </c>
      <c r="J6" s="16">
        <v>1.65</v>
      </c>
      <c r="K6" s="16">
        <v>1.1599999999999999</v>
      </c>
      <c r="L6" s="79"/>
      <c r="M6" s="14" t="s">
        <v>1785</v>
      </c>
      <c r="N6" s="15" t="s">
        <v>1786</v>
      </c>
      <c r="O6" s="14" t="s">
        <v>1785</v>
      </c>
      <c r="P6" s="15" t="s">
        <v>1786</v>
      </c>
      <c r="Q6" s="988"/>
      <c r="R6" s="988"/>
      <c r="S6" s="988"/>
      <c r="T6" s="988"/>
      <c r="U6" s="14" t="s">
        <v>1787</v>
      </c>
      <c r="V6" s="14" t="s">
        <v>1788</v>
      </c>
      <c r="W6" s="1001"/>
    </row>
    <row r="7" spans="1:23" ht="24.75" customHeight="1">
      <c r="A7" s="993"/>
      <c r="B7" s="989"/>
      <c r="C7" s="989"/>
      <c r="D7" s="17" t="s">
        <v>235</v>
      </c>
      <c r="E7" s="17" t="s">
        <v>1092</v>
      </c>
      <c r="F7" s="989"/>
      <c r="G7" s="18">
        <f>0.994*2.272</f>
        <v>2.2583679999999999</v>
      </c>
      <c r="H7" s="18">
        <f>0.844*2.272</f>
        <v>1.9175679999999997</v>
      </c>
      <c r="I7" s="18">
        <f>0.9*2.19</f>
        <v>1.9710000000000001</v>
      </c>
      <c r="J7" s="18">
        <f>1.65*2.14</f>
        <v>3.5310000000000001</v>
      </c>
      <c r="K7" s="18">
        <f>1.16*2.18</f>
        <v>2.5287999999999999</v>
      </c>
      <c r="L7" s="18">
        <v>2.27</v>
      </c>
      <c r="M7" s="80"/>
      <c r="N7" s="80"/>
      <c r="O7" s="80"/>
      <c r="P7" s="80"/>
      <c r="Q7" s="995"/>
      <c r="R7" s="989"/>
      <c r="S7" s="989"/>
      <c r="T7" s="989"/>
      <c r="U7" s="80" t="s">
        <v>1789</v>
      </c>
      <c r="V7" s="80" t="s">
        <v>1790</v>
      </c>
      <c r="W7" s="1002"/>
    </row>
    <row r="8" spans="1:23" ht="24.75" customHeight="1">
      <c r="A8" s="19" t="s">
        <v>58</v>
      </c>
      <c r="B8" s="20"/>
      <c r="C8" s="21" t="s">
        <v>1406</v>
      </c>
      <c r="D8" s="20"/>
      <c r="E8" s="20"/>
      <c r="F8" s="20"/>
      <c r="G8" s="22"/>
      <c r="H8" s="22"/>
      <c r="I8" s="22"/>
      <c r="J8" s="22"/>
      <c r="K8" s="22"/>
      <c r="L8" s="22"/>
      <c r="M8" s="22"/>
      <c r="N8" s="22"/>
      <c r="O8" s="22"/>
      <c r="P8" s="22"/>
      <c r="Q8" s="22"/>
      <c r="R8" s="20"/>
      <c r="S8" s="20"/>
      <c r="T8" s="20"/>
      <c r="U8" s="22"/>
      <c r="V8" s="22"/>
      <c r="W8" s="85"/>
    </row>
    <row r="9" spans="1:23" ht="24.75" customHeight="1">
      <c r="A9" s="23">
        <v>1</v>
      </c>
      <c r="B9" s="24"/>
      <c r="C9" s="25" t="s">
        <v>237</v>
      </c>
      <c r="D9" s="26">
        <v>0</v>
      </c>
      <c r="E9" s="27"/>
      <c r="F9" s="28"/>
      <c r="G9" s="29"/>
      <c r="H9" s="29"/>
      <c r="I9" s="29"/>
      <c r="J9" s="29"/>
      <c r="K9" s="29"/>
      <c r="L9" s="29"/>
      <c r="M9" s="29"/>
      <c r="N9" s="29"/>
      <c r="O9" s="29"/>
      <c r="P9" s="29"/>
      <c r="Q9" s="29"/>
      <c r="R9" s="28"/>
      <c r="S9" s="28"/>
      <c r="T9" s="28"/>
      <c r="U9" s="29"/>
      <c r="V9" s="29"/>
      <c r="W9" s="86"/>
    </row>
    <row r="10" spans="1:23" ht="24.75" customHeight="1">
      <c r="A10" s="23">
        <v>2</v>
      </c>
      <c r="B10" s="24"/>
      <c r="C10" s="25" t="s">
        <v>241</v>
      </c>
      <c r="D10" s="26"/>
      <c r="E10" s="27"/>
      <c r="F10" s="28"/>
      <c r="G10" s="29"/>
      <c r="H10" s="29"/>
      <c r="I10" s="29"/>
      <c r="J10" s="29"/>
      <c r="K10" s="29"/>
      <c r="L10" s="29"/>
      <c r="M10" s="29"/>
      <c r="N10" s="29"/>
      <c r="O10" s="29"/>
      <c r="P10" s="29"/>
      <c r="Q10" s="29"/>
      <c r="R10" s="28"/>
      <c r="S10" s="28"/>
      <c r="T10" s="28"/>
      <c r="U10" s="29"/>
      <c r="V10" s="29"/>
      <c r="W10" s="86"/>
    </row>
    <row r="11" spans="1:23" ht="24.75" customHeight="1">
      <c r="A11" s="23">
        <v>3</v>
      </c>
      <c r="B11" s="15"/>
      <c r="C11" s="15" t="s">
        <v>1791</v>
      </c>
      <c r="D11" s="26">
        <v>18.68</v>
      </c>
      <c r="E11" s="30">
        <v>20.94</v>
      </c>
      <c r="F11" s="29"/>
      <c r="G11" s="29"/>
      <c r="H11" s="29"/>
      <c r="I11" s="29"/>
      <c r="J11" s="29"/>
      <c r="K11" s="29"/>
      <c r="L11" s="29"/>
      <c r="M11" s="29"/>
      <c r="N11" s="29"/>
      <c r="O11" s="29"/>
      <c r="P11" s="29"/>
      <c r="Q11" s="29"/>
      <c r="R11" s="29"/>
      <c r="S11" s="15"/>
      <c r="T11" s="29"/>
      <c r="U11" s="29"/>
      <c r="V11" s="29"/>
      <c r="W11" s="87"/>
    </row>
    <row r="12" spans="1:23" ht="15.75" customHeight="1">
      <c r="A12" s="23">
        <v>4</v>
      </c>
      <c r="B12" s="15"/>
      <c r="C12" s="15" t="s">
        <v>1792</v>
      </c>
      <c r="D12" s="30">
        <v>0</v>
      </c>
      <c r="E12" s="30">
        <v>0</v>
      </c>
      <c r="F12" s="15"/>
      <c r="G12" s="29"/>
      <c r="H12" s="29"/>
      <c r="I12" s="29"/>
      <c r="J12" s="29"/>
      <c r="K12" s="29"/>
      <c r="L12" s="29"/>
      <c r="M12" s="29"/>
      <c r="N12" s="29"/>
      <c r="O12" s="29"/>
      <c r="P12" s="29"/>
      <c r="Q12" s="29"/>
      <c r="R12" s="29"/>
      <c r="S12" s="32">
        <f>D12*F12</f>
        <v>0</v>
      </c>
      <c r="T12" s="29"/>
      <c r="U12" s="29"/>
      <c r="V12" s="29"/>
      <c r="W12" s="87"/>
    </row>
    <row r="13" spans="1:23" ht="15.75" customHeight="1">
      <c r="A13" s="23">
        <v>5</v>
      </c>
      <c r="B13" s="15"/>
      <c r="C13" s="15" t="s">
        <v>1793</v>
      </c>
      <c r="D13" s="30">
        <v>0</v>
      </c>
      <c r="E13" s="31">
        <v>0</v>
      </c>
      <c r="F13" s="29"/>
      <c r="G13" s="29"/>
      <c r="H13" s="29"/>
      <c r="I13" s="29"/>
      <c r="J13" s="29"/>
      <c r="K13" s="29"/>
      <c r="L13" s="29"/>
      <c r="M13" s="29"/>
      <c r="N13" s="29"/>
      <c r="O13" s="29"/>
      <c r="P13" s="29"/>
      <c r="Q13" s="29"/>
      <c r="R13" s="29"/>
      <c r="S13" s="43"/>
      <c r="T13" s="29"/>
      <c r="U13" s="29"/>
      <c r="V13" s="29"/>
      <c r="W13" s="87"/>
    </row>
    <row r="14" spans="1:23" ht="15.75" customHeight="1">
      <c r="A14" s="23">
        <v>6</v>
      </c>
      <c r="B14" s="15"/>
      <c r="C14" s="15" t="s">
        <v>1794</v>
      </c>
      <c r="D14" s="30">
        <v>0</v>
      </c>
      <c r="E14" s="30">
        <v>0</v>
      </c>
      <c r="F14" s="15">
        <f>3-0.5-0.065-0.1-0.012</f>
        <v>2.323</v>
      </c>
      <c r="G14" s="29"/>
      <c r="H14" s="29"/>
      <c r="I14" s="29"/>
      <c r="J14" s="29"/>
      <c r="K14" s="29"/>
      <c r="L14" s="29"/>
      <c r="M14" s="29"/>
      <c r="N14" s="29"/>
      <c r="O14" s="29"/>
      <c r="P14" s="29"/>
      <c r="Q14" s="29"/>
      <c r="R14" s="29"/>
      <c r="S14" s="32">
        <f>D14*F14</f>
        <v>0</v>
      </c>
      <c r="T14" s="29"/>
      <c r="U14" s="29"/>
      <c r="V14" s="29"/>
      <c r="W14" s="87"/>
    </row>
    <row r="15" spans="1:23" ht="15.75" customHeight="1">
      <c r="A15" s="23">
        <v>7</v>
      </c>
      <c r="B15" s="15"/>
      <c r="C15" s="15" t="s">
        <v>1795</v>
      </c>
      <c r="D15" s="30">
        <v>0</v>
      </c>
      <c r="E15" s="30"/>
      <c r="F15" s="32">
        <f>D15*E15</f>
        <v>0</v>
      </c>
      <c r="G15" s="29"/>
      <c r="H15" s="29"/>
      <c r="I15" s="29"/>
      <c r="J15" s="29"/>
      <c r="K15" s="29"/>
      <c r="L15" s="29"/>
      <c r="M15" s="29"/>
      <c r="N15" s="29"/>
      <c r="O15" s="29"/>
      <c r="P15" s="29"/>
      <c r="Q15" s="29"/>
      <c r="R15" s="29"/>
      <c r="S15" s="43"/>
      <c r="T15" s="29"/>
      <c r="U15" s="29"/>
      <c r="V15" s="29"/>
      <c r="W15" s="87"/>
    </row>
    <row r="16" spans="1:23" ht="15.75" customHeight="1">
      <c r="A16" s="23">
        <v>8</v>
      </c>
      <c r="B16" s="15"/>
      <c r="C16" s="15" t="s">
        <v>1796</v>
      </c>
      <c r="D16" s="30">
        <v>2.96</v>
      </c>
      <c r="E16" s="33"/>
      <c r="F16" s="30">
        <f>3-0.1-0.012-0.065-0.1</f>
        <v>2.7229999999999999</v>
      </c>
      <c r="G16" s="29"/>
      <c r="H16" s="29"/>
      <c r="I16" s="29"/>
      <c r="J16" s="29"/>
      <c r="K16" s="29"/>
      <c r="L16" s="29"/>
      <c r="M16" s="29"/>
      <c r="N16" s="29"/>
      <c r="O16" s="29"/>
      <c r="P16" s="29"/>
      <c r="Q16" s="29"/>
      <c r="R16" s="29"/>
      <c r="S16" s="32">
        <f>(D16-0.2)*(F16-0.1)</f>
        <v>7.2394799999999986</v>
      </c>
      <c r="T16" s="29"/>
      <c r="U16" s="29"/>
      <c r="V16" s="29"/>
      <c r="W16" s="87"/>
    </row>
    <row r="17" spans="1:23" ht="15.75" customHeight="1">
      <c r="A17" s="23">
        <v>9</v>
      </c>
      <c r="B17" s="15"/>
      <c r="C17" s="15" t="s">
        <v>1797</v>
      </c>
      <c r="D17" s="32">
        <f>D11-D12-D14-D16</f>
        <v>15.719999999999999</v>
      </c>
      <c r="E17" s="29"/>
      <c r="F17" s="15">
        <f>3-0.1-0.012-0.065-0.1</f>
        <v>2.7229999999999999</v>
      </c>
      <c r="G17" s="15">
        <v>1</v>
      </c>
      <c r="H17" s="15">
        <v>0</v>
      </c>
      <c r="I17" s="15">
        <v>0</v>
      </c>
      <c r="J17" s="15">
        <v>0</v>
      </c>
      <c r="K17" s="15">
        <v>0</v>
      </c>
      <c r="L17" s="30">
        <v>2.5</v>
      </c>
      <c r="M17" s="30">
        <v>0</v>
      </c>
      <c r="N17" s="30">
        <v>0</v>
      </c>
      <c r="O17" s="30">
        <v>0</v>
      </c>
      <c r="P17" s="30">
        <v>0</v>
      </c>
      <c r="Q17" s="30">
        <f>2.1*(0.4-0.1-0.135)+1.1*(0.5-0.1-0.135)+(L7*2+L17)*0.07</f>
        <v>1.1308000000000002</v>
      </c>
      <c r="R17" s="15">
        <v>0</v>
      </c>
      <c r="S17" s="32">
        <f>D17*F17-(G17*$G$7+H17*$H$7+I17*$I$7+J17*$J$7+K17*$K$7+L17*$L$7)-M17*N17-P17*O17+Q17+R17</f>
        <v>36.002991999999992</v>
      </c>
      <c r="T17" s="29"/>
      <c r="U17" s="29"/>
      <c r="V17" s="29"/>
      <c r="W17" s="87"/>
    </row>
    <row r="18" spans="1:23" ht="15.75" customHeight="1">
      <c r="A18" s="23">
        <v>10</v>
      </c>
      <c r="B18" s="34"/>
      <c r="C18" s="34" t="s">
        <v>1798</v>
      </c>
      <c r="D18" s="34"/>
      <c r="E18" s="35">
        <f>E11</f>
        <v>20.94</v>
      </c>
      <c r="F18" s="36"/>
      <c r="G18" s="36"/>
      <c r="H18" s="36"/>
      <c r="I18" s="36"/>
      <c r="J18" s="36"/>
      <c r="K18" s="36"/>
      <c r="L18" s="36"/>
      <c r="M18" s="36"/>
      <c r="N18" s="36"/>
      <c r="O18" s="36"/>
      <c r="P18" s="36"/>
      <c r="Q18" s="36"/>
      <c r="R18" s="36"/>
      <c r="S18" s="35">
        <f>S12+S14+S17</f>
        <v>36.002991999999992</v>
      </c>
      <c r="T18" s="35">
        <f>D11-($G$6*G17+$H$6*H17+$I$6*I17+$J$6*J17+$K$6*K17+L17)</f>
        <v>15.186</v>
      </c>
      <c r="U18" s="35">
        <f>M17*0.12</f>
        <v>0</v>
      </c>
      <c r="V18" s="35">
        <f>O17*0.7</f>
        <v>0</v>
      </c>
      <c r="W18" s="88">
        <v>0</v>
      </c>
    </row>
    <row r="19" spans="1:23" ht="24.75" customHeight="1">
      <c r="A19" s="37" t="s">
        <v>60</v>
      </c>
      <c r="B19" s="38"/>
      <c r="C19" s="39" t="s">
        <v>1799</v>
      </c>
      <c r="D19" s="38"/>
      <c r="E19" s="38"/>
      <c r="F19" s="38"/>
      <c r="G19" s="40"/>
      <c r="H19" s="40"/>
      <c r="I19" s="40"/>
      <c r="J19" s="40"/>
      <c r="K19" s="40"/>
      <c r="L19" s="40"/>
      <c r="M19" s="40"/>
      <c r="N19" s="40"/>
      <c r="O19" s="40"/>
      <c r="P19" s="40"/>
      <c r="Q19" s="40"/>
      <c r="R19" s="38"/>
      <c r="S19" s="38"/>
      <c r="T19" s="38"/>
      <c r="U19" s="40"/>
      <c r="V19" s="40"/>
      <c r="W19" s="89"/>
    </row>
    <row r="20" spans="1:23" ht="15.75" customHeight="1">
      <c r="A20" s="41">
        <v>1</v>
      </c>
      <c r="B20" s="15" t="s">
        <v>1374</v>
      </c>
      <c r="C20" s="15" t="s">
        <v>1800</v>
      </c>
      <c r="D20" s="30">
        <v>16.78</v>
      </c>
      <c r="E20" s="30">
        <v>17.149999999999999</v>
      </c>
      <c r="F20" s="15"/>
      <c r="G20" s="29"/>
      <c r="H20" s="29"/>
      <c r="I20" s="29"/>
      <c r="J20" s="29"/>
      <c r="K20" s="29"/>
      <c r="L20" s="29"/>
      <c r="M20" s="29"/>
      <c r="N20" s="29"/>
      <c r="O20" s="29"/>
      <c r="P20" s="29"/>
      <c r="Q20" s="29"/>
      <c r="R20" s="29"/>
      <c r="S20" s="29"/>
      <c r="T20" s="29"/>
      <c r="U20" s="29"/>
      <c r="V20" s="29"/>
      <c r="W20" s="90"/>
    </row>
    <row r="21" spans="1:23" ht="15.75" customHeight="1">
      <c r="A21" s="41">
        <v>2</v>
      </c>
      <c r="B21" s="15"/>
      <c r="C21" s="15" t="s">
        <v>1794</v>
      </c>
      <c r="D21" s="30">
        <v>0</v>
      </c>
      <c r="E21" s="30">
        <v>0</v>
      </c>
      <c r="F21" s="15"/>
      <c r="G21" s="29"/>
      <c r="H21" s="29"/>
      <c r="I21" s="29"/>
      <c r="J21" s="29"/>
      <c r="K21" s="29"/>
      <c r="L21" s="29"/>
      <c r="M21" s="29"/>
      <c r="N21" s="29"/>
      <c r="O21" s="29"/>
      <c r="P21" s="29"/>
      <c r="Q21" s="29"/>
      <c r="R21" s="29"/>
      <c r="S21" s="16">
        <f>D21*F21</f>
        <v>0</v>
      </c>
      <c r="T21" s="29"/>
      <c r="U21" s="29"/>
      <c r="V21" s="29"/>
      <c r="W21" s="87"/>
    </row>
    <row r="22" spans="1:23" ht="15.75" customHeight="1">
      <c r="A22" s="41">
        <v>3</v>
      </c>
      <c r="B22" s="15"/>
      <c r="C22" s="15" t="s">
        <v>1801</v>
      </c>
      <c r="D22" s="32">
        <f>D20-D21</f>
        <v>16.78</v>
      </c>
      <c r="E22" s="32">
        <f>E20-E21</f>
        <v>17.149999999999999</v>
      </c>
      <c r="F22" s="15">
        <f>3-0.1-0.012-0.1-0.065-0.1</f>
        <v>2.6229999999999998</v>
      </c>
      <c r="G22" s="30">
        <v>1</v>
      </c>
      <c r="H22" s="15">
        <v>0</v>
      </c>
      <c r="I22" s="29"/>
      <c r="J22" s="29"/>
      <c r="K22" s="29"/>
      <c r="L22" s="30">
        <v>2.6</v>
      </c>
      <c r="M22" s="30">
        <v>0</v>
      </c>
      <c r="N22" s="30">
        <v>0</v>
      </c>
      <c r="O22" s="30">
        <v>0</v>
      </c>
      <c r="P22" s="30">
        <v>0</v>
      </c>
      <c r="Q22" s="30">
        <f>4.45*(0.5-0.1-0.135)+(L7*2+L22)*0.07</f>
        <v>1.6790500000000002</v>
      </c>
      <c r="R22" s="30">
        <v>0</v>
      </c>
      <c r="S22" s="16">
        <f>D22*F22-(G22*$G$7+H22*$H$7+I22*$I$7+J22*$J$7+K22*$K$7+L22*$L$7)-M22*N22-O22*P22+Q22+R22</f>
        <v>37.532622000000003</v>
      </c>
      <c r="T22" s="29"/>
      <c r="U22" s="29"/>
      <c r="V22" s="29"/>
      <c r="W22" s="87"/>
    </row>
    <row r="23" spans="1:23" ht="15.75" customHeight="1">
      <c r="A23" s="41"/>
      <c r="B23" s="15"/>
      <c r="C23" s="15" t="s">
        <v>240</v>
      </c>
      <c r="D23" s="42">
        <v>0</v>
      </c>
      <c r="E23" s="43"/>
      <c r="F23" s="29"/>
      <c r="G23" s="29"/>
      <c r="H23" s="29"/>
      <c r="I23" s="29"/>
      <c r="J23" s="29"/>
      <c r="K23" s="29"/>
      <c r="L23" s="29"/>
      <c r="M23" s="29"/>
      <c r="N23" s="29"/>
      <c r="O23" s="29"/>
      <c r="P23" s="29"/>
      <c r="Q23" s="29"/>
      <c r="R23" s="29"/>
      <c r="S23" s="91"/>
      <c r="T23" s="29"/>
      <c r="U23" s="29"/>
      <c r="V23" s="29"/>
      <c r="W23" s="87"/>
    </row>
    <row r="24" spans="1:23" ht="15.75" customHeight="1">
      <c r="A24" s="41"/>
      <c r="B24" s="15"/>
      <c r="C24" s="44" t="s">
        <v>285</v>
      </c>
      <c r="D24" s="42">
        <v>16.3</v>
      </c>
      <c r="E24" s="43"/>
      <c r="F24" s="29"/>
      <c r="G24" s="29"/>
      <c r="H24" s="29"/>
      <c r="I24" s="29"/>
      <c r="J24" s="29"/>
      <c r="K24" s="29"/>
      <c r="L24" s="29"/>
      <c r="M24" s="29"/>
      <c r="N24" s="29"/>
      <c r="O24" s="29"/>
      <c r="P24" s="29"/>
      <c r="Q24" s="29"/>
      <c r="R24" s="29"/>
      <c r="S24" s="91"/>
      <c r="T24" s="29"/>
      <c r="U24" s="29"/>
      <c r="V24" s="29"/>
      <c r="W24" s="87"/>
    </row>
    <row r="25" spans="1:23" ht="15.75" customHeight="1">
      <c r="A25" s="45">
        <v>4</v>
      </c>
      <c r="B25" s="34" t="s">
        <v>133</v>
      </c>
      <c r="C25" s="34" t="s">
        <v>1802</v>
      </c>
      <c r="D25" s="34"/>
      <c r="E25" s="34">
        <f>E20</f>
        <v>17.149999999999999</v>
      </c>
      <c r="F25" s="36"/>
      <c r="G25" s="36"/>
      <c r="H25" s="36"/>
      <c r="I25" s="36"/>
      <c r="J25" s="36"/>
      <c r="K25" s="36"/>
      <c r="L25" s="36"/>
      <c r="M25" s="36"/>
      <c r="N25" s="36"/>
      <c r="O25" s="36"/>
      <c r="P25" s="36"/>
      <c r="Q25" s="36"/>
      <c r="R25" s="36"/>
      <c r="S25" s="35">
        <f>SUM(S21:S22)</f>
        <v>37.532622000000003</v>
      </c>
      <c r="T25" s="35">
        <f>D20-($G$6*G22+$H$6*H22)</f>
        <v>15.786000000000001</v>
      </c>
      <c r="U25" s="35">
        <f>M22*0.12</f>
        <v>0</v>
      </c>
      <c r="V25" s="35">
        <f>O22*0.7</f>
        <v>0</v>
      </c>
      <c r="W25" s="88">
        <v>0</v>
      </c>
    </row>
    <row r="26" spans="1:23" ht="15.75" customHeight="1">
      <c r="A26" s="41">
        <v>5</v>
      </c>
      <c r="B26" s="15" t="s">
        <v>1803</v>
      </c>
      <c r="C26" s="15" t="s">
        <v>1804</v>
      </c>
      <c r="D26" s="30">
        <v>0</v>
      </c>
      <c r="E26" s="30">
        <v>0</v>
      </c>
      <c r="F26" s="15"/>
      <c r="G26" s="29"/>
      <c r="H26" s="29"/>
      <c r="I26" s="29"/>
      <c r="J26" s="29"/>
      <c r="K26" s="29"/>
      <c r="L26" s="29"/>
      <c r="M26" s="29"/>
      <c r="N26" s="29"/>
      <c r="O26" s="29"/>
      <c r="P26" s="29"/>
      <c r="Q26" s="29"/>
      <c r="R26" s="29"/>
      <c r="S26" s="29"/>
      <c r="T26" s="29"/>
      <c r="U26" s="29"/>
      <c r="V26" s="29"/>
      <c r="W26" s="90"/>
    </row>
    <row r="27" spans="1:23" ht="15.75" customHeight="1">
      <c r="A27" s="41">
        <v>6</v>
      </c>
      <c r="B27" s="15"/>
      <c r="C27" s="15" t="s">
        <v>1794</v>
      </c>
      <c r="D27" s="30">
        <v>0</v>
      </c>
      <c r="E27" s="30">
        <v>0</v>
      </c>
      <c r="F27" s="15">
        <v>0</v>
      </c>
      <c r="G27" s="29"/>
      <c r="H27" s="29"/>
      <c r="I27" s="29"/>
      <c r="J27" s="29"/>
      <c r="K27" s="29"/>
      <c r="L27" s="29"/>
      <c r="M27" s="29"/>
      <c r="N27" s="29"/>
      <c r="O27" s="29"/>
      <c r="P27" s="29"/>
      <c r="Q27" s="29"/>
      <c r="R27" s="29"/>
      <c r="S27" s="16">
        <f>D27*F27</f>
        <v>0</v>
      </c>
      <c r="T27" s="29"/>
      <c r="U27" s="29"/>
      <c r="V27" s="29"/>
      <c r="W27" s="87"/>
    </row>
    <row r="28" spans="1:23" ht="15.75" customHeight="1">
      <c r="A28" s="41">
        <v>7</v>
      </c>
      <c r="B28" s="15"/>
      <c r="C28" s="15" t="s">
        <v>1805</v>
      </c>
      <c r="D28" s="32">
        <f>D26-D27</f>
        <v>0</v>
      </c>
      <c r="E28" s="32">
        <f>E26-E27</f>
        <v>0</v>
      </c>
      <c r="F28" s="15">
        <v>0</v>
      </c>
      <c r="G28" s="30">
        <v>0</v>
      </c>
      <c r="H28" s="15">
        <v>0</v>
      </c>
      <c r="I28" s="29"/>
      <c r="J28" s="29"/>
      <c r="K28" s="29"/>
      <c r="L28" s="29"/>
      <c r="M28" s="30">
        <v>0</v>
      </c>
      <c r="N28" s="30">
        <v>0</v>
      </c>
      <c r="O28" s="30">
        <v>0</v>
      </c>
      <c r="P28" s="30">
        <v>0</v>
      </c>
      <c r="Q28" s="30">
        <v>0</v>
      </c>
      <c r="R28" s="30">
        <v>0</v>
      </c>
      <c r="S28" s="16">
        <f>D28*F28-(G28*$G$7+H28*$H$7+I28*$I$7+J28*$J$7+K28*$K$7+L28*$L$7)-M28*N28-O28*P28+Q28+R28</f>
        <v>0</v>
      </c>
      <c r="T28" s="29"/>
      <c r="U28" s="29"/>
      <c r="V28" s="29"/>
      <c r="W28" s="87"/>
    </row>
    <row r="29" spans="1:23" ht="15.75" customHeight="1">
      <c r="A29" s="41"/>
      <c r="B29" s="15"/>
      <c r="C29" s="44" t="s">
        <v>285</v>
      </c>
      <c r="D29" s="42">
        <v>0</v>
      </c>
      <c r="E29" s="43"/>
      <c r="F29" s="29"/>
      <c r="G29" s="29"/>
      <c r="H29" s="29"/>
      <c r="I29" s="29"/>
      <c r="J29" s="29"/>
      <c r="K29" s="29"/>
      <c r="L29" s="29"/>
      <c r="M29" s="29"/>
      <c r="N29" s="29"/>
      <c r="O29" s="29"/>
      <c r="P29" s="29"/>
      <c r="Q29" s="29"/>
      <c r="R29" s="29"/>
      <c r="S29" s="91"/>
      <c r="T29" s="29"/>
      <c r="U29" s="29"/>
      <c r="V29" s="29"/>
      <c r="W29" s="87"/>
    </row>
    <row r="30" spans="1:23" ht="15.75" customHeight="1">
      <c r="A30" s="46">
        <v>8</v>
      </c>
      <c r="B30" s="47" t="s">
        <v>246</v>
      </c>
      <c r="C30" s="34" t="s">
        <v>1806</v>
      </c>
      <c r="D30" s="34"/>
      <c r="E30" s="34">
        <f>E26</f>
        <v>0</v>
      </c>
      <c r="F30" s="36"/>
      <c r="G30" s="36"/>
      <c r="H30" s="36"/>
      <c r="I30" s="36"/>
      <c r="J30" s="36"/>
      <c r="K30" s="36"/>
      <c r="L30" s="36"/>
      <c r="M30" s="36"/>
      <c r="N30" s="36"/>
      <c r="O30" s="36"/>
      <c r="P30" s="36"/>
      <c r="Q30" s="36"/>
      <c r="R30" s="36"/>
      <c r="S30" s="35">
        <f>SUM(S27:S28)</f>
        <v>0</v>
      </c>
      <c r="T30" s="35">
        <f>D26-($G$6*G28+$H$6*H28)</f>
        <v>0</v>
      </c>
      <c r="U30" s="35">
        <f>M28*0.12</f>
        <v>0</v>
      </c>
      <c r="V30" s="35">
        <f>O28*0.7</f>
        <v>0</v>
      </c>
      <c r="W30" s="88">
        <v>0</v>
      </c>
    </row>
    <row r="31" spans="1:23" ht="15.75" customHeight="1">
      <c r="A31" s="41">
        <v>9</v>
      </c>
      <c r="B31" s="15" t="s">
        <v>1807</v>
      </c>
      <c r="C31" s="15" t="s">
        <v>1808</v>
      </c>
      <c r="D31" s="30">
        <v>0</v>
      </c>
      <c r="E31" s="30">
        <v>0</v>
      </c>
      <c r="F31" s="15">
        <v>0</v>
      </c>
      <c r="G31" s="29"/>
      <c r="H31" s="29"/>
      <c r="I31" s="29"/>
      <c r="J31" s="29"/>
      <c r="K31" s="29"/>
      <c r="L31" s="29"/>
      <c r="M31" s="29"/>
      <c r="N31" s="29"/>
      <c r="O31" s="29"/>
      <c r="P31" s="29"/>
      <c r="Q31" s="29"/>
      <c r="R31" s="29"/>
      <c r="S31" s="29"/>
      <c r="T31" s="29"/>
      <c r="U31" s="29"/>
      <c r="V31" s="29"/>
      <c r="W31" s="90"/>
    </row>
    <row r="32" spans="1:23" ht="15.75" customHeight="1">
      <c r="A32" s="41">
        <v>10</v>
      </c>
      <c r="B32" s="15"/>
      <c r="C32" s="15" t="s">
        <v>1794</v>
      </c>
      <c r="D32" s="30">
        <v>0</v>
      </c>
      <c r="E32" s="30">
        <v>0</v>
      </c>
      <c r="F32" s="15">
        <v>0</v>
      </c>
      <c r="G32" s="29"/>
      <c r="H32" s="29"/>
      <c r="I32" s="29"/>
      <c r="J32" s="29"/>
      <c r="K32" s="29"/>
      <c r="L32" s="29"/>
      <c r="M32" s="29"/>
      <c r="N32" s="29"/>
      <c r="O32" s="29"/>
      <c r="P32" s="29"/>
      <c r="Q32" s="29"/>
      <c r="R32" s="29"/>
      <c r="S32" s="16">
        <f>D32*F32</f>
        <v>0</v>
      </c>
      <c r="T32" s="29"/>
      <c r="U32" s="29"/>
      <c r="V32" s="29"/>
      <c r="W32" s="87"/>
    </row>
    <row r="33" spans="1:23" ht="15.75" customHeight="1">
      <c r="A33" s="41">
        <v>11</v>
      </c>
      <c r="B33" s="15"/>
      <c r="C33" s="15" t="s">
        <v>1809</v>
      </c>
      <c r="D33" s="32">
        <f>D31-D32</f>
        <v>0</v>
      </c>
      <c r="E33" s="32">
        <f>E31-E32</f>
        <v>0</v>
      </c>
      <c r="F33" s="15">
        <v>0</v>
      </c>
      <c r="G33" s="30">
        <v>0</v>
      </c>
      <c r="H33" s="15"/>
      <c r="I33" s="29"/>
      <c r="J33" s="29"/>
      <c r="K33" s="29"/>
      <c r="L33" s="29"/>
      <c r="M33" s="30">
        <v>0</v>
      </c>
      <c r="N33" s="30">
        <v>0</v>
      </c>
      <c r="O33" s="30">
        <v>0</v>
      </c>
      <c r="P33" s="30">
        <v>0</v>
      </c>
      <c r="Q33" s="30">
        <v>0</v>
      </c>
      <c r="R33" s="30">
        <v>0</v>
      </c>
      <c r="S33" s="16">
        <f>D33*F33-(G33*$G$7+H33*$H$7+I33*$I$7+J33*$J$7+K33*$K$7+L33*$L$7)-M33*N33-O33*P33+Q33+R33</f>
        <v>0</v>
      </c>
      <c r="T33" s="29"/>
      <c r="U33" s="29"/>
      <c r="V33" s="29"/>
      <c r="W33" s="87"/>
    </row>
    <row r="34" spans="1:23" ht="15.75" customHeight="1">
      <c r="A34" s="41"/>
      <c r="B34" s="15"/>
      <c r="C34" s="44" t="s">
        <v>285</v>
      </c>
      <c r="D34" s="42">
        <v>0</v>
      </c>
      <c r="E34" s="43"/>
      <c r="F34" s="29"/>
      <c r="G34" s="29"/>
      <c r="H34" s="29"/>
      <c r="I34" s="29"/>
      <c r="J34" s="29"/>
      <c r="K34" s="29"/>
      <c r="L34" s="29"/>
      <c r="M34" s="29"/>
      <c r="N34" s="29"/>
      <c r="O34" s="29"/>
      <c r="P34" s="29"/>
      <c r="Q34" s="29"/>
      <c r="R34" s="29"/>
      <c r="S34" s="91"/>
      <c r="T34" s="29"/>
      <c r="U34" s="29"/>
      <c r="V34" s="29"/>
      <c r="W34" s="87"/>
    </row>
    <row r="35" spans="1:23" ht="15.75" customHeight="1">
      <c r="A35" s="46">
        <v>12</v>
      </c>
      <c r="B35" s="47" t="s">
        <v>136</v>
      </c>
      <c r="C35" s="34" t="s">
        <v>1810</v>
      </c>
      <c r="D35" s="34"/>
      <c r="E35" s="34">
        <f>E31</f>
        <v>0</v>
      </c>
      <c r="F35" s="36"/>
      <c r="G35" s="36"/>
      <c r="H35" s="36"/>
      <c r="I35" s="36"/>
      <c r="J35" s="36"/>
      <c r="K35" s="36"/>
      <c r="L35" s="36"/>
      <c r="M35" s="36"/>
      <c r="N35" s="36"/>
      <c r="O35" s="36"/>
      <c r="P35" s="36"/>
      <c r="Q35" s="36"/>
      <c r="R35" s="36"/>
      <c r="S35" s="35">
        <f>SUM(S32:S33)</f>
        <v>0</v>
      </c>
      <c r="T35" s="35">
        <f>D31-($G$6*G33+$H$6*H33)</f>
        <v>0</v>
      </c>
      <c r="U35" s="35">
        <f>M33*0.12</f>
        <v>0</v>
      </c>
      <c r="V35" s="35">
        <f>O33*0.7</f>
        <v>0</v>
      </c>
      <c r="W35" s="88">
        <v>0</v>
      </c>
    </row>
    <row r="36" spans="1:23" ht="15.75" customHeight="1">
      <c r="A36" s="46">
        <v>13</v>
      </c>
      <c r="B36" s="47"/>
      <c r="C36" s="34" t="s">
        <v>1811</v>
      </c>
      <c r="D36" s="47"/>
      <c r="E36" s="35">
        <f>E25+E30+E35</f>
        <v>17.149999999999999</v>
      </c>
      <c r="F36" s="47"/>
      <c r="G36" s="47"/>
      <c r="H36" s="47"/>
      <c r="I36" s="47"/>
      <c r="J36" s="47"/>
      <c r="K36" s="47"/>
      <c r="L36" s="47"/>
      <c r="M36" s="47"/>
      <c r="N36" s="47"/>
      <c r="O36" s="47"/>
      <c r="P36" s="47"/>
      <c r="Q36" s="47"/>
      <c r="R36" s="47"/>
      <c r="S36" s="35">
        <f t="shared" ref="S36" si="0">S25+S30+S35</f>
        <v>37.532622000000003</v>
      </c>
      <c r="T36" s="35">
        <f>T25+T30+T35</f>
        <v>15.786000000000001</v>
      </c>
      <c r="U36" s="35">
        <f>U25+U30+U35</f>
        <v>0</v>
      </c>
      <c r="V36" s="35">
        <f>V25+V30+V35</f>
        <v>0</v>
      </c>
      <c r="W36" s="35">
        <f>W25+W30+W35</f>
        <v>0</v>
      </c>
    </row>
    <row r="37" spans="1:23" ht="24.75" customHeight="1">
      <c r="A37" s="37" t="s">
        <v>60</v>
      </c>
      <c r="B37" s="38"/>
      <c r="C37" s="39" t="s">
        <v>1812</v>
      </c>
      <c r="D37" s="38"/>
      <c r="E37" s="38"/>
      <c r="F37" s="38"/>
      <c r="G37" s="40"/>
      <c r="H37" s="40"/>
      <c r="I37" s="40"/>
      <c r="J37" s="40"/>
      <c r="K37" s="40"/>
      <c r="L37" s="40"/>
      <c r="M37" s="40"/>
      <c r="N37" s="40"/>
      <c r="O37" s="40"/>
      <c r="P37" s="40"/>
      <c r="Q37" s="40"/>
      <c r="R37" s="38"/>
      <c r="S37" s="38">
        <v>0</v>
      </c>
      <c r="T37" s="38"/>
      <c r="U37" s="40"/>
      <c r="V37" s="40"/>
      <c r="W37" s="89"/>
    </row>
    <row r="38" spans="1:23" ht="15.75" customHeight="1">
      <c r="A38" s="48">
        <v>7</v>
      </c>
      <c r="B38" s="49"/>
      <c r="C38" s="49" t="s">
        <v>634</v>
      </c>
      <c r="D38" s="32">
        <v>0</v>
      </c>
      <c r="E38" s="32">
        <v>0</v>
      </c>
      <c r="F38" s="49">
        <v>2.73</v>
      </c>
      <c r="G38" s="49">
        <v>1</v>
      </c>
      <c r="H38" s="49"/>
      <c r="I38" s="81"/>
      <c r="J38" s="81"/>
      <c r="K38" s="81"/>
      <c r="L38" s="81"/>
      <c r="M38" s="81"/>
      <c r="N38" s="81"/>
      <c r="O38" s="81"/>
      <c r="P38" s="81"/>
      <c r="Q38" s="81"/>
      <c r="R38" s="81"/>
      <c r="S38" s="32">
        <f>(D38*F38-G7*G38-H7*H38)*S37</f>
        <v>0</v>
      </c>
      <c r="T38" s="43">
        <f>(D38-G6)*S37</f>
        <v>0</v>
      </c>
      <c r="U38" s="81"/>
      <c r="V38" s="81"/>
      <c r="W38" s="92"/>
    </row>
    <row r="39" spans="1:23" ht="33.75" customHeight="1">
      <c r="A39" s="50"/>
      <c r="B39" s="51"/>
      <c r="C39" s="51"/>
      <c r="D39" s="51"/>
      <c r="E39" s="51"/>
      <c r="F39" s="51"/>
      <c r="G39" s="51"/>
      <c r="H39" s="51"/>
      <c r="I39" s="51"/>
      <c r="J39" s="51"/>
      <c r="K39" s="51"/>
      <c r="L39" s="51"/>
      <c r="M39" s="51"/>
      <c r="N39" s="51"/>
      <c r="O39" s="51"/>
      <c r="P39" s="51"/>
      <c r="Q39" s="51"/>
      <c r="R39" s="51"/>
      <c r="S39" s="51"/>
      <c r="T39" s="51"/>
      <c r="U39" s="51"/>
      <c r="V39" s="51"/>
    </row>
    <row r="40" spans="1:23" ht="22.5" customHeight="1">
      <c r="A40" s="994" t="s">
        <v>54</v>
      </c>
      <c r="B40" s="990" t="s">
        <v>1758</v>
      </c>
      <c r="C40" s="990" t="s">
        <v>1767</v>
      </c>
      <c r="D40" s="14" t="s">
        <v>1768</v>
      </c>
      <c r="E40" s="14" t="s">
        <v>1769</v>
      </c>
      <c r="F40" s="998" t="s">
        <v>1813</v>
      </c>
      <c r="G40" s="15" t="s">
        <v>1771</v>
      </c>
      <c r="H40" s="999" t="s">
        <v>1773</v>
      </c>
      <c r="I40" s="999"/>
      <c r="J40" s="999" t="s">
        <v>1774</v>
      </c>
      <c r="K40" s="999"/>
      <c r="L40" s="15" t="s">
        <v>315</v>
      </c>
      <c r="M40" s="15" t="s">
        <v>1814</v>
      </c>
      <c r="N40" s="82" t="s">
        <v>1815</v>
      </c>
      <c r="O40" s="15" t="s">
        <v>1816</v>
      </c>
      <c r="P40" s="15"/>
      <c r="Q40" s="988" t="s">
        <v>1817</v>
      </c>
      <c r="R40" s="988" t="s">
        <v>1818</v>
      </c>
      <c r="S40" s="988" t="s">
        <v>1819</v>
      </c>
      <c r="T40" s="988" t="s">
        <v>1820</v>
      </c>
      <c r="U40" s="52" t="s">
        <v>275</v>
      </c>
      <c r="V40" s="52" t="s">
        <v>335</v>
      </c>
      <c r="W40" s="52" t="s">
        <v>338</v>
      </c>
    </row>
    <row r="41" spans="1:23" ht="24" customHeight="1">
      <c r="A41" s="994"/>
      <c r="B41" s="990"/>
      <c r="C41" s="990"/>
      <c r="D41" s="988" t="s">
        <v>1780</v>
      </c>
      <c r="E41" s="988"/>
      <c r="F41" s="998"/>
      <c r="G41" s="14" t="s">
        <v>1482</v>
      </c>
      <c r="H41" s="15" t="s">
        <v>1821</v>
      </c>
      <c r="I41" s="15" t="s">
        <v>1822</v>
      </c>
      <c r="J41" s="15" t="s">
        <v>1821</v>
      </c>
      <c r="K41" s="15" t="s">
        <v>1822</v>
      </c>
      <c r="L41" s="15" t="s">
        <v>1823</v>
      </c>
      <c r="M41" s="15" t="s">
        <v>1823</v>
      </c>
      <c r="N41" s="15" t="s">
        <v>1823</v>
      </c>
      <c r="O41" s="15" t="s">
        <v>1824</v>
      </c>
      <c r="P41" s="15"/>
      <c r="Q41" s="988"/>
      <c r="R41" s="988"/>
      <c r="S41" s="988"/>
      <c r="T41" s="988"/>
      <c r="U41" s="15" t="s">
        <v>1823</v>
      </c>
      <c r="V41" s="93" t="s">
        <v>336</v>
      </c>
      <c r="W41" s="93" t="s">
        <v>231</v>
      </c>
    </row>
    <row r="42" spans="1:23" ht="24.75" customHeight="1">
      <c r="A42" s="994"/>
      <c r="B42" s="990"/>
      <c r="C42" s="990"/>
      <c r="D42" s="14" t="s">
        <v>235</v>
      </c>
      <c r="E42" s="14" t="s">
        <v>1092</v>
      </c>
      <c r="F42" s="998"/>
      <c r="G42" s="16"/>
      <c r="H42" s="15"/>
      <c r="I42" s="15"/>
      <c r="J42" s="15"/>
      <c r="K42" s="15"/>
      <c r="L42" s="15"/>
      <c r="M42" s="15"/>
      <c r="N42" s="15"/>
      <c r="O42" s="15"/>
      <c r="P42" s="15"/>
      <c r="Q42" s="988"/>
      <c r="R42" s="988"/>
      <c r="S42" s="988"/>
      <c r="T42" s="988"/>
      <c r="U42" s="15"/>
      <c r="V42" s="15"/>
      <c r="W42" s="94"/>
    </row>
    <row r="43" spans="1:23" ht="24" customHeight="1">
      <c r="A43" s="53" t="s">
        <v>62</v>
      </c>
      <c r="B43" s="54"/>
      <c r="C43" s="54" t="s">
        <v>299</v>
      </c>
      <c r="D43" s="54"/>
      <c r="E43" s="54"/>
      <c r="F43" s="54"/>
      <c r="G43" s="54"/>
      <c r="H43" s="54"/>
      <c r="I43" s="54"/>
      <c r="J43" s="54"/>
      <c r="K43" s="54"/>
      <c r="L43" s="54"/>
      <c r="M43" s="54"/>
      <c r="N43" s="54"/>
      <c r="O43" s="54"/>
      <c r="P43" s="54"/>
      <c r="Q43" s="54"/>
      <c r="R43" s="54"/>
      <c r="S43" s="54"/>
      <c r="T43" s="54"/>
      <c r="U43" s="54"/>
      <c r="V43" s="54"/>
      <c r="W43" s="95"/>
    </row>
    <row r="44" spans="1:23" ht="24" customHeight="1">
      <c r="A44" s="55">
        <v>1</v>
      </c>
      <c r="B44" s="56"/>
      <c r="C44" s="56" t="s">
        <v>1825</v>
      </c>
      <c r="D44" s="30">
        <v>8.58</v>
      </c>
      <c r="E44" s="30">
        <v>4.22</v>
      </c>
      <c r="F44" s="30">
        <f>2.33+0.02</f>
        <v>2.35</v>
      </c>
      <c r="G44" s="30">
        <v>1</v>
      </c>
      <c r="H44" s="30">
        <v>0</v>
      </c>
      <c r="I44" s="30">
        <v>0</v>
      </c>
      <c r="J44" s="30">
        <v>0</v>
      </c>
      <c r="K44" s="30">
        <v>0</v>
      </c>
      <c r="L44" s="30">
        <v>1.07</v>
      </c>
      <c r="M44" s="30">
        <v>1.18</v>
      </c>
      <c r="N44" s="30">
        <v>0</v>
      </c>
      <c r="O44" s="30">
        <v>1.63</v>
      </c>
      <c r="P44" s="30"/>
      <c r="Q44" s="56"/>
      <c r="R44" s="96">
        <f>D44*1.8-$H$6*G44*1.8-(1.8-0.9)*H44+(H44+(1.8-0.9)*2)*0.1</f>
        <v>14.104800000000001</v>
      </c>
      <c r="S44" s="96">
        <f>D44*F44-$H$7*G44-H44*I44+(H44+I44)*2*0.1</f>
        <v>18.245432000000001</v>
      </c>
      <c r="T44" s="96">
        <f>E44+(D44-$H$6)*0.15</f>
        <v>5.3803999999999998</v>
      </c>
      <c r="U44" s="56"/>
      <c r="V44" s="56">
        <f>0.06*0.25*2.35</f>
        <v>3.5249999999999997E-2</v>
      </c>
      <c r="W44" s="98">
        <f>(0.06+0.25*2)*2.35</f>
        <v>1.3160000000000003</v>
      </c>
    </row>
    <row r="45" spans="1:23" ht="24" customHeight="1">
      <c r="A45" s="55"/>
      <c r="B45" s="56"/>
      <c r="C45" s="56"/>
      <c r="D45" s="30"/>
      <c r="E45" s="30"/>
      <c r="F45" s="30"/>
      <c r="G45" s="30"/>
      <c r="H45" s="30"/>
      <c r="I45" s="30"/>
      <c r="J45" s="30"/>
      <c r="K45" s="30"/>
      <c r="L45" s="30"/>
      <c r="M45" s="30"/>
      <c r="N45" s="30"/>
      <c r="O45" s="30"/>
      <c r="P45" s="30"/>
      <c r="Q45" s="56"/>
      <c r="R45" s="96"/>
      <c r="S45" s="96"/>
      <c r="T45" s="96"/>
      <c r="U45" s="56"/>
      <c r="V45" s="56"/>
      <c r="W45" s="98"/>
    </row>
    <row r="46" spans="1:23" ht="24" customHeight="1">
      <c r="A46" s="55">
        <v>2</v>
      </c>
      <c r="B46" s="56"/>
      <c r="C46" s="56" t="s">
        <v>1826</v>
      </c>
      <c r="D46" s="30"/>
      <c r="E46" s="30"/>
      <c r="F46" s="30"/>
      <c r="G46" s="30"/>
      <c r="H46" s="30"/>
      <c r="I46" s="30"/>
      <c r="J46" s="30"/>
      <c r="K46" s="30"/>
      <c r="L46" s="30"/>
      <c r="M46" s="30"/>
      <c r="N46" s="30"/>
      <c r="O46" s="30"/>
      <c r="P46" s="30"/>
      <c r="Q46" s="56"/>
      <c r="R46" s="96">
        <f>(D46*1.8-$H$6*G46*1.8-(1.8-0.9)*H46+(H46+(1.8-0.9)*2)*0.1)*$J$3</f>
        <v>0</v>
      </c>
      <c r="S46" s="96">
        <f>D46*F46-$H$7*G46-H46*I46+(H46+I46)*2*0.1</f>
        <v>0</v>
      </c>
      <c r="T46" s="96">
        <f>(E46+(D46-$H$6)*0.15)*$J$3</f>
        <v>0</v>
      </c>
      <c r="U46" s="56"/>
      <c r="V46" s="56"/>
      <c r="W46" s="98"/>
    </row>
    <row r="47" spans="1:23" ht="24" customHeight="1">
      <c r="A47" s="55"/>
      <c r="B47" s="56"/>
      <c r="C47" s="56"/>
      <c r="D47" s="30"/>
      <c r="E47" s="30"/>
      <c r="F47" s="30"/>
      <c r="G47" s="30"/>
      <c r="H47" s="30"/>
      <c r="I47" s="30"/>
      <c r="J47" s="30"/>
      <c r="K47" s="30"/>
      <c r="L47" s="30"/>
      <c r="M47" s="30"/>
      <c r="N47" s="30"/>
      <c r="O47" s="30"/>
      <c r="P47" s="30"/>
      <c r="Q47" s="56"/>
      <c r="R47" s="96"/>
      <c r="S47" s="96"/>
      <c r="T47" s="96"/>
      <c r="U47" s="56"/>
      <c r="V47" s="56"/>
      <c r="W47" s="98"/>
    </row>
    <row r="48" spans="1:23" ht="24" customHeight="1">
      <c r="A48" s="46">
        <v>3</v>
      </c>
      <c r="B48" s="47"/>
      <c r="C48" s="34" t="s">
        <v>1827</v>
      </c>
      <c r="D48" s="47"/>
      <c r="E48" s="35">
        <f>E44+E46</f>
        <v>4.22</v>
      </c>
      <c r="F48" s="35"/>
      <c r="G48" s="35"/>
      <c r="H48" s="35"/>
      <c r="I48" s="35"/>
      <c r="J48" s="35"/>
      <c r="K48" s="35"/>
      <c r="L48" s="35">
        <f t="shared" ref="L48" si="1">SUM(L44:L46)</f>
        <v>1.07</v>
      </c>
      <c r="M48" s="35">
        <f t="shared" ref="M48:W48" si="2">SUM(M44:M46)</f>
        <v>1.18</v>
      </c>
      <c r="N48" s="35">
        <f t="shared" si="2"/>
        <v>0</v>
      </c>
      <c r="O48" s="35">
        <f t="shared" si="2"/>
        <v>1.63</v>
      </c>
      <c r="P48" s="35">
        <f t="shared" si="2"/>
        <v>0</v>
      </c>
      <c r="Q48" s="35">
        <f t="shared" si="2"/>
        <v>0</v>
      </c>
      <c r="R48" s="35">
        <f t="shared" si="2"/>
        <v>14.104800000000001</v>
      </c>
      <c r="S48" s="35">
        <f t="shared" si="2"/>
        <v>18.245432000000001</v>
      </c>
      <c r="T48" s="35">
        <f t="shared" si="2"/>
        <v>5.3803999999999998</v>
      </c>
      <c r="U48" s="35">
        <f t="shared" si="2"/>
        <v>0</v>
      </c>
      <c r="V48" s="35">
        <f t="shared" si="2"/>
        <v>3.5249999999999997E-2</v>
      </c>
      <c r="W48" s="35">
        <f t="shared" si="2"/>
        <v>1.3160000000000003</v>
      </c>
    </row>
    <row r="49" spans="1:23" ht="24" customHeight="1">
      <c r="A49" s="57"/>
      <c r="B49" s="58"/>
      <c r="C49" s="59"/>
      <c r="D49" s="58"/>
      <c r="E49" s="60"/>
      <c r="F49" s="60"/>
      <c r="G49" s="60"/>
      <c r="H49" s="60"/>
      <c r="I49" s="60"/>
      <c r="J49" s="60"/>
      <c r="K49" s="60"/>
      <c r="L49" s="60"/>
      <c r="M49" s="60"/>
      <c r="N49" s="60"/>
      <c r="O49" s="60"/>
      <c r="P49" s="60"/>
      <c r="Q49" s="60"/>
      <c r="R49" s="60"/>
      <c r="S49" s="60"/>
      <c r="T49" s="60"/>
      <c r="U49" s="60"/>
      <c r="V49" s="60"/>
      <c r="W49" s="99"/>
    </row>
    <row r="50" spans="1:23" ht="30" customHeight="1">
      <c r="A50" s="994" t="s">
        <v>54</v>
      </c>
      <c r="B50" s="990" t="s">
        <v>1758</v>
      </c>
      <c r="C50" s="990" t="s">
        <v>1767</v>
      </c>
      <c r="D50" s="14" t="s">
        <v>1768</v>
      </c>
      <c r="E50" s="14" t="s">
        <v>1769</v>
      </c>
      <c r="F50" s="998" t="s">
        <v>1813</v>
      </c>
      <c r="G50" s="61" t="s">
        <v>1771</v>
      </c>
      <c r="H50" s="62"/>
      <c r="I50" s="996" t="s">
        <v>1828</v>
      </c>
      <c r="J50" s="997"/>
      <c r="K50" s="988" t="s">
        <v>1829</v>
      </c>
      <c r="L50" s="988"/>
      <c r="M50" s="1003" t="s">
        <v>375</v>
      </c>
      <c r="N50" s="988" t="s">
        <v>1818</v>
      </c>
      <c r="O50" s="988" t="s">
        <v>1819</v>
      </c>
      <c r="P50" s="988" t="s">
        <v>1830</v>
      </c>
      <c r="Q50" s="988" t="s">
        <v>1831</v>
      </c>
      <c r="R50" s="988" t="s">
        <v>1832</v>
      </c>
      <c r="S50" s="102" t="s">
        <v>1418</v>
      </c>
      <c r="T50" s="102" t="s">
        <v>1482</v>
      </c>
      <c r="U50" s="15"/>
      <c r="V50" s="15"/>
      <c r="W50" s="82"/>
    </row>
    <row r="51" spans="1:23" ht="35.25" customHeight="1">
      <c r="A51" s="994"/>
      <c r="B51" s="990"/>
      <c r="C51" s="990"/>
      <c r="D51" s="988" t="s">
        <v>1780</v>
      </c>
      <c r="E51" s="988"/>
      <c r="F51" s="998"/>
      <c r="G51" s="14" t="s">
        <v>1782</v>
      </c>
      <c r="H51" s="14" t="s">
        <v>1783</v>
      </c>
      <c r="I51" s="14" t="s">
        <v>1833</v>
      </c>
      <c r="J51" s="15" t="s">
        <v>1834</v>
      </c>
      <c r="K51" s="14" t="s">
        <v>1833</v>
      </c>
      <c r="L51" s="15" t="s">
        <v>1834</v>
      </c>
      <c r="M51" s="1004"/>
      <c r="N51" s="988"/>
      <c r="O51" s="988"/>
      <c r="P51" s="988"/>
      <c r="Q51" s="988"/>
      <c r="R51" s="988"/>
      <c r="S51" s="16">
        <v>1.1599999999999999</v>
      </c>
      <c r="T51" s="16">
        <v>0.79</v>
      </c>
      <c r="U51" s="15"/>
      <c r="V51" s="15"/>
      <c r="W51" s="15"/>
    </row>
    <row r="52" spans="1:23" ht="24.75" customHeight="1">
      <c r="A52" s="994"/>
      <c r="B52" s="990"/>
      <c r="C52" s="990"/>
      <c r="D52" s="14" t="s">
        <v>235</v>
      </c>
      <c r="E52" s="14" t="s">
        <v>1092</v>
      </c>
      <c r="F52" s="998"/>
      <c r="G52" s="16"/>
      <c r="H52" s="15"/>
      <c r="I52" s="15" t="s">
        <v>1823</v>
      </c>
      <c r="J52" s="15" t="s">
        <v>1823</v>
      </c>
      <c r="K52" s="15" t="s">
        <v>1823</v>
      </c>
      <c r="L52" s="15" t="s">
        <v>1823</v>
      </c>
      <c r="M52" s="17" t="s">
        <v>1092</v>
      </c>
      <c r="N52" s="988"/>
      <c r="O52" s="988"/>
      <c r="P52" s="15" t="s">
        <v>1835</v>
      </c>
      <c r="Q52" s="15" t="s">
        <v>1835</v>
      </c>
      <c r="R52" s="15" t="s">
        <v>1835</v>
      </c>
      <c r="S52" s="18">
        <f>1.16*2.18</f>
        <v>2.5287999999999999</v>
      </c>
      <c r="T52" s="18">
        <f>0.79*2.17</f>
        <v>1.7142999999999999</v>
      </c>
      <c r="U52" s="15"/>
      <c r="V52" s="15"/>
      <c r="W52" s="94"/>
    </row>
    <row r="53" spans="1:23" ht="24" customHeight="1">
      <c r="A53" s="53" t="s">
        <v>64</v>
      </c>
      <c r="B53" s="54"/>
      <c r="C53" s="54" t="s">
        <v>1354</v>
      </c>
      <c r="D53" s="54"/>
      <c r="E53" s="54"/>
      <c r="F53" s="54"/>
      <c r="G53" s="54"/>
      <c r="H53" s="54"/>
      <c r="I53" s="54"/>
      <c r="J53" s="54"/>
      <c r="K53" s="54"/>
      <c r="L53" s="54"/>
      <c r="M53" s="54"/>
      <c r="N53" s="54"/>
      <c r="O53" s="54"/>
      <c r="P53" s="54"/>
      <c r="Q53" s="54"/>
      <c r="R53" s="54"/>
      <c r="S53" s="54"/>
      <c r="T53" s="54"/>
      <c r="U53" s="54"/>
      <c r="V53" s="54"/>
      <c r="W53" s="95"/>
    </row>
    <row r="54" spans="1:23" ht="19.5" customHeight="1">
      <c r="A54" s="63" t="s">
        <v>1836</v>
      </c>
      <c r="B54" s="64" t="s">
        <v>133</v>
      </c>
      <c r="C54" s="64" t="s">
        <v>1837</v>
      </c>
      <c r="D54" s="65">
        <v>10.11</v>
      </c>
      <c r="E54" s="65">
        <v>8.27</v>
      </c>
      <c r="F54" s="65">
        <f>2.38</f>
        <v>2.38</v>
      </c>
      <c r="G54" s="65">
        <v>0</v>
      </c>
      <c r="H54" s="65">
        <v>0</v>
      </c>
      <c r="I54" s="65">
        <v>0</v>
      </c>
      <c r="J54" s="65">
        <v>0</v>
      </c>
      <c r="K54" s="65">
        <v>0</v>
      </c>
      <c r="L54" s="65">
        <v>0</v>
      </c>
      <c r="M54" s="65">
        <f>(0.46+1.53+2.72)*0.82</f>
        <v>3.8621999999999996</v>
      </c>
      <c r="N54" s="83">
        <f>(D54-I6*G54-J6*H54-I54-K54-S51*S54-T51*T54)*1</f>
        <v>8.16</v>
      </c>
      <c r="O54" s="84">
        <f>D54*F54-I7*G54-J7*H54-I54*2.24-J54*1.19-K54*2.24-L54*1.32-M54+(2.24+I54+J54+1.19+J54)*0.1*P54+(2.24*2+K54)*0.1*Q54+(1.32*2+L54*2)*0.1*R54-S52*S54-T52*T54</f>
        <v>16.220499999999994</v>
      </c>
      <c r="P54" s="64">
        <v>0</v>
      </c>
      <c r="Q54" s="64">
        <v>0</v>
      </c>
      <c r="R54" s="64">
        <v>1</v>
      </c>
      <c r="S54" s="64">
        <v>1</v>
      </c>
      <c r="T54" s="64">
        <v>1</v>
      </c>
      <c r="U54" s="64"/>
      <c r="V54" s="64"/>
      <c r="W54" s="100"/>
    </row>
    <row r="55" spans="1:23" ht="30" customHeight="1">
      <c r="A55" s="41"/>
      <c r="B55" s="15"/>
      <c r="C55" s="52" t="s">
        <v>1838</v>
      </c>
      <c r="D55" s="15"/>
      <c r="E55" s="30">
        <v>1.1299999999999999</v>
      </c>
      <c r="F55" s="15"/>
      <c r="G55" s="15"/>
      <c r="H55" s="15"/>
      <c r="I55" s="15"/>
      <c r="J55" s="15"/>
      <c r="K55" s="15"/>
      <c r="L55" s="15"/>
      <c r="M55" s="15"/>
      <c r="N55" s="15"/>
      <c r="O55" s="15"/>
      <c r="P55" s="15"/>
      <c r="Q55" s="15"/>
      <c r="R55" s="15"/>
      <c r="S55" s="15"/>
      <c r="T55" s="15"/>
      <c r="U55" s="15"/>
      <c r="V55" s="15"/>
      <c r="W55" s="101"/>
    </row>
    <row r="56" spans="1:23" ht="22.5" customHeight="1">
      <c r="A56" s="66"/>
      <c r="B56" s="67"/>
      <c r="C56" s="68" t="s">
        <v>1839</v>
      </c>
      <c r="D56" s="67"/>
      <c r="E56" s="69">
        <f>E54-E55</f>
        <v>7.14</v>
      </c>
      <c r="F56" s="70"/>
      <c r="G56" s="70"/>
      <c r="H56" s="70"/>
      <c r="I56" s="70"/>
      <c r="J56" s="70"/>
      <c r="K56" s="70"/>
      <c r="L56" s="70"/>
      <c r="M56" s="70"/>
      <c r="N56" s="70"/>
      <c r="O56" s="70"/>
      <c r="P56" s="70"/>
      <c r="Q56" s="70"/>
      <c r="R56" s="70"/>
      <c r="S56" s="70"/>
      <c r="T56" s="67"/>
      <c r="U56" s="67"/>
      <c r="V56" s="67"/>
      <c r="W56" s="67"/>
    </row>
    <row r="57" spans="1:23" ht="22.5" customHeight="1">
      <c r="A57" s="71"/>
      <c r="B57" s="72"/>
      <c r="C57" s="73"/>
      <c r="D57" s="72"/>
      <c r="E57" s="74"/>
      <c r="F57" s="75"/>
      <c r="G57" s="76"/>
      <c r="H57" s="77"/>
      <c r="I57" s="76"/>
      <c r="J57" s="77"/>
      <c r="K57" s="75"/>
      <c r="L57" s="75"/>
      <c r="M57" s="75"/>
      <c r="N57" s="75"/>
      <c r="O57" s="75"/>
      <c r="P57" s="75"/>
      <c r="Q57" s="75"/>
      <c r="R57" s="75"/>
      <c r="S57" s="75"/>
      <c r="T57" s="72"/>
      <c r="U57" s="72"/>
      <c r="V57" s="72"/>
      <c r="W57" s="72"/>
    </row>
    <row r="58" spans="1:23" ht="19.5" customHeight="1">
      <c r="A58" s="3" t="s">
        <v>1840</v>
      </c>
      <c r="E58" s="4"/>
      <c r="F58" s="4"/>
      <c r="G58" s="4"/>
      <c r="H58" s="4"/>
      <c r="I58" s="4"/>
      <c r="J58" s="4"/>
      <c r="K58" s="4"/>
      <c r="L58" s="4"/>
      <c r="M58" s="4"/>
      <c r="N58" s="4"/>
      <c r="O58" s="4"/>
      <c r="P58" s="4"/>
      <c r="Q58" s="4"/>
      <c r="R58" s="4"/>
      <c r="S58" s="4"/>
    </row>
    <row r="59" spans="1:23" ht="19.5" customHeight="1">
      <c r="A59" s="3"/>
      <c r="E59" s="4"/>
      <c r="F59" s="4"/>
      <c r="G59" s="4"/>
      <c r="H59" s="4"/>
      <c r="I59" s="4"/>
      <c r="J59" s="4"/>
      <c r="K59" s="4"/>
      <c r="L59" s="4"/>
      <c r="M59" s="4"/>
      <c r="N59" s="4"/>
      <c r="O59" s="4"/>
      <c r="P59" s="4"/>
      <c r="Q59" s="4"/>
      <c r="R59" s="4"/>
      <c r="S59" s="4"/>
    </row>
  </sheetData>
  <mergeCells count="38">
    <mergeCell ref="T4:T7"/>
    <mergeCell ref="T40:T42"/>
    <mergeCell ref="W4:W7"/>
    <mergeCell ref="M4:N5"/>
    <mergeCell ref="O4:P5"/>
    <mergeCell ref="U4:V5"/>
    <mergeCell ref="R4:R7"/>
    <mergeCell ref="R40:R42"/>
    <mergeCell ref="R50:R51"/>
    <mergeCell ref="S4:S7"/>
    <mergeCell ref="S40:S42"/>
    <mergeCell ref="M50:M51"/>
    <mergeCell ref="N50:N52"/>
    <mergeCell ref="O50:O52"/>
    <mergeCell ref="P50:P51"/>
    <mergeCell ref="Q4:Q7"/>
    <mergeCell ref="Q40:Q42"/>
    <mergeCell ref="Q50:Q51"/>
    <mergeCell ref="C4:C7"/>
    <mergeCell ref="C40:C42"/>
    <mergeCell ref="C50:C52"/>
    <mergeCell ref="D5:E5"/>
    <mergeCell ref="F4:F7"/>
    <mergeCell ref="F40:F42"/>
    <mergeCell ref="F50:F52"/>
    <mergeCell ref="D51:E51"/>
    <mergeCell ref="A4:A7"/>
    <mergeCell ref="A40:A42"/>
    <mergeCell ref="A50:A52"/>
    <mergeCell ref="B4:B7"/>
    <mergeCell ref="B40:B42"/>
    <mergeCell ref="B50:B52"/>
    <mergeCell ref="G4:K4"/>
    <mergeCell ref="H40:I40"/>
    <mergeCell ref="J40:K40"/>
    <mergeCell ref="D41:E41"/>
    <mergeCell ref="I50:J50"/>
    <mergeCell ref="K50:L50"/>
  </mergeCells>
  <phoneticPr fontId="7" type="noConversion"/>
  <printOptions horizontalCentered="1"/>
  <pageMargins left="0.43307086614173229" right="0.23622047244094491" top="0.74803149606299213" bottom="0.74803149606299213" header="0.31496062992125984" footer="0.31496062992125984"/>
  <pageSetup paperSize="9" scale="85" orientation="portrait" blackAndWhite="1" r:id="rId1"/>
  <headerFooter alignWithMargins="0">
    <oddFooter>&amp;C第 &amp;P 页，共 &amp;N 页</oddFooter>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60"/>
  </sheetPr>
  <dimension ref="A1:W59"/>
  <sheetViews>
    <sheetView zoomScale="93" zoomScaleNormal="93" workbookViewId="0">
      <pane xSplit="5" ySplit="7" topLeftCell="F17" activePane="bottomRight" state="frozen"/>
      <selection activeCell="J6" sqref="J6"/>
      <selection pane="topRight" activeCell="J6" sqref="J6"/>
      <selection pane="bottomLeft" activeCell="J6" sqref="J6"/>
      <selection pane="bottomRight" activeCell="J6" sqref="J6"/>
    </sheetView>
  </sheetViews>
  <sheetFormatPr defaultColWidth="9.125" defaultRowHeight="14.25"/>
  <cols>
    <col min="1" max="1" width="6.875" customWidth="1"/>
    <col min="2" max="2" width="11.75" customWidth="1"/>
    <col min="3" max="3" width="28" customWidth="1"/>
    <col min="4" max="4" width="9.25" customWidth="1"/>
    <col min="5" max="5" width="11.75" customWidth="1"/>
    <col min="6" max="11" width="9.25" customWidth="1"/>
    <col min="12" max="12" width="10.25" customWidth="1"/>
    <col min="13" max="18" width="9.25" customWidth="1"/>
    <col min="19" max="19" width="9.75" customWidth="1"/>
    <col min="20" max="21" width="9.25" customWidth="1"/>
    <col min="22" max="22" width="9.375" customWidth="1"/>
  </cols>
  <sheetData>
    <row r="1" spans="1:23" ht="21" customHeight="1">
      <c r="A1" s="3"/>
      <c r="C1" s="1" t="s">
        <v>1755</v>
      </c>
      <c r="E1" s="4"/>
      <c r="F1" s="4"/>
      <c r="G1" s="4"/>
      <c r="H1" s="4"/>
      <c r="I1" s="4"/>
      <c r="J1" s="4"/>
      <c r="K1" s="4"/>
      <c r="L1" s="4"/>
      <c r="M1" s="4"/>
      <c r="N1" s="4"/>
      <c r="O1" s="4"/>
      <c r="P1" s="4"/>
      <c r="Q1" s="4"/>
      <c r="R1" s="4"/>
      <c r="S1" s="4"/>
    </row>
    <row r="2" spans="1:23" ht="21" customHeight="1">
      <c r="A2" s="5" t="s">
        <v>1756</v>
      </c>
      <c r="B2" s="6" t="s">
        <v>131</v>
      </c>
      <c r="C2" s="7"/>
      <c r="D2" s="8" t="s">
        <v>1758</v>
      </c>
      <c r="E2" s="6" t="s">
        <v>1842</v>
      </c>
      <c r="F2" s="9"/>
      <c r="G2" s="8" t="s">
        <v>1760</v>
      </c>
      <c r="H2" s="6">
        <v>2</v>
      </c>
      <c r="I2" s="9" t="s">
        <v>1761</v>
      </c>
      <c r="J2" s="9"/>
      <c r="K2" s="9"/>
      <c r="L2" s="9"/>
      <c r="M2" s="9"/>
      <c r="N2" s="9"/>
      <c r="O2" s="9"/>
      <c r="P2" s="9"/>
      <c r="Q2" s="9"/>
      <c r="R2" s="9"/>
      <c r="S2" s="9"/>
    </row>
    <row r="3" spans="1:23" ht="21" customHeight="1">
      <c r="A3" s="10" t="s">
        <v>120</v>
      </c>
      <c r="B3" s="11" t="s">
        <v>246</v>
      </c>
      <c r="C3" s="7"/>
      <c r="D3" s="7"/>
      <c r="F3" s="9"/>
      <c r="G3" s="12" t="s">
        <v>1763</v>
      </c>
      <c r="H3" s="11">
        <v>1</v>
      </c>
      <c r="I3" s="9" t="s">
        <v>1764</v>
      </c>
      <c r="J3" s="9">
        <v>0</v>
      </c>
      <c r="K3" s="9" t="s">
        <v>1765</v>
      </c>
      <c r="L3" s="9">
        <v>0</v>
      </c>
      <c r="M3" s="9"/>
      <c r="N3" s="9"/>
      <c r="O3" s="9"/>
      <c r="P3" s="9"/>
      <c r="Q3" s="9"/>
      <c r="R3" s="9"/>
      <c r="S3" s="9"/>
    </row>
    <row r="4" spans="1:23" ht="35.25" customHeight="1">
      <c r="A4" s="991" t="s">
        <v>54</v>
      </c>
      <c r="B4" s="987" t="s">
        <v>1766</v>
      </c>
      <c r="C4" s="987" t="s">
        <v>1767</v>
      </c>
      <c r="D4" s="13" t="s">
        <v>1768</v>
      </c>
      <c r="E4" s="13" t="s">
        <v>1769</v>
      </c>
      <c r="F4" s="987" t="s">
        <v>1770</v>
      </c>
      <c r="G4" s="987" t="s">
        <v>1771</v>
      </c>
      <c r="H4" s="987"/>
      <c r="I4" s="987"/>
      <c r="J4" s="987"/>
      <c r="K4" s="987"/>
      <c r="L4" s="78" t="s">
        <v>1772</v>
      </c>
      <c r="M4" s="987" t="s">
        <v>1773</v>
      </c>
      <c r="N4" s="987"/>
      <c r="O4" s="987" t="s">
        <v>1774</v>
      </c>
      <c r="P4" s="987"/>
      <c r="Q4" s="987" t="s">
        <v>1775</v>
      </c>
      <c r="R4" s="987" t="s">
        <v>1776</v>
      </c>
      <c r="S4" s="987" t="s">
        <v>1777</v>
      </c>
      <c r="T4" s="987" t="s">
        <v>1778</v>
      </c>
      <c r="U4" s="987" t="s">
        <v>1574</v>
      </c>
      <c r="V4" s="987"/>
      <c r="W4" s="1000" t="s">
        <v>1779</v>
      </c>
    </row>
    <row r="5" spans="1:23" ht="24" customHeight="1">
      <c r="A5" s="992"/>
      <c r="B5" s="988"/>
      <c r="C5" s="988"/>
      <c r="D5" s="988" t="s">
        <v>1780</v>
      </c>
      <c r="E5" s="988"/>
      <c r="F5" s="988"/>
      <c r="G5" s="14" t="s">
        <v>1781</v>
      </c>
      <c r="H5" s="14" t="s">
        <v>1482</v>
      </c>
      <c r="I5" s="14" t="s">
        <v>1782</v>
      </c>
      <c r="J5" s="14" t="s">
        <v>1783</v>
      </c>
      <c r="K5" s="14" t="s">
        <v>1418</v>
      </c>
      <c r="L5" s="14" t="s">
        <v>1784</v>
      </c>
      <c r="M5" s="988"/>
      <c r="N5" s="988"/>
      <c r="O5" s="988"/>
      <c r="P5" s="988"/>
      <c r="Q5" s="988"/>
      <c r="R5" s="988"/>
      <c r="S5" s="988"/>
      <c r="T5" s="988"/>
      <c r="U5" s="988"/>
      <c r="V5" s="988"/>
      <c r="W5" s="1001"/>
    </row>
    <row r="6" spans="1:23" ht="27" customHeight="1">
      <c r="A6" s="992"/>
      <c r="B6" s="988"/>
      <c r="C6" s="988"/>
      <c r="D6" s="14"/>
      <c r="E6" s="15"/>
      <c r="F6" s="988"/>
      <c r="G6" s="16">
        <v>0.99399999999999999</v>
      </c>
      <c r="H6" s="16">
        <v>0.84399999999999997</v>
      </c>
      <c r="I6" s="16">
        <v>0.9</v>
      </c>
      <c r="J6" s="16">
        <v>1.65</v>
      </c>
      <c r="K6" s="16">
        <v>1.1599999999999999</v>
      </c>
      <c r="L6" s="79"/>
      <c r="M6" s="14" t="s">
        <v>1785</v>
      </c>
      <c r="N6" s="15" t="s">
        <v>1786</v>
      </c>
      <c r="O6" s="14" t="s">
        <v>1785</v>
      </c>
      <c r="P6" s="15" t="s">
        <v>1786</v>
      </c>
      <c r="Q6" s="988"/>
      <c r="R6" s="988"/>
      <c r="S6" s="988"/>
      <c r="T6" s="988"/>
      <c r="U6" s="14" t="s">
        <v>1787</v>
      </c>
      <c r="V6" s="14" t="s">
        <v>1788</v>
      </c>
      <c r="W6" s="1001"/>
    </row>
    <row r="7" spans="1:23" ht="24.75" customHeight="1">
      <c r="A7" s="993"/>
      <c r="B7" s="989"/>
      <c r="C7" s="989"/>
      <c r="D7" s="17" t="s">
        <v>235</v>
      </c>
      <c r="E7" s="17" t="s">
        <v>1092</v>
      </c>
      <c r="F7" s="989"/>
      <c r="G7" s="18">
        <f>0.994*2.272</f>
        <v>2.2583679999999999</v>
      </c>
      <c r="H7" s="18">
        <f>0.844*2.272</f>
        <v>1.9175679999999997</v>
      </c>
      <c r="I7" s="18">
        <f>0.9*2.19</f>
        <v>1.9710000000000001</v>
      </c>
      <c r="J7" s="18">
        <f>1.65*2.14</f>
        <v>3.5310000000000001</v>
      </c>
      <c r="K7" s="18">
        <f>1.16*2.18</f>
        <v>2.5287999999999999</v>
      </c>
      <c r="L7" s="18">
        <v>2.27</v>
      </c>
      <c r="M7" s="80"/>
      <c r="N7" s="80"/>
      <c r="O7" s="80"/>
      <c r="P7" s="80"/>
      <c r="Q7" s="995"/>
      <c r="R7" s="989"/>
      <c r="S7" s="989"/>
      <c r="T7" s="989"/>
      <c r="U7" s="80" t="s">
        <v>1789</v>
      </c>
      <c r="V7" s="80" t="s">
        <v>1790</v>
      </c>
      <c r="W7" s="1002"/>
    </row>
    <row r="8" spans="1:23" ht="24.75" customHeight="1">
      <c r="A8" s="19" t="s">
        <v>58</v>
      </c>
      <c r="B8" s="20"/>
      <c r="C8" s="21" t="s">
        <v>1406</v>
      </c>
      <c r="D8" s="20"/>
      <c r="E8" s="20"/>
      <c r="F8" s="20"/>
      <c r="G8" s="22"/>
      <c r="H8" s="22"/>
      <c r="I8" s="22"/>
      <c r="J8" s="22"/>
      <c r="K8" s="22"/>
      <c r="L8" s="22"/>
      <c r="M8" s="22"/>
      <c r="N8" s="22"/>
      <c r="O8" s="22"/>
      <c r="P8" s="22"/>
      <c r="Q8" s="22"/>
      <c r="R8" s="20"/>
      <c r="S8" s="20"/>
      <c r="T8" s="20"/>
      <c r="U8" s="22"/>
      <c r="V8" s="22"/>
      <c r="W8" s="85"/>
    </row>
    <row r="9" spans="1:23" ht="24.75" customHeight="1">
      <c r="A9" s="23">
        <v>1</v>
      </c>
      <c r="B9" s="24"/>
      <c r="C9" s="25" t="s">
        <v>237</v>
      </c>
      <c r="D9" s="26">
        <v>0</v>
      </c>
      <c r="E9" s="27"/>
      <c r="F9" s="28"/>
      <c r="G9" s="29"/>
      <c r="H9" s="29"/>
      <c r="I9" s="29"/>
      <c r="J9" s="29"/>
      <c r="K9" s="29"/>
      <c r="L9" s="29"/>
      <c r="M9" s="29"/>
      <c r="N9" s="29"/>
      <c r="O9" s="29"/>
      <c r="P9" s="29"/>
      <c r="Q9" s="29"/>
      <c r="R9" s="28"/>
      <c r="S9" s="28"/>
      <c r="T9" s="28"/>
      <c r="U9" s="29"/>
      <c r="V9" s="29"/>
      <c r="W9" s="86"/>
    </row>
    <row r="10" spans="1:23" ht="24.75" customHeight="1">
      <c r="A10" s="23">
        <v>2</v>
      </c>
      <c r="B10" s="24"/>
      <c r="C10" s="25" t="s">
        <v>241</v>
      </c>
      <c r="D10" s="26"/>
      <c r="E10" s="27"/>
      <c r="F10" s="28"/>
      <c r="G10" s="29"/>
      <c r="H10" s="29"/>
      <c r="I10" s="29"/>
      <c r="J10" s="29"/>
      <c r="K10" s="29"/>
      <c r="L10" s="29"/>
      <c r="M10" s="29"/>
      <c r="N10" s="29"/>
      <c r="O10" s="29"/>
      <c r="P10" s="29"/>
      <c r="Q10" s="29"/>
      <c r="R10" s="28"/>
      <c r="S10" s="28"/>
      <c r="T10" s="28"/>
      <c r="U10" s="29"/>
      <c r="V10" s="29"/>
      <c r="W10" s="86"/>
    </row>
    <row r="11" spans="1:23" ht="24.75" customHeight="1">
      <c r="A11" s="23">
        <v>3</v>
      </c>
      <c r="B11" s="15"/>
      <c r="C11" s="15" t="s">
        <v>1791</v>
      </c>
      <c r="D11" s="26">
        <v>31.05</v>
      </c>
      <c r="E11" s="30">
        <v>31.5</v>
      </c>
      <c r="F11" s="29"/>
      <c r="G11" s="29"/>
      <c r="H11" s="29"/>
      <c r="I11" s="29"/>
      <c r="J11" s="29"/>
      <c r="K11" s="29"/>
      <c r="L11" s="29"/>
      <c r="M11" s="29"/>
      <c r="N11" s="29"/>
      <c r="O11" s="29"/>
      <c r="P11" s="29"/>
      <c r="Q11" s="29"/>
      <c r="R11" s="29"/>
      <c r="S11" s="15"/>
      <c r="T11" s="29"/>
      <c r="U11" s="29"/>
      <c r="V11" s="29"/>
      <c r="W11" s="87"/>
    </row>
    <row r="12" spans="1:23" ht="15.75" customHeight="1">
      <c r="A12" s="23">
        <v>4</v>
      </c>
      <c r="B12" s="15"/>
      <c r="C12" s="15" t="s">
        <v>1792</v>
      </c>
      <c r="D12" s="30">
        <v>0</v>
      </c>
      <c r="E12" s="30">
        <v>0</v>
      </c>
      <c r="F12" s="15"/>
      <c r="G12" s="29"/>
      <c r="H12" s="29"/>
      <c r="I12" s="29"/>
      <c r="J12" s="29"/>
      <c r="K12" s="29"/>
      <c r="L12" s="29"/>
      <c r="M12" s="29"/>
      <c r="N12" s="29"/>
      <c r="O12" s="29"/>
      <c r="P12" s="29"/>
      <c r="Q12" s="29"/>
      <c r="R12" s="29"/>
      <c r="S12" s="32">
        <f>D12*F12</f>
        <v>0</v>
      </c>
      <c r="T12" s="29"/>
      <c r="U12" s="29"/>
      <c r="V12" s="29"/>
      <c r="W12" s="87"/>
    </row>
    <row r="13" spans="1:23" ht="15.75" customHeight="1">
      <c r="A13" s="23">
        <v>5</v>
      </c>
      <c r="B13" s="15"/>
      <c r="C13" s="15" t="s">
        <v>1793</v>
      </c>
      <c r="D13" s="30">
        <v>0</v>
      </c>
      <c r="E13" s="31">
        <v>0</v>
      </c>
      <c r="F13" s="29"/>
      <c r="G13" s="29"/>
      <c r="H13" s="29"/>
      <c r="I13" s="29"/>
      <c r="J13" s="29"/>
      <c r="K13" s="29"/>
      <c r="L13" s="29"/>
      <c r="M13" s="29"/>
      <c r="N13" s="29"/>
      <c r="O13" s="29"/>
      <c r="P13" s="29"/>
      <c r="Q13" s="29"/>
      <c r="R13" s="29"/>
      <c r="S13" s="43"/>
      <c r="T13" s="29"/>
      <c r="U13" s="29"/>
      <c r="V13" s="29"/>
      <c r="W13" s="87"/>
    </row>
    <row r="14" spans="1:23" ht="15.75" customHeight="1">
      <c r="A14" s="23">
        <v>6</v>
      </c>
      <c r="B14" s="15"/>
      <c r="C14" s="15" t="s">
        <v>1794</v>
      </c>
      <c r="D14" s="30">
        <v>9.48</v>
      </c>
      <c r="E14" s="30">
        <v>5.3</v>
      </c>
      <c r="F14" s="15">
        <f>3-0.5-0.065-0.1-0.012</f>
        <v>2.323</v>
      </c>
      <c r="G14" s="29"/>
      <c r="H14" s="29"/>
      <c r="I14" s="29"/>
      <c r="J14" s="29"/>
      <c r="K14" s="29"/>
      <c r="L14" s="29"/>
      <c r="M14" s="29"/>
      <c r="N14" s="29"/>
      <c r="O14" s="29"/>
      <c r="P14" s="29"/>
      <c r="Q14" s="29"/>
      <c r="R14" s="29"/>
      <c r="S14" s="32">
        <f>D14*F14</f>
        <v>22.022040000000001</v>
      </c>
      <c r="T14" s="29"/>
      <c r="U14" s="29"/>
      <c r="V14" s="29"/>
      <c r="W14" s="87"/>
    </row>
    <row r="15" spans="1:23" ht="15.75" customHeight="1">
      <c r="A15" s="23">
        <v>7</v>
      </c>
      <c r="B15" s="15"/>
      <c r="C15" s="15" t="s">
        <v>1795</v>
      </c>
      <c r="D15" s="30">
        <v>1.2</v>
      </c>
      <c r="E15" s="30"/>
      <c r="F15" s="32">
        <f>D15*E15</f>
        <v>0</v>
      </c>
      <c r="G15" s="29"/>
      <c r="H15" s="29"/>
      <c r="I15" s="29"/>
      <c r="J15" s="29"/>
      <c r="K15" s="29"/>
      <c r="L15" s="29"/>
      <c r="M15" s="29"/>
      <c r="N15" s="29"/>
      <c r="O15" s="29"/>
      <c r="P15" s="29"/>
      <c r="Q15" s="29"/>
      <c r="R15" s="29"/>
      <c r="S15" s="43"/>
      <c r="T15" s="29"/>
      <c r="U15" s="29"/>
      <c r="V15" s="29"/>
      <c r="W15" s="87"/>
    </row>
    <row r="16" spans="1:23" ht="15.75" customHeight="1">
      <c r="A16" s="23">
        <v>8</v>
      </c>
      <c r="B16" s="15"/>
      <c r="C16" s="15" t="s">
        <v>1796</v>
      </c>
      <c r="D16" s="30">
        <v>2.96</v>
      </c>
      <c r="E16" s="33"/>
      <c r="F16" s="30">
        <f>3-0.1-0.012-0.135-0.065-0.1</f>
        <v>2.5880000000000001</v>
      </c>
      <c r="G16" s="29"/>
      <c r="H16" s="29"/>
      <c r="I16" s="29"/>
      <c r="J16" s="29"/>
      <c r="K16" s="29"/>
      <c r="L16" s="29"/>
      <c r="M16" s="29"/>
      <c r="N16" s="29"/>
      <c r="O16" s="29"/>
      <c r="P16" s="29"/>
      <c r="Q16" s="29"/>
      <c r="R16" s="29"/>
      <c r="S16" s="32">
        <f>(D16-0.2)*(F16-0.1)</f>
        <v>6.8668799999999992</v>
      </c>
      <c r="T16" s="29"/>
      <c r="U16" s="29"/>
      <c r="V16" s="29"/>
      <c r="W16" s="87"/>
    </row>
    <row r="17" spans="1:23" ht="15.75" customHeight="1">
      <c r="A17" s="23">
        <v>9</v>
      </c>
      <c r="B17" s="15"/>
      <c r="C17" s="15" t="s">
        <v>1797</v>
      </c>
      <c r="D17" s="32">
        <f>D11-D12-D14-D16</f>
        <v>18.61</v>
      </c>
      <c r="E17" s="29"/>
      <c r="F17" s="15">
        <f>3-0.1-0.012-0.135-0.065-0.1</f>
        <v>2.5880000000000001</v>
      </c>
      <c r="G17" s="15">
        <v>3</v>
      </c>
      <c r="H17" s="15">
        <f>H3</f>
        <v>1</v>
      </c>
      <c r="I17" s="15">
        <v>0</v>
      </c>
      <c r="J17" s="15">
        <v>0</v>
      </c>
      <c r="K17" s="15">
        <v>0</v>
      </c>
      <c r="L17" s="30">
        <v>2.6</v>
      </c>
      <c r="M17" s="30">
        <v>0</v>
      </c>
      <c r="N17" s="30">
        <v>0</v>
      </c>
      <c r="O17" s="30">
        <v>0</v>
      </c>
      <c r="P17" s="30">
        <v>0</v>
      </c>
      <c r="Q17" s="30">
        <f>D15*(0.4-0.1-0.135)+1.1*(0.5-0.1-0.135)+(L7*2+L17)*0.07</f>
        <v>0.98930000000000007</v>
      </c>
      <c r="R17" s="15">
        <v>0</v>
      </c>
      <c r="S17" s="32">
        <f>D17*F17-(G17*$G$7+H17*$H$7+I17*$I$7+J17*$J$7+K17*$K$7+L17*$L$7)-M17*N17-P17*O17+Q17+R17</f>
        <v>34.557308000000006</v>
      </c>
      <c r="T17" s="29"/>
      <c r="U17" s="29"/>
      <c r="V17" s="29"/>
      <c r="W17" s="87"/>
    </row>
    <row r="18" spans="1:23" ht="15.75" customHeight="1">
      <c r="A18" s="23">
        <v>10</v>
      </c>
      <c r="B18" s="34"/>
      <c r="C18" s="34" t="s">
        <v>1798</v>
      </c>
      <c r="D18" s="34"/>
      <c r="E18" s="35">
        <f>E11</f>
        <v>31.5</v>
      </c>
      <c r="F18" s="36"/>
      <c r="G18" s="36"/>
      <c r="H18" s="36"/>
      <c r="I18" s="36"/>
      <c r="J18" s="36"/>
      <c r="K18" s="36"/>
      <c r="L18" s="36"/>
      <c r="M18" s="36"/>
      <c r="N18" s="36"/>
      <c r="O18" s="36"/>
      <c r="P18" s="36"/>
      <c r="Q18" s="36"/>
      <c r="R18" s="36"/>
      <c r="S18" s="35">
        <f>S12+S14+S17</f>
        <v>56.57934800000001</v>
      </c>
      <c r="T18" s="35">
        <f>D11-($G$6*G17+$H$6*H17+$I$6*I17+$J$6*J17+$K$6*K17+L17)</f>
        <v>24.624000000000002</v>
      </c>
      <c r="U18" s="35">
        <f>M17*0.12</f>
        <v>0</v>
      </c>
      <c r="V18" s="35">
        <f>O17*0.7</f>
        <v>0</v>
      </c>
      <c r="W18" s="88">
        <v>0</v>
      </c>
    </row>
    <row r="19" spans="1:23" ht="24.75" customHeight="1">
      <c r="A19" s="37" t="s">
        <v>60</v>
      </c>
      <c r="B19" s="38"/>
      <c r="C19" s="39" t="s">
        <v>1799</v>
      </c>
      <c r="D19" s="38"/>
      <c r="E19" s="38"/>
      <c r="F19" s="38"/>
      <c r="G19" s="40"/>
      <c r="H19" s="40"/>
      <c r="I19" s="40"/>
      <c r="J19" s="40"/>
      <c r="K19" s="40"/>
      <c r="L19" s="40"/>
      <c r="M19" s="40"/>
      <c r="N19" s="40"/>
      <c r="O19" s="40"/>
      <c r="P19" s="40"/>
      <c r="Q19" s="40"/>
      <c r="R19" s="38"/>
      <c r="S19" s="38"/>
      <c r="T19" s="38"/>
      <c r="U19" s="40"/>
      <c r="V19" s="40"/>
      <c r="W19" s="89"/>
    </row>
    <row r="20" spans="1:23" ht="15.75" customHeight="1">
      <c r="A20" s="41">
        <v>1</v>
      </c>
      <c r="B20" s="15" t="s">
        <v>1374</v>
      </c>
      <c r="C20" s="15" t="s">
        <v>1800</v>
      </c>
      <c r="D20" s="30">
        <v>18.53</v>
      </c>
      <c r="E20" s="30">
        <v>19.47</v>
      </c>
      <c r="F20" s="15"/>
      <c r="G20" s="29"/>
      <c r="H20" s="29"/>
      <c r="I20" s="29"/>
      <c r="J20" s="29"/>
      <c r="K20" s="29"/>
      <c r="L20" s="29"/>
      <c r="M20" s="29"/>
      <c r="N20" s="29"/>
      <c r="O20" s="29"/>
      <c r="P20" s="29"/>
      <c r="Q20" s="29"/>
      <c r="R20" s="29"/>
      <c r="S20" s="29"/>
      <c r="T20" s="29"/>
      <c r="U20" s="29"/>
      <c r="V20" s="29"/>
      <c r="W20" s="90"/>
    </row>
    <row r="21" spans="1:23" ht="15.75" customHeight="1">
      <c r="A21" s="41">
        <v>2</v>
      </c>
      <c r="B21" s="15"/>
      <c r="C21" s="15" t="s">
        <v>1794</v>
      </c>
      <c r="D21" s="30">
        <v>2.6</v>
      </c>
      <c r="E21" s="30">
        <v>0.84</v>
      </c>
      <c r="F21" s="15"/>
      <c r="G21" s="29"/>
      <c r="H21" s="29"/>
      <c r="I21" s="29"/>
      <c r="J21" s="29"/>
      <c r="K21" s="29"/>
      <c r="L21" s="29"/>
      <c r="M21" s="29"/>
      <c r="N21" s="29"/>
      <c r="O21" s="29"/>
      <c r="P21" s="29"/>
      <c r="Q21" s="29"/>
      <c r="R21" s="29"/>
      <c r="S21" s="16">
        <f>D21*F21</f>
        <v>0</v>
      </c>
      <c r="T21" s="29"/>
      <c r="U21" s="29"/>
      <c r="V21" s="29"/>
      <c r="W21" s="87"/>
    </row>
    <row r="22" spans="1:23" ht="15.75" customHeight="1">
      <c r="A22" s="41">
        <v>3</v>
      </c>
      <c r="B22" s="15"/>
      <c r="C22" s="15" t="s">
        <v>1801</v>
      </c>
      <c r="D22" s="32">
        <f>D20-D21</f>
        <v>15.930000000000001</v>
      </c>
      <c r="E22" s="32">
        <f>E20-E21</f>
        <v>18.63</v>
      </c>
      <c r="F22" s="15">
        <f>3-0.1-0.012-0.1-0.065-0.1</f>
        <v>2.6229999999999998</v>
      </c>
      <c r="G22" s="30">
        <v>1</v>
      </c>
      <c r="H22" s="15">
        <v>0</v>
      </c>
      <c r="I22" s="29"/>
      <c r="J22" s="29"/>
      <c r="K22" s="29"/>
      <c r="L22" s="30">
        <v>2.6</v>
      </c>
      <c r="M22" s="30">
        <v>0</v>
      </c>
      <c r="N22" s="30">
        <v>0</v>
      </c>
      <c r="O22" s="30">
        <v>0</v>
      </c>
      <c r="P22" s="30">
        <v>0</v>
      </c>
      <c r="Q22" s="30">
        <f>(L12*2+L22)*0.07</f>
        <v>0.18200000000000002</v>
      </c>
      <c r="R22" s="30">
        <v>0</v>
      </c>
      <c r="S22" s="16">
        <f>D22*F22-(G22*$G$7+H22*$H$7+I22*$I$7+J22*$J$7+K22*$K$7+L22*$L$7)-M22*N22-O22*P22+Q22+R22</f>
        <v>33.806022000000006</v>
      </c>
      <c r="T22" s="29"/>
      <c r="U22" s="29"/>
      <c r="V22" s="29"/>
      <c r="W22" s="87"/>
    </row>
    <row r="23" spans="1:23" ht="15.75" customHeight="1">
      <c r="A23" s="41"/>
      <c r="B23" s="15"/>
      <c r="C23" s="15" t="s">
        <v>240</v>
      </c>
      <c r="D23" s="42">
        <v>0</v>
      </c>
      <c r="E23" s="43"/>
      <c r="F23" s="29"/>
      <c r="G23" s="29"/>
      <c r="H23" s="29"/>
      <c r="I23" s="29"/>
      <c r="J23" s="29"/>
      <c r="K23" s="29"/>
      <c r="L23" s="29"/>
      <c r="M23" s="29"/>
      <c r="N23" s="29"/>
      <c r="O23" s="29"/>
      <c r="P23" s="29"/>
      <c r="Q23" s="29"/>
      <c r="R23" s="29"/>
      <c r="S23" s="91"/>
      <c r="T23" s="29"/>
      <c r="U23" s="29"/>
      <c r="V23" s="29"/>
      <c r="W23" s="87"/>
    </row>
    <row r="24" spans="1:23" ht="15.75" customHeight="1">
      <c r="A24" s="41"/>
      <c r="B24" s="15"/>
      <c r="C24" s="44" t="s">
        <v>285</v>
      </c>
      <c r="D24" s="42">
        <v>16.75</v>
      </c>
      <c r="E24" s="43"/>
      <c r="F24" s="29"/>
      <c r="G24" s="29"/>
      <c r="H24" s="29"/>
      <c r="I24" s="29"/>
      <c r="J24" s="29"/>
      <c r="K24" s="29"/>
      <c r="L24" s="29"/>
      <c r="M24" s="29"/>
      <c r="N24" s="29"/>
      <c r="O24" s="29"/>
      <c r="P24" s="29"/>
      <c r="Q24" s="29"/>
      <c r="R24" s="29"/>
      <c r="S24" s="91"/>
      <c r="T24" s="29"/>
      <c r="U24" s="29"/>
      <c r="V24" s="29"/>
      <c r="W24" s="87"/>
    </row>
    <row r="25" spans="1:23" ht="15.75" customHeight="1">
      <c r="A25" s="45">
        <v>4</v>
      </c>
      <c r="B25" s="34" t="s">
        <v>133</v>
      </c>
      <c r="C25" s="34" t="s">
        <v>1802</v>
      </c>
      <c r="D25" s="34"/>
      <c r="E25" s="34">
        <f>E20</f>
        <v>19.47</v>
      </c>
      <c r="F25" s="36"/>
      <c r="G25" s="36"/>
      <c r="H25" s="36"/>
      <c r="I25" s="36"/>
      <c r="J25" s="36"/>
      <c r="K25" s="36"/>
      <c r="L25" s="36"/>
      <c r="M25" s="36"/>
      <c r="N25" s="36"/>
      <c r="O25" s="36"/>
      <c r="P25" s="36"/>
      <c r="Q25" s="36"/>
      <c r="R25" s="36"/>
      <c r="S25" s="35">
        <f>SUM(S21:S22)</f>
        <v>33.806022000000006</v>
      </c>
      <c r="T25" s="35">
        <f>D20-($G$6*G22+$H$6*H22)</f>
        <v>17.536000000000001</v>
      </c>
      <c r="U25" s="35">
        <f>M22*0.12</f>
        <v>0</v>
      </c>
      <c r="V25" s="35">
        <f>O22*0.7</f>
        <v>0</v>
      </c>
      <c r="W25" s="88">
        <v>0</v>
      </c>
    </row>
    <row r="26" spans="1:23" ht="15.75" customHeight="1">
      <c r="A26" s="41">
        <v>5</v>
      </c>
      <c r="B26" s="15" t="s">
        <v>1803</v>
      </c>
      <c r="C26" s="15" t="s">
        <v>1804</v>
      </c>
      <c r="D26" s="30">
        <v>14.63</v>
      </c>
      <c r="E26" s="30">
        <v>13.97</v>
      </c>
      <c r="F26" s="15"/>
      <c r="G26" s="29"/>
      <c r="H26" s="29"/>
      <c r="I26" s="29"/>
      <c r="J26" s="29"/>
      <c r="K26" s="29"/>
      <c r="L26" s="29"/>
      <c r="M26" s="29"/>
      <c r="N26" s="29"/>
      <c r="O26" s="29"/>
      <c r="P26" s="29"/>
      <c r="Q26" s="29"/>
      <c r="R26" s="29"/>
      <c r="S26" s="29"/>
      <c r="T26" s="29"/>
      <c r="U26" s="29"/>
      <c r="V26" s="29"/>
      <c r="W26" s="90"/>
    </row>
    <row r="27" spans="1:23" ht="15.75" customHeight="1">
      <c r="A27" s="41">
        <v>6</v>
      </c>
      <c r="B27" s="15"/>
      <c r="C27" s="15" t="s">
        <v>1794</v>
      </c>
      <c r="D27" s="30">
        <v>0</v>
      </c>
      <c r="E27" s="30">
        <v>0</v>
      </c>
      <c r="F27" s="15"/>
      <c r="G27" s="29"/>
      <c r="H27" s="29"/>
      <c r="I27" s="29"/>
      <c r="J27" s="29"/>
      <c r="K27" s="29"/>
      <c r="L27" s="29"/>
      <c r="M27" s="29"/>
      <c r="N27" s="29"/>
      <c r="O27" s="29"/>
      <c r="P27" s="29"/>
      <c r="Q27" s="29"/>
      <c r="R27" s="29"/>
      <c r="S27" s="16">
        <f>D27*F27</f>
        <v>0</v>
      </c>
      <c r="T27" s="29"/>
      <c r="U27" s="29"/>
      <c r="V27" s="29"/>
      <c r="W27" s="87"/>
    </row>
    <row r="28" spans="1:23" ht="15.75" customHeight="1">
      <c r="A28" s="41">
        <v>7</v>
      </c>
      <c r="B28" s="15"/>
      <c r="C28" s="15" t="s">
        <v>1805</v>
      </c>
      <c r="D28" s="32">
        <f>D26-D27</f>
        <v>14.63</v>
      </c>
      <c r="E28" s="32">
        <f>E26-E27</f>
        <v>13.97</v>
      </c>
      <c r="F28" s="15">
        <f t="shared" ref="F28" si="0">3-0.1-0.012-0.1-0.065-0.1</f>
        <v>2.6229999999999998</v>
      </c>
      <c r="G28" s="30">
        <v>1</v>
      </c>
      <c r="H28" s="15">
        <v>0</v>
      </c>
      <c r="I28" s="29"/>
      <c r="J28" s="29"/>
      <c r="K28" s="29"/>
      <c r="L28" s="30">
        <v>2.6</v>
      </c>
      <c r="M28" s="30">
        <v>0</v>
      </c>
      <c r="N28" s="30">
        <v>0</v>
      </c>
      <c r="O28" s="30">
        <v>0</v>
      </c>
      <c r="P28" s="30">
        <v>0</v>
      </c>
      <c r="Q28" s="30">
        <f>(L18*2+L28)*0.07</f>
        <v>0.18200000000000002</v>
      </c>
      <c r="R28" s="30">
        <v>0</v>
      </c>
      <c r="S28" s="16">
        <f>D28*F28-(G28*$G$7+H28*$H$7+I28*$I$7+J28*$J$7+K28*$K$7+L28*$L$7)-M28*N28-O28*P28+Q28+R28</f>
        <v>30.396122000000002</v>
      </c>
      <c r="T28" s="29"/>
      <c r="U28" s="29"/>
      <c r="V28" s="29"/>
      <c r="W28" s="87"/>
    </row>
    <row r="29" spans="1:23" ht="15.75" customHeight="1">
      <c r="A29" s="41"/>
      <c r="B29" s="15"/>
      <c r="C29" s="44" t="s">
        <v>285</v>
      </c>
      <c r="D29" s="42">
        <v>14.23</v>
      </c>
      <c r="E29" s="43"/>
      <c r="F29" s="29"/>
      <c r="G29" s="29"/>
      <c r="H29" s="29"/>
      <c r="I29" s="29"/>
      <c r="J29" s="29"/>
      <c r="K29" s="29"/>
      <c r="L29" s="29"/>
      <c r="M29" s="29"/>
      <c r="N29" s="29"/>
      <c r="O29" s="29"/>
      <c r="P29" s="29"/>
      <c r="Q29" s="29"/>
      <c r="R29" s="29"/>
      <c r="S29" s="91"/>
      <c r="T29" s="29"/>
      <c r="U29" s="29"/>
      <c r="V29" s="29"/>
      <c r="W29" s="87"/>
    </row>
    <row r="30" spans="1:23" ht="15.75" customHeight="1">
      <c r="A30" s="46">
        <v>8</v>
      </c>
      <c r="B30" s="47" t="s">
        <v>246</v>
      </c>
      <c r="C30" s="34" t="s">
        <v>1806</v>
      </c>
      <c r="D30" s="34"/>
      <c r="E30" s="34">
        <f>E26</f>
        <v>13.97</v>
      </c>
      <c r="F30" s="36"/>
      <c r="G30" s="36"/>
      <c r="H30" s="36"/>
      <c r="I30" s="36"/>
      <c r="J30" s="36"/>
      <c r="K30" s="36"/>
      <c r="L30" s="36"/>
      <c r="M30" s="36"/>
      <c r="N30" s="36"/>
      <c r="O30" s="36"/>
      <c r="P30" s="36"/>
      <c r="Q30" s="36"/>
      <c r="R30" s="36"/>
      <c r="S30" s="35">
        <f>SUM(S27:S28)</f>
        <v>30.396122000000002</v>
      </c>
      <c r="T30" s="35">
        <f>D26-($G$6*G28+$H$6*H28)</f>
        <v>13.636000000000001</v>
      </c>
      <c r="U30" s="35">
        <f>M28*0.12</f>
        <v>0</v>
      </c>
      <c r="V30" s="35">
        <f>O28*0.7</f>
        <v>0</v>
      </c>
      <c r="W30" s="88">
        <v>0</v>
      </c>
    </row>
    <row r="31" spans="1:23" ht="15.75" customHeight="1">
      <c r="A31" s="41">
        <v>9</v>
      </c>
      <c r="B31" s="15" t="s">
        <v>1807</v>
      </c>
      <c r="C31" s="15" t="s">
        <v>1808</v>
      </c>
      <c r="D31" s="30">
        <v>10.5</v>
      </c>
      <c r="E31" s="30">
        <v>6.87</v>
      </c>
      <c r="F31" s="15">
        <f>3-0.1-0.012-0.1-0.065-0.1</f>
        <v>2.6229999999999998</v>
      </c>
      <c r="G31" s="29"/>
      <c r="H31" s="29"/>
      <c r="I31" s="29"/>
      <c r="J31" s="29"/>
      <c r="K31" s="29"/>
      <c r="L31" s="29"/>
      <c r="M31" s="29"/>
      <c r="N31" s="29"/>
      <c r="O31" s="29"/>
      <c r="P31" s="29"/>
      <c r="Q31" s="29"/>
      <c r="R31" s="29"/>
      <c r="S31" s="29"/>
      <c r="T31" s="29"/>
      <c r="U31" s="29"/>
      <c r="V31" s="29"/>
      <c r="W31" s="90"/>
    </row>
    <row r="32" spans="1:23" ht="15.75" customHeight="1">
      <c r="A32" s="41">
        <v>10</v>
      </c>
      <c r="B32" s="15"/>
      <c r="C32" s="15" t="s">
        <v>1794</v>
      </c>
      <c r="D32" s="30">
        <v>0</v>
      </c>
      <c r="E32" s="30">
        <v>0</v>
      </c>
      <c r="F32" s="15">
        <v>0</v>
      </c>
      <c r="G32" s="29"/>
      <c r="H32" s="29"/>
      <c r="I32" s="29"/>
      <c r="J32" s="29"/>
      <c r="K32" s="29"/>
      <c r="L32" s="29"/>
      <c r="M32" s="29"/>
      <c r="N32" s="29"/>
      <c r="O32" s="29"/>
      <c r="P32" s="29"/>
      <c r="Q32" s="29"/>
      <c r="R32" s="29"/>
      <c r="S32" s="16">
        <f>D32*F32</f>
        <v>0</v>
      </c>
      <c r="T32" s="29"/>
      <c r="U32" s="29"/>
      <c r="V32" s="29"/>
      <c r="W32" s="87"/>
    </row>
    <row r="33" spans="1:23" ht="15.75" customHeight="1">
      <c r="A33" s="41">
        <v>11</v>
      </c>
      <c r="B33" s="15"/>
      <c r="C33" s="15" t="s">
        <v>1809</v>
      </c>
      <c r="D33" s="32">
        <f>D31-D32</f>
        <v>10.5</v>
      </c>
      <c r="E33" s="32">
        <f>E31-E32</f>
        <v>6.87</v>
      </c>
      <c r="F33" s="15">
        <f>3-0.1-0.012-0.1-0.065-0.1</f>
        <v>2.6229999999999998</v>
      </c>
      <c r="G33" s="30">
        <v>1</v>
      </c>
      <c r="H33" s="15"/>
      <c r="I33" s="29"/>
      <c r="J33" s="29"/>
      <c r="K33" s="29"/>
      <c r="L33" s="29"/>
      <c r="M33" s="30">
        <v>1.5</v>
      </c>
      <c r="N33" s="30">
        <v>1.44</v>
      </c>
      <c r="O33" s="30">
        <v>0</v>
      </c>
      <c r="P33" s="30">
        <v>0</v>
      </c>
      <c r="Q33" s="30"/>
      <c r="R33" s="30">
        <v>0</v>
      </c>
      <c r="S33" s="16">
        <f>D33*F33-(G33*$G$7+H33*$H$7+I33*$I$7+J33*$J$7+K33*$K$7+L33*$L$7)-M33*N33-O33*P33+Q33+R33</f>
        <v>23.123131999999998</v>
      </c>
      <c r="T33" s="29"/>
      <c r="U33" s="29"/>
      <c r="V33" s="29"/>
      <c r="W33" s="87"/>
    </row>
    <row r="34" spans="1:23" ht="15.75" customHeight="1">
      <c r="A34" s="41"/>
      <c r="B34" s="15"/>
      <c r="C34" s="44" t="s">
        <v>285</v>
      </c>
      <c r="D34" s="42">
        <v>10.3</v>
      </c>
      <c r="E34" s="43"/>
      <c r="F34" s="29"/>
      <c r="G34" s="29"/>
      <c r="H34" s="29"/>
      <c r="I34" s="29"/>
      <c r="J34" s="29"/>
      <c r="K34" s="29"/>
      <c r="L34" s="29"/>
      <c r="M34" s="29"/>
      <c r="N34" s="29"/>
      <c r="O34" s="29"/>
      <c r="P34" s="29"/>
      <c r="Q34" s="29"/>
      <c r="R34" s="29"/>
      <c r="S34" s="91"/>
      <c r="T34" s="29"/>
      <c r="U34" s="29"/>
      <c r="V34" s="29"/>
      <c r="W34" s="87"/>
    </row>
    <row r="35" spans="1:23" ht="15.75" customHeight="1">
      <c r="A35" s="46">
        <v>12</v>
      </c>
      <c r="B35" s="47" t="s">
        <v>136</v>
      </c>
      <c r="C35" s="34" t="s">
        <v>1810</v>
      </c>
      <c r="D35" s="34"/>
      <c r="E35" s="34">
        <f>E31</f>
        <v>6.87</v>
      </c>
      <c r="F35" s="36"/>
      <c r="G35" s="36"/>
      <c r="H35" s="36"/>
      <c r="I35" s="36"/>
      <c r="J35" s="36"/>
      <c r="K35" s="36"/>
      <c r="L35" s="36"/>
      <c r="M35" s="36"/>
      <c r="N35" s="36"/>
      <c r="O35" s="36"/>
      <c r="P35" s="36"/>
      <c r="Q35" s="36"/>
      <c r="R35" s="36"/>
      <c r="S35" s="35">
        <f>SUM(S32:S33)</f>
        <v>23.123131999999998</v>
      </c>
      <c r="T35" s="35">
        <f>D31-($G$6*G33+$H$6*H33)</f>
        <v>9.5060000000000002</v>
      </c>
      <c r="U35" s="35">
        <f>M33*0.12</f>
        <v>0.18</v>
      </c>
      <c r="V35" s="35">
        <f>O33*0.7</f>
        <v>0</v>
      </c>
      <c r="W35" s="88">
        <v>0</v>
      </c>
    </row>
    <row r="36" spans="1:23" ht="15.75" customHeight="1">
      <c r="A36" s="46">
        <v>13</v>
      </c>
      <c r="B36" s="47"/>
      <c r="C36" s="34" t="s">
        <v>1811</v>
      </c>
      <c r="D36" s="47"/>
      <c r="E36" s="35">
        <f>E25+E30+E35</f>
        <v>40.309999999999995</v>
      </c>
      <c r="F36" s="47"/>
      <c r="G36" s="47"/>
      <c r="H36" s="47"/>
      <c r="I36" s="47"/>
      <c r="J36" s="47"/>
      <c r="K36" s="47"/>
      <c r="L36" s="47"/>
      <c r="M36" s="47"/>
      <c r="N36" s="47"/>
      <c r="O36" s="47"/>
      <c r="P36" s="47"/>
      <c r="Q36" s="47"/>
      <c r="R36" s="47"/>
      <c r="S36" s="35">
        <f t="shared" ref="S36" si="1">S25+S30+S35</f>
        <v>87.325276000000002</v>
      </c>
      <c r="T36" s="35">
        <f>T25+T30+T35</f>
        <v>40.678000000000004</v>
      </c>
      <c r="U36" s="35">
        <f>U25+U30+U35</f>
        <v>0.18</v>
      </c>
      <c r="V36" s="35">
        <f>V25+V30+V35</f>
        <v>0</v>
      </c>
      <c r="W36" s="35">
        <f>W25+W30+W35</f>
        <v>0</v>
      </c>
    </row>
    <row r="37" spans="1:23" ht="24.75" customHeight="1">
      <c r="A37" s="37" t="s">
        <v>60</v>
      </c>
      <c r="B37" s="38"/>
      <c r="C37" s="39" t="s">
        <v>1812</v>
      </c>
      <c r="D37" s="38"/>
      <c r="E37" s="38"/>
      <c r="F37" s="38"/>
      <c r="G37" s="40"/>
      <c r="H37" s="40"/>
      <c r="I37" s="40"/>
      <c r="J37" s="40"/>
      <c r="K37" s="40"/>
      <c r="L37" s="40"/>
      <c r="M37" s="40"/>
      <c r="N37" s="40"/>
      <c r="O37" s="40"/>
      <c r="P37" s="40"/>
      <c r="Q37" s="40"/>
      <c r="R37" s="38"/>
      <c r="S37" s="38">
        <v>0</v>
      </c>
      <c r="T37" s="38"/>
      <c r="U37" s="40"/>
      <c r="V37" s="40"/>
      <c r="W37" s="89"/>
    </row>
    <row r="38" spans="1:23" ht="15.75" customHeight="1">
      <c r="A38" s="48">
        <v>7</v>
      </c>
      <c r="B38" s="49"/>
      <c r="C38" s="49" t="s">
        <v>634</v>
      </c>
      <c r="D38" s="32">
        <v>0</v>
      </c>
      <c r="E38" s="32">
        <v>0</v>
      </c>
      <c r="F38" s="49">
        <v>2.73</v>
      </c>
      <c r="G38" s="49">
        <v>1</v>
      </c>
      <c r="H38" s="49"/>
      <c r="I38" s="81"/>
      <c r="J38" s="81"/>
      <c r="K38" s="81"/>
      <c r="L38" s="81"/>
      <c r="M38" s="81"/>
      <c r="N38" s="81"/>
      <c r="O38" s="81"/>
      <c r="P38" s="81"/>
      <c r="Q38" s="81"/>
      <c r="R38" s="81"/>
      <c r="S38" s="32">
        <f>(D38*F38-G7*G38-H7*H38)*S37</f>
        <v>0</v>
      </c>
      <c r="T38" s="43">
        <f>(D38-G6)*S37</f>
        <v>0</v>
      </c>
      <c r="U38" s="81"/>
      <c r="V38" s="81"/>
      <c r="W38" s="92"/>
    </row>
    <row r="39" spans="1:23" ht="33.75" customHeight="1">
      <c r="A39" s="50"/>
      <c r="B39" s="51"/>
      <c r="C39" s="51"/>
      <c r="D39" s="51"/>
      <c r="E39" s="51"/>
      <c r="F39" s="51"/>
      <c r="G39" s="51"/>
      <c r="H39" s="51"/>
      <c r="I39" s="51"/>
      <c r="J39" s="51"/>
      <c r="K39" s="51"/>
      <c r="L39" s="51"/>
      <c r="M39" s="51"/>
      <c r="N39" s="51"/>
      <c r="O39" s="51"/>
      <c r="P39" s="51"/>
      <c r="Q39" s="51"/>
      <c r="R39" s="51"/>
      <c r="S39" s="51"/>
      <c r="T39" s="51"/>
      <c r="U39" s="51"/>
      <c r="V39" s="51"/>
    </row>
    <row r="40" spans="1:23" ht="22.5" customHeight="1">
      <c r="A40" s="994" t="s">
        <v>54</v>
      </c>
      <c r="B40" s="990" t="s">
        <v>1758</v>
      </c>
      <c r="C40" s="990" t="s">
        <v>1767</v>
      </c>
      <c r="D40" s="14" t="s">
        <v>1768</v>
      </c>
      <c r="E40" s="14" t="s">
        <v>1769</v>
      </c>
      <c r="F40" s="998" t="s">
        <v>1813</v>
      </c>
      <c r="G40" s="15" t="s">
        <v>1771</v>
      </c>
      <c r="H40" s="999" t="s">
        <v>1773</v>
      </c>
      <c r="I40" s="999"/>
      <c r="J40" s="999" t="s">
        <v>1774</v>
      </c>
      <c r="K40" s="999"/>
      <c r="L40" s="15" t="s">
        <v>315</v>
      </c>
      <c r="M40" s="15" t="s">
        <v>1814</v>
      </c>
      <c r="N40" s="82" t="s">
        <v>1815</v>
      </c>
      <c r="O40" s="15" t="s">
        <v>1816</v>
      </c>
      <c r="P40" s="15"/>
      <c r="Q40" s="988" t="s">
        <v>1817</v>
      </c>
      <c r="R40" s="988" t="s">
        <v>1818</v>
      </c>
      <c r="S40" s="988" t="s">
        <v>1819</v>
      </c>
      <c r="T40" s="988" t="s">
        <v>1820</v>
      </c>
      <c r="U40" s="52" t="s">
        <v>275</v>
      </c>
      <c r="V40" s="52" t="s">
        <v>335</v>
      </c>
      <c r="W40" s="52" t="s">
        <v>338</v>
      </c>
    </row>
    <row r="41" spans="1:23" ht="24" customHeight="1">
      <c r="A41" s="994"/>
      <c r="B41" s="990"/>
      <c r="C41" s="990"/>
      <c r="D41" s="988" t="s">
        <v>1780</v>
      </c>
      <c r="E41" s="988"/>
      <c r="F41" s="998"/>
      <c r="G41" s="14" t="s">
        <v>1482</v>
      </c>
      <c r="H41" s="15" t="s">
        <v>1821</v>
      </c>
      <c r="I41" s="15" t="s">
        <v>1822</v>
      </c>
      <c r="J41" s="15" t="s">
        <v>1821</v>
      </c>
      <c r="K41" s="15" t="s">
        <v>1822</v>
      </c>
      <c r="L41" s="15" t="s">
        <v>1823</v>
      </c>
      <c r="M41" s="15" t="s">
        <v>1823</v>
      </c>
      <c r="N41" s="15" t="s">
        <v>1823</v>
      </c>
      <c r="O41" s="15" t="s">
        <v>1824</v>
      </c>
      <c r="P41" s="15"/>
      <c r="Q41" s="988"/>
      <c r="R41" s="988"/>
      <c r="S41" s="988"/>
      <c r="T41" s="988"/>
      <c r="U41" s="15" t="s">
        <v>1823</v>
      </c>
      <c r="V41" s="93" t="s">
        <v>336</v>
      </c>
      <c r="W41" s="93" t="s">
        <v>231</v>
      </c>
    </row>
    <row r="42" spans="1:23" ht="24.75" customHeight="1">
      <c r="A42" s="994"/>
      <c r="B42" s="990"/>
      <c r="C42" s="990"/>
      <c r="D42" s="14" t="s">
        <v>235</v>
      </c>
      <c r="E42" s="14" t="s">
        <v>1092</v>
      </c>
      <c r="F42" s="998"/>
      <c r="G42" s="16"/>
      <c r="H42" s="15"/>
      <c r="I42" s="15"/>
      <c r="J42" s="15"/>
      <c r="K42" s="15"/>
      <c r="L42" s="15"/>
      <c r="M42" s="15"/>
      <c r="N42" s="15"/>
      <c r="O42" s="15"/>
      <c r="P42" s="15"/>
      <c r="Q42" s="988"/>
      <c r="R42" s="988"/>
      <c r="S42" s="988"/>
      <c r="T42" s="988"/>
      <c r="U42" s="15"/>
      <c r="V42" s="15"/>
      <c r="W42" s="94"/>
    </row>
    <row r="43" spans="1:23" ht="24" customHeight="1">
      <c r="A43" s="53" t="s">
        <v>62</v>
      </c>
      <c r="B43" s="54"/>
      <c r="C43" s="54" t="s">
        <v>299</v>
      </c>
      <c r="D43" s="54"/>
      <c r="E43" s="54"/>
      <c r="F43" s="54"/>
      <c r="G43" s="54"/>
      <c r="H43" s="54"/>
      <c r="I43" s="54"/>
      <c r="J43" s="54"/>
      <c r="K43" s="54"/>
      <c r="L43" s="54"/>
      <c r="M43" s="54"/>
      <c r="N43" s="54"/>
      <c r="O43" s="54"/>
      <c r="P43" s="54"/>
      <c r="Q43" s="54"/>
      <c r="R43" s="54"/>
      <c r="S43" s="54"/>
      <c r="T43" s="54"/>
      <c r="U43" s="54"/>
      <c r="V43" s="54"/>
      <c r="W43" s="95"/>
    </row>
    <row r="44" spans="1:23" ht="24" customHeight="1">
      <c r="A44" s="55">
        <v>1</v>
      </c>
      <c r="B44" s="56"/>
      <c r="C44" s="56" t="s">
        <v>1825</v>
      </c>
      <c r="D44" s="30">
        <v>4.8899999999999997</v>
      </c>
      <c r="E44" s="30">
        <v>4</v>
      </c>
      <c r="F44" s="30">
        <f>2.38+0.02</f>
        <v>2.4</v>
      </c>
      <c r="G44" s="30">
        <v>1</v>
      </c>
      <c r="H44" s="30">
        <v>0</v>
      </c>
      <c r="I44" s="30">
        <v>0</v>
      </c>
      <c r="J44" s="30">
        <v>0</v>
      </c>
      <c r="K44" s="30">
        <v>0</v>
      </c>
      <c r="L44" s="30">
        <v>0.55000000000000004</v>
      </c>
      <c r="M44" s="30">
        <v>0.85</v>
      </c>
      <c r="N44" s="30">
        <v>0</v>
      </c>
      <c r="O44" s="30">
        <v>1.64</v>
      </c>
      <c r="P44" s="30"/>
      <c r="Q44" s="56"/>
      <c r="R44" s="96">
        <f>D44*1.8+D45*1.8-$H$6*G44*1.8-(1.8-0.9)*H44+(H44+(1.8-0.9)*2)*0.1</f>
        <v>13.348799999999999</v>
      </c>
      <c r="S44" s="96">
        <f>D44*F44+D45*F45-$H$7*G44-H44*I44+(H44+I44)*2*0.1</f>
        <v>17.339431999999999</v>
      </c>
      <c r="T44" s="96">
        <f>E44+(D44+D45-$H$6)*0.15</f>
        <v>5.0974000000000004</v>
      </c>
      <c r="U44" s="56"/>
      <c r="V44" s="56">
        <f>0.06*0.25*2.35</f>
        <v>3.5249999999999997E-2</v>
      </c>
      <c r="W44" s="98">
        <f>(0.06+0.25*2)*2.35</f>
        <v>1.3160000000000003</v>
      </c>
    </row>
    <row r="45" spans="1:23" ht="24" customHeight="1">
      <c r="A45" s="55"/>
      <c r="B45" s="56"/>
      <c r="C45" s="56"/>
      <c r="D45" s="30">
        <v>3.27</v>
      </c>
      <c r="E45" s="30"/>
      <c r="F45" s="30">
        <f>2.28+0.02</f>
        <v>2.2999999999999998</v>
      </c>
      <c r="G45" s="30"/>
      <c r="H45" s="30"/>
      <c r="I45" s="30"/>
      <c r="J45" s="30"/>
      <c r="K45" s="30"/>
      <c r="L45" s="30"/>
      <c r="M45" s="30"/>
      <c r="N45" s="30"/>
      <c r="O45" s="30"/>
      <c r="P45" s="30"/>
      <c r="Q45" s="56"/>
      <c r="R45" s="96"/>
      <c r="S45" s="96"/>
      <c r="T45" s="96"/>
      <c r="U45" s="56"/>
      <c r="V45" s="56"/>
      <c r="W45" s="98"/>
    </row>
    <row r="46" spans="1:23" ht="24" customHeight="1">
      <c r="A46" s="55">
        <v>2</v>
      </c>
      <c r="B46" s="56"/>
      <c r="C46" s="56" t="s">
        <v>1826</v>
      </c>
      <c r="D46" s="30"/>
      <c r="E46" s="30"/>
      <c r="F46" s="30"/>
      <c r="G46" s="30"/>
      <c r="H46" s="30"/>
      <c r="I46" s="30"/>
      <c r="J46" s="30"/>
      <c r="K46" s="30"/>
      <c r="L46" s="30"/>
      <c r="M46" s="30"/>
      <c r="N46" s="30"/>
      <c r="O46" s="30"/>
      <c r="P46" s="30"/>
      <c r="Q46" s="56"/>
      <c r="R46" s="96">
        <f>(D46*1.8-$H$6*G46*1.8-(1.8-0.9)*H46+(H46+(1.8-0.9)*2)*0.1)*$J$3</f>
        <v>0</v>
      </c>
      <c r="S46" s="96">
        <f>D46*F46-$H$7*G46-H46*I46+(H46+I46)*2*0.1</f>
        <v>0</v>
      </c>
      <c r="T46" s="96">
        <f>(E46+(D46-$H$6)*0.15)*$J$3</f>
        <v>0</v>
      </c>
      <c r="U46" s="56"/>
      <c r="V46" s="56"/>
      <c r="W46" s="98"/>
    </row>
    <row r="47" spans="1:23" ht="24" customHeight="1">
      <c r="A47" s="55"/>
      <c r="B47" s="56"/>
      <c r="C47" s="56"/>
      <c r="D47" s="30"/>
      <c r="E47" s="30"/>
      <c r="F47" s="30"/>
      <c r="G47" s="30"/>
      <c r="H47" s="30"/>
      <c r="I47" s="30"/>
      <c r="J47" s="30"/>
      <c r="K47" s="30"/>
      <c r="L47" s="30"/>
      <c r="M47" s="30"/>
      <c r="N47" s="30"/>
      <c r="O47" s="30"/>
      <c r="P47" s="30"/>
      <c r="Q47" s="56"/>
      <c r="R47" s="96"/>
      <c r="S47" s="96"/>
      <c r="T47" s="96"/>
      <c r="U47" s="56"/>
      <c r="V47" s="56"/>
      <c r="W47" s="98"/>
    </row>
    <row r="48" spans="1:23" ht="24" customHeight="1">
      <c r="A48" s="46">
        <v>3</v>
      </c>
      <c r="B48" s="47"/>
      <c r="C48" s="34" t="s">
        <v>1827</v>
      </c>
      <c r="D48" s="47"/>
      <c r="E48" s="35">
        <f>E44+E46+E45+E47</f>
        <v>4</v>
      </c>
      <c r="F48" s="35"/>
      <c r="G48" s="35"/>
      <c r="H48" s="35"/>
      <c r="I48" s="35"/>
      <c r="J48" s="35"/>
      <c r="K48" s="35"/>
      <c r="L48" s="35">
        <f t="shared" ref="L48" si="2">SUM(L44:L46)</f>
        <v>0.55000000000000004</v>
      </c>
      <c r="M48" s="35">
        <f t="shared" ref="M48:W48" si="3">SUM(M44:M46)</f>
        <v>0.85</v>
      </c>
      <c r="N48" s="35">
        <f t="shared" si="3"/>
        <v>0</v>
      </c>
      <c r="O48" s="35">
        <f t="shared" si="3"/>
        <v>1.64</v>
      </c>
      <c r="P48" s="35">
        <f t="shared" si="3"/>
        <v>0</v>
      </c>
      <c r="Q48" s="35">
        <f t="shared" si="3"/>
        <v>0</v>
      </c>
      <c r="R48" s="35">
        <f t="shared" si="3"/>
        <v>13.348799999999999</v>
      </c>
      <c r="S48" s="35">
        <f t="shared" si="3"/>
        <v>17.339431999999999</v>
      </c>
      <c r="T48" s="35">
        <f t="shared" si="3"/>
        <v>5.0974000000000004</v>
      </c>
      <c r="U48" s="35">
        <f t="shared" si="3"/>
        <v>0</v>
      </c>
      <c r="V48" s="35">
        <f t="shared" si="3"/>
        <v>3.5249999999999997E-2</v>
      </c>
      <c r="W48" s="35">
        <f t="shared" si="3"/>
        <v>1.3160000000000003</v>
      </c>
    </row>
    <row r="49" spans="1:23" ht="24" customHeight="1">
      <c r="A49" s="57"/>
      <c r="B49" s="58"/>
      <c r="C49" s="59"/>
      <c r="D49" s="58"/>
      <c r="E49" s="60"/>
      <c r="F49" s="60"/>
      <c r="G49" s="60"/>
      <c r="H49" s="60"/>
      <c r="I49" s="60"/>
      <c r="J49" s="60"/>
      <c r="K49" s="60"/>
      <c r="L49" s="60"/>
      <c r="M49" s="60"/>
      <c r="N49" s="60"/>
      <c r="O49" s="60"/>
      <c r="P49" s="60"/>
      <c r="Q49" s="60"/>
      <c r="R49" s="60"/>
      <c r="S49" s="60"/>
      <c r="T49" s="60"/>
      <c r="U49" s="60"/>
      <c r="V49" s="60"/>
      <c r="W49" s="99"/>
    </row>
    <row r="50" spans="1:23" ht="30" customHeight="1">
      <c r="A50" s="994" t="s">
        <v>54</v>
      </c>
      <c r="B50" s="990" t="s">
        <v>1758</v>
      </c>
      <c r="C50" s="990" t="s">
        <v>1767</v>
      </c>
      <c r="D50" s="14" t="s">
        <v>1768</v>
      </c>
      <c r="E50" s="14" t="s">
        <v>1769</v>
      </c>
      <c r="F50" s="998" t="s">
        <v>1813</v>
      </c>
      <c r="G50" s="61" t="s">
        <v>1771</v>
      </c>
      <c r="H50" s="62"/>
      <c r="I50" s="996" t="s">
        <v>1828</v>
      </c>
      <c r="J50" s="997"/>
      <c r="K50" s="988" t="s">
        <v>1829</v>
      </c>
      <c r="L50" s="988"/>
      <c r="M50" s="1003" t="s">
        <v>375</v>
      </c>
      <c r="N50" s="988" t="s">
        <v>1818</v>
      </c>
      <c r="O50" s="988" t="s">
        <v>1819</v>
      </c>
      <c r="P50" s="988" t="s">
        <v>1830</v>
      </c>
      <c r="Q50" s="988" t="s">
        <v>1831</v>
      </c>
      <c r="R50" s="988" t="s">
        <v>1832</v>
      </c>
      <c r="S50" s="102" t="s">
        <v>1418</v>
      </c>
      <c r="T50" s="102" t="s">
        <v>1482</v>
      </c>
      <c r="U50" s="15"/>
      <c r="V50" s="15"/>
      <c r="W50" s="82"/>
    </row>
    <row r="51" spans="1:23" ht="35.25" customHeight="1">
      <c r="A51" s="994"/>
      <c r="B51" s="990"/>
      <c r="C51" s="990"/>
      <c r="D51" s="988" t="s">
        <v>1780</v>
      </c>
      <c r="E51" s="988"/>
      <c r="F51" s="998"/>
      <c r="G51" s="14" t="s">
        <v>1782</v>
      </c>
      <c r="H51" s="14" t="s">
        <v>1783</v>
      </c>
      <c r="I51" s="14" t="s">
        <v>1833</v>
      </c>
      <c r="J51" s="15" t="s">
        <v>1834</v>
      </c>
      <c r="K51" s="14" t="s">
        <v>1833</v>
      </c>
      <c r="L51" s="15" t="s">
        <v>1834</v>
      </c>
      <c r="M51" s="1004"/>
      <c r="N51" s="988"/>
      <c r="O51" s="988"/>
      <c r="P51" s="988"/>
      <c r="Q51" s="988"/>
      <c r="R51" s="988"/>
      <c r="S51" s="16">
        <v>1.1599999999999999</v>
      </c>
      <c r="T51" s="16">
        <v>0.79</v>
      </c>
      <c r="U51" s="15"/>
      <c r="V51" s="15"/>
      <c r="W51" s="15"/>
    </row>
    <row r="52" spans="1:23" ht="24.75" customHeight="1">
      <c r="A52" s="994"/>
      <c r="B52" s="990"/>
      <c r="C52" s="990"/>
      <c r="D52" s="14" t="s">
        <v>235</v>
      </c>
      <c r="E52" s="14" t="s">
        <v>1092</v>
      </c>
      <c r="F52" s="998"/>
      <c r="G52" s="16"/>
      <c r="H52" s="15"/>
      <c r="I52" s="15" t="s">
        <v>1823</v>
      </c>
      <c r="J52" s="15" t="s">
        <v>1823</v>
      </c>
      <c r="K52" s="15" t="s">
        <v>1823</v>
      </c>
      <c r="L52" s="15" t="s">
        <v>1823</v>
      </c>
      <c r="M52" s="17" t="s">
        <v>1092</v>
      </c>
      <c r="N52" s="988"/>
      <c r="O52" s="988"/>
      <c r="P52" s="15" t="s">
        <v>1835</v>
      </c>
      <c r="Q52" s="15" t="s">
        <v>1835</v>
      </c>
      <c r="R52" s="15" t="s">
        <v>1835</v>
      </c>
      <c r="S52" s="18">
        <f>1.16*2.18</f>
        <v>2.5287999999999999</v>
      </c>
      <c r="T52" s="18">
        <f>0.79*2.17</f>
        <v>1.7142999999999999</v>
      </c>
      <c r="U52" s="15"/>
      <c r="V52" s="15"/>
      <c r="W52" s="94"/>
    </row>
    <row r="53" spans="1:23" ht="24" customHeight="1">
      <c r="A53" s="53" t="s">
        <v>64</v>
      </c>
      <c r="B53" s="54"/>
      <c r="C53" s="54" t="s">
        <v>1354</v>
      </c>
      <c r="D53" s="54"/>
      <c r="E53" s="54"/>
      <c r="F53" s="54"/>
      <c r="G53" s="54"/>
      <c r="H53" s="54"/>
      <c r="I53" s="54"/>
      <c r="J53" s="54"/>
      <c r="K53" s="54"/>
      <c r="L53" s="54"/>
      <c r="M53" s="54"/>
      <c r="N53" s="54"/>
      <c r="O53" s="54"/>
      <c r="P53" s="54"/>
      <c r="Q53" s="54"/>
      <c r="R53" s="54"/>
      <c r="S53" s="54"/>
      <c r="T53" s="54"/>
      <c r="U53" s="54"/>
      <c r="V53" s="54"/>
      <c r="W53" s="95"/>
    </row>
    <row r="54" spans="1:23" ht="19.5" customHeight="1">
      <c r="A54" s="63" t="s">
        <v>1836</v>
      </c>
      <c r="B54" s="64" t="s">
        <v>133</v>
      </c>
      <c r="C54" s="64" t="s">
        <v>1837</v>
      </c>
      <c r="D54" s="65">
        <v>8.5</v>
      </c>
      <c r="E54" s="65">
        <v>9.15</v>
      </c>
      <c r="F54" s="65">
        <f>2.38</f>
        <v>2.38</v>
      </c>
      <c r="G54" s="65">
        <v>0</v>
      </c>
      <c r="H54" s="65">
        <v>0</v>
      </c>
      <c r="I54" s="65">
        <v>0</v>
      </c>
      <c r="J54" s="65">
        <v>0</v>
      </c>
      <c r="K54" s="65">
        <v>0</v>
      </c>
      <c r="L54" s="65">
        <v>0</v>
      </c>
      <c r="M54" s="65">
        <f>(0.95+1.68+0.93)*0.82</f>
        <v>2.9192</v>
      </c>
      <c r="N54" s="83">
        <f>(D54-I6*G54-J6*H54-I54-K54-S51*S54-T51*T54)*1</f>
        <v>7.34</v>
      </c>
      <c r="O54" s="84">
        <f>D54*F54-I7*G54-J7*H54-I54*2.24-J54*1.19-K54*2.24-L54*1.32-M54+(2.24+I54+J54+1.19+J54)*0.1*P54+(2.24*2+K54)*0.1*Q54+(1.32*2+L54*2)*0.1*R54-S52*S54-T52*T54</f>
        <v>15.045999999999999</v>
      </c>
      <c r="P54" s="64">
        <v>0</v>
      </c>
      <c r="Q54" s="64">
        <v>0</v>
      </c>
      <c r="R54" s="64">
        <v>1</v>
      </c>
      <c r="S54" s="64">
        <v>1</v>
      </c>
      <c r="T54" s="64">
        <v>0</v>
      </c>
      <c r="U54" s="64"/>
      <c r="V54" s="64"/>
      <c r="W54" s="100"/>
    </row>
    <row r="55" spans="1:23" ht="30" customHeight="1">
      <c r="A55" s="41"/>
      <c r="B55" s="15"/>
      <c r="C55" s="52" t="s">
        <v>1838</v>
      </c>
      <c r="D55" s="15"/>
      <c r="E55" s="30">
        <v>1.87</v>
      </c>
      <c r="F55" s="15"/>
      <c r="G55" s="15"/>
      <c r="H55" s="15"/>
      <c r="I55" s="15"/>
      <c r="J55" s="15"/>
      <c r="K55" s="15"/>
      <c r="L55" s="15"/>
      <c r="M55" s="15"/>
      <c r="N55" s="15"/>
      <c r="O55" s="15"/>
      <c r="P55" s="15"/>
      <c r="Q55" s="15"/>
      <c r="R55" s="15"/>
      <c r="S55" s="15"/>
      <c r="T55" s="15"/>
      <c r="U55" s="15"/>
      <c r="V55" s="15"/>
      <c r="W55" s="101"/>
    </row>
    <row r="56" spans="1:23" ht="22.5" customHeight="1">
      <c r="A56" s="66"/>
      <c r="B56" s="67"/>
      <c r="C56" s="68" t="s">
        <v>1839</v>
      </c>
      <c r="D56" s="67"/>
      <c r="E56" s="69">
        <f>E54-E55</f>
        <v>7.28</v>
      </c>
      <c r="F56" s="70"/>
      <c r="G56" s="70"/>
      <c r="H56" s="70"/>
      <c r="I56" s="70"/>
      <c r="J56" s="70"/>
      <c r="K56" s="70"/>
      <c r="L56" s="70"/>
      <c r="M56" s="70"/>
      <c r="N56" s="70"/>
      <c r="O56" s="70"/>
      <c r="P56" s="70"/>
      <c r="Q56" s="70"/>
      <c r="R56" s="70"/>
      <c r="S56" s="70"/>
      <c r="T56" s="67"/>
      <c r="U56" s="67"/>
      <c r="V56" s="67"/>
      <c r="W56" s="67"/>
    </row>
    <row r="57" spans="1:23" ht="22.5" customHeight="1">
      <c r="A57" s="71"/>
      <c r="B57" s="72"/>
      <c r="C57" s="73"/>
      <c r="D57" s="72"/>
      <c r="E57" s="74"/>
      <c r="F57" s="75"/>
      <c r="G57" s="76"/>
      <c r="H57" s="77"/>
      <c r="I57" s="76"/>
      <c r="J57" s="77"/>
      <c r="K57" s="75"/>
      <c r="L57" s="75"/>
      <c r="M57" s="75"/>
      <c r="N57" s="75"/>
      <c r="O57" s="75"/>
      <c r="P57" s="75"/>
      <c r="Q57" s="75"/>
      <c r="R57" s="75"/>
      <c r="S57" s="75"/>
      <c r="T57" s="72"/>
      <c r="U57" s="72"/>
      <c r="V57" s="72"/>
      <c r="W57" s="72"/>
    </row>
    <row r="58" spans="1:23" ht="19.5" customHeight="1">
      <c r="A58" s="3" t="s">
        <v>1840</v>
      </c>
      <c r="E58" s="4"/>
      <c r="F58" s="4"/>
      <c r="G58" s="4"/>
      <c r="H58" s="4"/>
      <c r="I58" s="4"/>
      <c r="J58" s="4"/>
      <c r="K58" s="4"/>
      <c r="L58" s="4"/>
      <c r="M58" s="4"/>
      <c r="N58" s="4"/>
      <c r="O58" s="4"/>
      <c r="P58" s="4"/>
      <c r="Q58" s="4"/>
      <c r="R58" s="4"/>
      <c r="S58" s="4"/>
    </row>
    <row r="59" spans="1:23" ht="19.5" customHeight="1">
      <c r="A59" s="3"/>
      <c r="E59" s="4"/>
      <c r="F59" s="4"/>
      <c r="G59" s="4"/>
      <c r="H59" s="4"/>
      <c r="I59" s="4"/>
      <c r="J59" s="4"/>
      <c r="K59" s="4"/>
      <c r="L59" s="4"/>
      <c r="M59" s="4"/>
      <c r="N59" s="4"/>
      <c r="O59" s="4"/>
      <c r="P59" s="4"/>
      <c r="Q59" s="4"/>
      <c r="R59" s="4"/>
      <c r="S59" s="4"/>
    </row>
  </sheetData>
  <mergeCells count="38">
    <mergeCell ref="T4:T7"/>
    <mergeCell ref="T40:T42"/>
    <mergeCell ref="W4:W7"/>
    <mergeCell ref="M4:N5"/>
    <mergeCell ref="O4:P5"/>
    <mergeCell ref="U4:V5"/>
    <mergeCell ref="R4:R7"/>
    <mergeCell ref="R40:R42"/>
    <mergeCell ref="R50:R51"/>
    <mergeCell ref="S4:S7"/>
    <mergeCell ref="S40:S42"/>
    <mergeCell ref="M50:M51"/>
    <mergeCell ref="N50:N52"/>
    <mergeCell ref="O50:O52"/>
    <mergeCell ref="P50:P51"/>
    <mergeCell ref="Q4:Q7"/>
    <mergeCell ref="Q40:Q42"/>
    <mergeCell ref="Q50:Q51"/>
    <mergeCell ref="C4:C7"/>
    <mergeCell ref="C40:C42"/>
    <mergeCell ref="C50:C52"/>
    <mergeCell ref="D5:E5"/>
    <mergeCell ref="F4:F7"/>
    <mergeCell ref="F40:F42"/>
    <mergeCell ref="F50:F52"/>
    <mergeCell ref="D51:E51"/>
    <mergeCell ref="A4:A7"/>
    <mergeCell ref="A40:A42"/>
    <mergeCell ref="A50:A52"/>
    <mergeCell ref="B4:B7"/>
    <mergeCell ref="B40:B42"/>
    <mergeCell ref="B50:B52"/>
    <mergeCell ref="G4:K4"/>
    <mergeCell ref="H40:I40"/>
    <mergeCell ref="J40:K40"/>
    <mergeCell ref="D41:E41"/>
    <mergeCell ref="I50:J50"/>
    <mergeCell ref="K50:L50"/>
  </mergeCells>
  <phoneticPr fontId="7" type="noConversion"/>
  <printOptions horizontalCentered="1"/>
  <pageMargins left="0.43307086614173229" right="0.23622047244094491" top="0.74803149606299213" bottom="0.74803149606299213" header="0.31496062992125984" footer="0.31496062992125984"/>
  <pageSetup paperSize="9" scale="85" orientation="portrait" blackAndWhite="1" r:id="rId1"/>
  <headerFooter alignWithMargins="0">
    <oddFooter>&amp;C第 &amp;P 页，共 &amp;N 页</oddFooter>
  </headerFooter>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indexed="60"/>
  </sheetPr>
  <dimension ref="A1:W59"/>
  <sheetViews>
    <sheetView workbookViewId="0">
      <pane xSplit="5" ySplit="7" topLeftCell="F17" activePane="bottomRight" state="frozen"/>
      <selection activeCell="J6" sqref="J6"/>
      <selection pane="topRight" activeCell="J6" sqref="J6"/>
      <selection pane="bottomLeft" activeCell="J6" sqref="J6"/>
      <selection pane="bottomRight" activeCell="J6" sqref="J6"/>
    </sheetView>
  </sheetViews>
  <sheetFormatPr defaultColWidth="9.125" defaultRowHeight="14.25"/>
  <cols>
    <col min="1" max="1" width="6.875" customWidth="1"/>
    <col min="2" max="2" width="11.75" customWidth="1"/>
    <col min="3" max="3" width="28" customWidth="1"/>
    <col min="4" max="4" width="9.25" customWidth="1"/>
    <col min="5" max="5" width="11.75" customWidth="1"/>
    <col min="6" max="11" width="9.25" customWidth="1"/>
    <col min="12" max="12" width="10.25" customWidth="1"/>
    <col min="13" max="18" width="9.25" customWidth="1"/>
    <col min="19" max="19" width="9.75" customWidth="1"/>
    <col min="20" max="21" width="9.25" customWidth="1"/>
    <col min="22" max="22" width="9.375" customWidth="1"/>
  </cols>
  <sheetData>
    <row r="1" spans="1:23" ht="21" customHeight="1">
      <c r="A1" s="3"/>
      <c r="C1" s="1" t="s">
        <v>1755</v>
      </c>
      <c r="E1" s="4"/>
      <c r="F1" s="4"/>
      <c r="G1" s="4"/>
      <c r="H1" s="4"/>
      <c r="I1" s="4"/>
      <c r="J1" s="4"/>
      <c r="K1" s="4"/>
      <c r="L1" s="4"/>
      <c r="M1" s="4"/>
      <c r="N1" s="4"/>
      <c r="O1" s="4"/>
      <c r="P1" s="4"/>
      <c r="Q1" s="4"/>
      <c r="R1" s="4"/>
      <c r="S1" s="4"/>
    </row>
    <row r="2" spans="1:23" ht="21" customHeight="1">
      <c r="A2" s="5" t="s">
        <v>1756</v>
      </c>
      <c r="B2" s="6" t="s">
        <v>131</v>
      </c>
      <c r="C2" s="7"/>
      <c r="D2" s="8" t="s">
        <v>1758</v>
      </c>
      <c r="E2" s="6" t="s">
        <v>1842</v>
      </c>
      <c r="F2" s="9"/>
      <c r="G2" s="8" t="s">
        <v>1760</v>
      </c>
      <c r="H2" s="6">
        <v>2</v>
      </c>
      <c r="I2" s="9" t="s">
        <v>1761</v>
      </c>
      <c r="J2" s="9"/>
      <c r="K2" s="9"/>
      <c r="L2" s="9"/>
      <c r="M2" s="9"/>
      <c r="N2" s="9"/>
      <c r="O2" s="9"/>
      <c r="P2" s="9"/>
      <c r="Q2" s="9"/>
      <c r="R2" s="9"/>
      <c r="S2" s="9"/>
    </row>
    <row r="3" spans="1:23" ht="21" customHeight="1">
      <c r="A3" s="10" t="s">
        <v>120</v>
      </c>
      <c r="B3" s="11" t="s">
        <v>246</v>
      </c>
      <c r="C3" s="7"/>
      <c r="D3" s="7"/>
      <c r="F3" s="9"/>
      <c r="G3" s="12" t="s">
        <v>1763</v>
      </c>
      <c r="H3" s="11">
        <v>1</v>
      </c>
      <c r="I3" s="9" t="s">
        <v>1764</v>
      </c>
      <c r="J3" s="9">
        <v>0</v>
      </c>
      <c r="K3" s="9" t="s">
        <v>1765</v>
      </c>
      <c r="L3" s="9">
        <v>0</v>
      </c>
      <c r="M3" s="9"/>
      <c r="N3" s="9"/>
      <c r="O3" s="9"/>
      <c r="P3" s="9"/>
      <c r="Q3" s="9"/>
      <c r="R3" s="9"/>
      <c r="S3" s="9"/>
    </row>
    <row r="4" spans="1:23" ht="35.25" customHeight="1">
      <c r="A4" s="991" t="s">
        <v>54</v>
      </c>
      <c r="B4" s="987" t="s">
        <v>1766</v>
      </c>
      <c r="C4" s="987" t="s">
        <v>1767</v>
      </c>
      <c r="D4" s="13" t="s">
        <v>1768</v>
      </c>
      <c r="E4" s="13" t="s">
        <v>1769</v>
      </c>
      <c r="F4" s="987" t="s">
        <v>1770</v>
      </c>
      <c r="G4" s="987" t="s">
        <v>1771</v>
      </c>
      <c r="H4" s="987"/>
      <c r="I4" s="987"/>
      <c r="J4" s="987"/>
      <c r="K4" s="987"/>
      <c r="L4" s="78" t="s">
        <v>1772</v>
      </c>
      <c r="M4" s="987" t="s">
        <v>1773</v>
      </c>
      <c r="N4" s="987"/>
      <c r="O4" s="987" t="s">
        <v>1774</v>
      </c>
      <c r="P4" s="987"/>
      <c r="Q4" s="987" t="s">
        <v>1775</v>
      </c>
      <c r="R4" s="987" t="s">
        <v>1776</v>
      </c>
      <c r="S4" s="987" t="s">
        <v>1777</v>
      </c>
      <c r="T4" s="987" t="s">
        <v>1778</v>
      </c>
      <c r="U4" s="987" t="s">
        <v>1574</v>
      </c>
      <c r="V4" s="987"/>
      <c r="W4" s="1000" t="s">
        <v>1779</v>
      </c>
    </row>
    <row r="5" spans="1:23" ht="24" customHeight="1">
      <c r="A5" s="992"/>
      <c r="B5" s="988"/>
      <c r="C5" s="988"/>
      <c r="D5" s="988" t="s">
        <v>1780</v>
      </c>
      <c r="E5" s="988"/>
      <c r="F5" s="988"/>
      <c r="G5" s="14" t="s">
        <v>1781</v>
      </c>
      <c r="H5" s="14" t="s">
        <v>1482</v>
      </c>
      <c r="I5" s="14" t="s">
        <v>1782</v>
      </c>
      <c r="J5" s="14" t="s">
        <v>1783</v>
      </c>
      <c r="K5" s="14" t="s">
        <v>1418</v>
      </c>
      <c r="L5" s="14" t="s">
        <v>1784</v>
      </c>
      <c r="M5" s="988"/>
      <c r="N5" s="988"/>
      <c r="O5" s="988"/>
      <c r="P5" s="988"/>
      <c r="Q5" s="988"/>
      <c r="R5" s="988"/>
      <c r="S5" s="988"/>
      <c r="T5" s="988"/>
      <c r="U5" s="988"/>
      <c r="V5" s="988"/>
      <c r="W5" s="1001"/>
    </row>
    <row r="6" spans="1:23" ht="27" customHeight="1">
      <c r="A6" s="992"/>
      <c r="B6" s="988"/>
      <c r="C6" s="988"/>
      <c r="D6" s="14"/>
      <c r="E6" s="15"/>
      <c r="F6" s="988"/>
      <c r="G6" s="16">
        <v>0.99399999999999999</v>
      </c>
      <c r="H6" s="16">
        <v>0.84399999999999997</v>
      </c>
      <c r="I6" s="16">
        <v>0.9</v>
      </c>
      <c r="J6" s="16">
        <v>1.65</v>
      </c>
      <c r="K6" s="16">
        <v>1.1599999999999999</v>
      </c>
      <c r="L6" s="79"/>
      <c r="M6" s="14" t="s">
        <v>1785</v>
      </c>
      <c r="N6" s="15" t="s">
        <v>1786</v>
      </c>
      <c r="O6" s="14" t="s">
        <v>1785</v>
      </c>
      <c r="P6" s="15" t="s">
        <v>1786</v>
      </c>
      <c r="Q6" s="988"/>
      <c r="R6" s="988"/>
      <c r="S6" s="988"/>
      <c r="T6" s="988"/>
      <c r="U6" s="14" t="s">
        <v>1787</v>
      </c>
      <c r="V6" s="14" t="s">
        <v>1788</v>
      </c>
      <c r="W6" s="1001"/>
    </row>
    <row r="7" spans="1:23" ht="24.75" customHeight="1">
      <c r="A7" s="993"/>
      <c r="B7" s="989"/>
      <c r="C7" s="989"/>
      <c r="D7" s="17" t="s">
        <v>235</v>
      </c>
      <c r="E7" s="17" t="s">
        <v>1092</v>
      </c>
      <c r="F7" s="989"/>
      <c r="G7" s="18">
        <f>0.994*2.272</f>
        <v>2.2583679999999999</v>
      </c>
      <c r="H7" s="18">
        <f>0.844*2.272</f>
        <v>1.9175679999999997</v>
      </c>
      <c r="I7" s="18">
        <f>0.9*2.19</f>
        <v>1.9710000000000001</v>
      </c>
      <c r="J7" s="18">
        <f>1.65*2.14</f>
        <v>3.5310000000000001</v>
      </c>
      <c r="K7" s="18">
        <f>1.16*2.18</f>
        <v>2.5287999999999999</v>
      </c>
      <c r="L7" s="18">
        <v>2.27</v>
      </c>
      <c r="M7" s="80"/>
      <c r="N7" s="80"/>
      <c r="O7" s="80"/>
      <c r="P7" s="80"/>
      <c r="Q7" s="995"/>
      <c r="R7" s="989"/>
      <c r="S7" s="989"/>
      <c r="T7" s="989"/>
      <c r="U7" s="80" t="s">
        <v>1789</v>
      </c>
      <c r="V7" s="80" t="s">
        <v>1790</v>
      </c>
      <c r="W7" s="1002"/>
    </row>
    <row r="8" spans="1:23" ht="24.75" customHeight="1">
      <c r="A8" s="19" t="s">
        <v>58</v>
      </c>
      <c r="B8" s="20"/>
      <c r="C8" s="21" t="s">
        <v>1406</v>
      </c>
      <c r="D8" s="20"/>
      <c r="E8" s="20"/>
      <c r="F8" s="20"/>
      <c r="G8" s="22"/>
      <c r="H8" s="22"/>
      <c r="I8" s="22"/>
      <c r="J8" s="22"/>
      <c r="K8" s="22"/>
      <c r="L8" s="22"/>
      <c r="M8" s="22"/>
      <c r="N8" s="22"/>
      <c r="O8" s="22"/>
      <c r="P8" s="22"/>
      <c r="Q8" s="22"/>
      <c r="R8" s="20"/>
      <c r="S8" s="20"/>
      <c r="T8" s="20"/>
      <c r="U8" s="22"/>
      <c r="V8" s="22"/>
      <c r="W8" s="85"/>
    </row>
    <row r="9" spans="1:23" ht="24.75" customHeight="1">
      <c r="A9" s="23">
        <v>1</v>
      </c>
      <c r="B9" s="24"/>
      <c r="C9" s="25" t="s">
        <v>237</v>
      </c>
      <c r="D9" s="26"/>
      <c r="E9" s="27"/>
      <c r="F9" s="28"/>
      <c r="G9" s="29"/>
      <c r="H9" s="29"/>
      <c r="I9" s="29"/>
      <c r="J9" s="29"/>
      <c r="K9" s="29"/>
      <c r="L9" s="29"/>
      <c r="M9" s="29"/>
      <c r="N9" s="29"/>
      <c r="O9" s="29"/>
      <c r="P9" s="29"/>
      <c r="Q9" s="29"/>
      <c r="R9" s="28"/>
      <c r="S9" s="28"/>
      <c r="T9" s="28"/>
      <c r="U9" s="29"/>
      <c r="V9" s="29"/>
      <c r="W9" s="86"/>
    </row>
    <row r="10" spans="1:23" ht="24.75" customHeight="1">
      <c r="A10" s="23">
        <v>2</v>
      </c>
      <c r="B10" s="24"/>
      <c r="C10" s="25" t="s">
        <v>241</v>
      </c>
      <c r="D10" s="26"/>
      <c r="E10" s="27"/>
      <c r="F10" s="28"/>
      <c r="G10" s="29"/>
      <c r="H10" s="29"/>
      <c r="I10" s="29"/>
      <c r="J10" s="29"/>
      <c r="K10" s="29"/>
      <c r="L10" s="29"/>
      <c r="M10" s="29"/>
      <c r="N10" s="29"/>
      <c r="O10" s="29"/>
      <c r="P10" s="29"/>
      <c r="Q10" s="29"/>
      <c r="R10" s="28"/>
      <c r="S10" s="28"/>
      <c r="T10" s="28"/>
      <c r="U10" s="29"/>
      <c r="V10" s="29"/>
      <c r="W10" s="86"/>
    </row>
    <row r="11" spans="1:23" ht="24.75" customHeight="1">
      <c r="A11" s="23">
        <v>3</v>
      </c>
      <c r="B11" s="15"/>
      <c r="C11" s="15" t="s">
        <v>1791</v>
      </c>
      <c r="D11" s="26">
        <v>24.63</v>
      </c>
      <c r="E11" s="30">
        <v>26.36</v>
      </c>
      <c r="F11" s="29"/>
      <c r="G11" s="29"/>
      <c r="H11" s="29"/>
      <c r="I11" s="29"/>
      <c r="J11" s="29"/>
      <c r="K11" s="29"/>
      <c r="L11" s="29"/>
      <c r="M11" s="29"/>
      <c r="N11" s="29"/>
      <c r="O11" s="29"/>
      <c r="P11" s="29"/>
      <c r="Q11" s="29"/>
      <c r="R11" s="29"/>
      <c r="S11" s="15"/>
      <c r="T11" s="29"/>
      <c r="U11" s="29"/>
      <c r="V11" s="29"/>
      <c r="W11" s="87"/>
    </row>
    <row r="12" spans="1:23" ht="15.75" customHeight="1">
      <c r="A12" s="23">
        <v>4</v>
      </c>
      <c r="B12" s="15"/>
      <c r="C12" s="15" t="s">
        <v>1792</v>
      </c>
      <c r="D12" s="30"/>
      <c r="E12" s="30"/>
      <c r="F12" s="15"/>
      <c r="G12" s="29"/>
      <c r="H12" s="29"/>
      <c r="I12" s="29"/>
      <c r="J12" s="29"/>
      <c r="K12" s="29"/>
      <c r="L12" s="29"/>
      <c r="M12" s="29"/>
      <c r="N12" s="29"/>
      <c r="O12" s="29"/>
      <c r="P12" s="29"/>
      <c r="Q12" s="29"/>
      <c r="R12" s="29"/>
      <c r="S12" s="32">
        <f>D12*F12</f>
        <v>0</v>
      </c>
      <c r="T12" s="29"/>
      <c r="U12" s="29"/>
      <c r="V12" s="29"/>
      <c r="W12" s="87"/>
    </row>
    <row r="13" spans="1:23" ht="15.75" customHeight="1">
      <c r="A13" s="23">
        <v>5</v>
      </c>
      <c r="B13" s="15"/>
      <c r="C13" s="15" t="s">
        <v>1793</v>
      </c>
      <c r="D13" s="30"/>
      <c r="E13" s="31"/>
      <c r="F13" s="29"/>
      <c r="G13" s="29"/>
      <c r="H13" s="29"/>
      <c r="I13" s="29"/>
      <c r="J13" s="29"/>
      <c r="K13" s="29"/>
      <c r="L13" s="29"/>
      <c r="M13" s="29"/>
      <c r="N13" s="29"/>
      <c r="O13" s="29"/>
      <c r="P13" s="29"/>
      <c r="Q13" s="29"/>
      <c r="R13" s="29"/>
      <c r="S13" s="43"/>
      <c r="T13" s="29"/>
      <c r="U13" s="29"/>
      <c r="V13" s="29"/>
      <c r="W13" s="87"/>
    </row>
    <row r="14" spans="1:23" ht="15.75" customHeight="1">
      <c r="A14" s="23">
        <v>6</v>
      </c>
      <c r="B14" s="15"/>
      <c r="C14" s="15" t="s">
        <v>1794</v>
      </c>
      <c r="D14" s="30">
        <v>5.71</v>
      </c>
      <c r="E14" s="30">
        <v>3.15</v>
      </c>
      <c r="F14" s="15">
        <f>3-0.5-0.065-0.1-0.012</f>
        <v>2.323</v>
      </c>
      <c r="G14" s="29"/>
      <c r="H14" s="29"/>
      <c r="I14" s="29"/>
      <c r="J14" s="29"/>
      <c r="K14" s="29"/>
      <c r="L14" s="29"/>
      <c r="M14" s="29"/>
      <c r="N14" s="29"/>
      <c r="O14" s="29"/>
      <c r="P14" s="29"/>
      <c r="Q14" s="29"/>
      <c r="R14" s="29"/>
      <c r="S14" s="32">
        <f>D14*F14</f>
        <v>13.264329999999999</v>
      </c>
      <c r="T14" s="29"/>
      <c r="U14" s="29"/>
      <c r="V14" s="29"/>
      <c r="W14" s="87"/>
    </row>
    <row r="15" spans="1:23" ht="15.75" customHeight="1">
      <c r="A15" s="23">
        <v>7</v>
      </c>
      <c r="B15" s="15"/>
      <c r="C15" s="15" t="s">
        <v>1795</v>
      </c>
      <c r="D15" s="30">
        <v>1.72</v>
      </c>
      <c r="E15" s="30"/>
      <c r="F15" s="32">
        <f>D15*E15</f>
        <v>0</v>
      </c>
      <c r="G15" s="29"/>
      <c r="H15" s="29"/>
      <c r="I15" s="29"/>
      <c r="J15" s="29"/>
      <c r="K15" s="29"/>
      <c r="L15" s="29"/>
      <c r="M15" s="29"/>
      <c r="N15" s="29"/>
      <c r="O15" s="29"/>
      <c r="P15" s="29"/>
      <c r="Q15" s="29"/>
      <c r="R15" s="29"/>
      <c r="S15" s="43"/>
      <c r="T15" s="29"/>
      <c r="U15" s="29"/>
      <c r="V15" s="29"/>
      <c r="W15" s="87"/>
    </row>
    <row r="16" spans="1:23" ht="15.75" customHeight="1">
      <c r="A16" s="23">
        <v>8</v>
      </c>
      <c r="B16" s="15"/>
      <c r="C16" s="15" t="s">
        <v>1796</v>
      </c>
      <c r="D16" s="30">
        <v>2.2599999999999998</v>
      </c>
      <c r="E16" s="33"/>
      <c r="F16" s="30">
        <f>3-0.1-0.012-0.135-0.065-0.1</f>
        <v>2.5880000000000001</v>
      </c>
      <c r="G16" s="29"/>
      <c r="H16" s="29"/>
      <c r="I16" s="29"/>
      <c r="J16" s="29"/>
      <c r="K16" s="29"/>
      <c r="L16" s="29"/>
      <c r="M16" s="29"/>
      <c r="N16" s="29"/>
      <c r="O16" s="29"/>
      <c r="P16" s="29"/>
      <c r="Q16" s="29"/>
      <c r="R16" s="29"/>
      <c r="S16" s="32">
        <f>(D16-0.2)*(F16-0.1)</f>
        <v>5.1252799999999992</v>
      </c>
      <c r="T16" s="29"/>
      <c r="U16" s="29"/>
      <c r="V16" s="29"/>
      <c r="W16" s="87"/>
    </row>
    <row r="17" spans="1:23" ht="15.75" customHeight="1">
      <c r="A17" s="23">
        <v>9</v>
      </c>
      <c r="B17" s="15"/>
      <c r="C17" s="15" t="s">
        <v>1797</v>
      </c>
      <c r="D17" s="32">
        <f>D11-D12-D14-D16</f>
        <v>16.659999999999997</v>
      </c>
      <c r="E17" s="29"/>
      <c r="F17" s="15">
        <f>3-0.1-0.012-0.135-0.065-0.1</f>
        <v>2.5880000000000001</v>
      </c>
      <c r="G17" s="15">
        <f>H2</f>
        <v>2</v>
      </c>
      <c r="H17" s="15">
        <f>H3</f>
        <v>1</v>
      </c>
      <c r="I17" s="15">
        <v>1</v>
      </c>
      <c r="J17" s="15">
        <v>0</v>
      </c>
      <c r="K17" s="15">
        <v>1</v>
      </c>
      <c r="L17" s="30">
        <v>2.6</v>
      </c>
      <c r="M17" s="30">
        <v>0</v>
      </c>
      <c r="N17" s="30">
        <v>0</v>
      </c>
      <c r="O17" s="30">
        <v>0</v>
      </c>
      <c r="P17" s="30">
        <v>0</v>
      </c>
      <c r="Q17" s="30">
        <f>1.72*(0.4-0.1-0.135)+1.1*(0.5-0.1-0.135)+(L7*2+L17)*0.07</f>
        <v>1.0751000000000002</v>
      </c>
      <c r="R17" s="15">
        <v>0</v>
      </c>
      <c r="S17" s="32">
        <f>D17*F17-(G17*$G$7+H17*$H$7+I17*$I$7+J17*$J$7+K17*$K$7+L17*$L$7)-M17*N17-P17*O17+Q17+R17</f>
        <v>27.35507599999999</v>
      </c>
      <c r="T17" s="29"/>
      <c r="U17" s="29"/>
      <c r="V17" s="29"/>
      <c r="W17" s="87"/>
    </row>
    <row r="18" spans="1:23" ht="15.75" customHeight="1">
      <c r="A18" s="23">
        <v>10</v>
      </c>
      <c r="B18" s="34"/>
      <c r="C18" s="34" t="s">
        <v>1798</v>
      </c>
      <c r="D18" s="34"/>
      <c r="E18" s="35">
        <f>E11</f>
        <v>26.36</v>
      </c>
      <c r="F18" s="36"/>
      <c r="G18" s="36"/>
      <c r="H18" s="36"/>
      <c r="I18" s="36"/>
      <c r="J18" s="36"/>
      <c r="K18" s="36"/>
      <c r="L18" s="36"/>
      <c r="M18" s="36"/>
      <c r="N18" s="36"/>
      <c r="O18" s="36"/>
      <c r="P18" s="36"/>
      <c r="Q18" s="36"/>
      <c r="R18" s="36"/>
      <c r="S18" s="35">
        <f>S12+S14+S17</f>
        <v>40.619405999999991</v>
      </c>
      <c r="T18" s="35">
        <f>D11-($G$6*G17+$H$6*H17+$I$6*I17+$J$6*J17+$K$6*K17+L17)</f>
        <v>17.137999999999998</v>
      </c>
      <c r="U18" s="35">
        <f>M17*0.12</f>
        <v>0</v>
      </c>
      <c r="V18" s="35">
        <f>O17*0.7</f>
        <v>0</v>
      </c>
      <c r="W18" s="88">
        <v>0</v>
      </c>
    </row>
    <row r="19" spans="1:23" ht="24.75" customHeight="1">
      <c r="A19" s="37" t="s">
        <v>60</v>
      </c>
      <c r="B19" s="38"/>
      <c r="C19" s="39" t="s">
        <v>1799</v>
      </c>
      <c r="D19" s="38"/>
      <c r="E19" s="38"/>
      <c r="F19" s="38"/>
      <c r="G19" s="40"/>
      <c r="H19" s="40"/>
      <c r="I19" s="40"/>
      <c r="J19" s="40"/>
      <c r="K19" s="40"/>
      <c r="L19" s="40"/>
      <c r="M19" s="40"/>
      <c r="N19" s="40"/>
      <c r="O19" s="40"/>
      <c r="P19" s="40"/>
      <c r="Q19" s="40"/>
      <c r="R19" s="38"/>
      <c r="S19" s="38"/>
      <c r="T19" s="38"/>
      <c r="U19" s="40"/>
      <c r="V19" s="40"/>
      <c r="W19" s="89"/>
    </row>
    <row r="20" spans="1:23" ht="15.75" customHeight="1">
      <c r="A20" s="41">
        <v>1</v>
      </c>
      <c r="B20" s="15" t="s">
        <v>1374</v>
      </c>
      <c r="C20" s="15" t="s">
        <v>1800</v>
      </c>
      <c r="D20" s="30">
        <v>12.6</v>
      </c>
      <c r="E20" s="30">
        <v>9.86</v>
      </c>
      <c r="F20" s="15"/>
      <c r="G20" s="29"/>
      <c r="H20" s="29"/>
      <c r="I20" s="29"/>
      <c r="J20" s="29"/>
      <c r="K20" s="29"/>
      <c r="L20" s="29"/>
      <c r="M20" s="29"/>
      <c r="N20" s="29"/>
      <c r="O20" s="29"/>
      <c r="P20" s="29"/>
      <c r="Q20" s="29"/>
      <c r="R20" s="29"/>
      <c r="S20" s="29"/>
      <c r="T20" s="29"/>
      <c r="U20" s="29"/>
      <c r="V20" s="29"/>
      <c r="W20" s="90"/>
    </row>
    <row r="21" spans="1:23" ht="15.75" customHeight="1">
      <c r="A21" s="41">
        <v>2</v>
      </c>
      <c r="B21" s="15"/>
      <c r="C21" s="15" t="s">
        <v>1794</v>
      </c>
      <c r="D21" s="30">
        <v>0</v>
      </c>
      <c r="E21" s="30">
        <v>0</v>
      </c>
      <c r="F21" s="15">
        <v>0</v>
      </c>
      <c r="G21" s="29"/>
      <c r="H21" s="29"/>
      <c r="I21" s="29"/>
      <c r="J21" s="29"/>
      <c r="K21" s="29"/>
      <c r="L21" s="29"/>
      <c r="M21" s="29"/>
      <c r="N21" s="29"/>
      <c r="O21" s="29"/>
      <c r="P21" s="29"/>
      <c r="Q21" s="29"/>
      <c r="R21" s="29"/>
      <c r="S21" s="16">
        <f>D21*F21</f>
        <v>0</v>
      </c>
      <c r="T21" s="29"/>
      <c r="U21" s="29"/>
      <c r="V21" s="29"/>
      <c r="W21" s="87"/>
    </row>
    <row r="22" spans="1:23" ht="15.75" customHeight="1">
      <c r="A22" s="41">
        <v>3</v>
      </c>
      <c r="B22" s="15"/>
      <c r="C22" s="15" t="s">
        <v>1801</v>
      </c>
      <c r="D22" s="32">
        <f>D20-D21</f>
        <v>12.6</v>
      </c>
      <c r="E22" s="32">
        <f>E20-E21</f>
        <v>9.86</v>
      </c>
      <c r="F22" s="15">
        <f>3-0.1-0.012-0.1-0.065-0.1</f>
        <v>2.6229999999999998</v>
      </c>
      <c r="G22" s="30">
        <v>1</v>
      </c>
      <c r="H22" s="15">
        <v>0</v>
      </c>
      <c r="I22" s="29"/>
      <c r="J22" s="29"/>
      <c r="K22" s="29"/>
      <c r="L22" s="30">
        <v>0</v>
      </c>
      <c r="M22" s="30">
        <v>2.1</v>
      </c>
      <c r="N22" s="30">
        <v>1.4</v>
      </c>
      <c r="O22" s="30">
        <v>0</v>
      </c>
      <c r="P22" s="30">
        <v>0</v>
      </c>
      <c r="Q22" s="30"/>
      <c r="R22" s="30"/>
      <c r="S22" s="16">
        <f>D22*F22-(G22*$G$7+H22*$H$7+I22*$I$7+J22*$J$7+K22*$K$7+L22*$L$7)-M22*N22-O22*P22+Q22+R22</f>
        <v>27.851431999999996</v>
      </c>
      <c r="T22" s="29"/>
      <c r="U22" s="29"/>
      <c r="V22" s="29"/>
      <c r="W22" s="87"/>
    </row>
    <row r="23" spans="1:23" ht="15.75" customHeight="1">
      <c r="A23" s="41"/>
      <c r="B23" s="15"/>
      <c r="C23" s="15" t="s">
        <v>240</v>
      </c>
      <c r="D23" s="42">
        <v>0</v>
      </c>
      <c r="E23" s="43"/>
      <c r="F23" s="29"/>
      <c r="G23" s="29"/>
      <c r="H23" s="29"/>
      <c r="I23" s="29"/>
      <c r="J23" s="29"/>
      <c r="K23" s="29"/>
      <c r="L23" s="29"/>
      <c r="M23" s="29"/>
      <c r="N23" s="29"/>
      <c r="O23" s="29"/>
      <c r="P23" s="29"/>
      <c r="Q23" s="29"/>
      <c r="R23" s="29"/>
      <c r="S23" s="91"/>
      <c r="T23" s="29"/>
      <c r="U23" s="29"/>
      <c r="V23" s="29"/>
      <c r="W23" s="87"/>
    </row>
    <row r="24" spans="1:23" ht="15.75" customHeight="1">
      <c r="A24" s="41"/>
      <c r="B24" s="15"/>
      <c r="C24" s="44" t="s">
        <v>285</v>
      </c>
      <c r="D24" s="42">
        <v>12.2</v>
      </c>
      <c r="E24" s="43"/>
      <c r="F24" s="29"/>
      <c r="G24" s="29"/>
      <c r="H24" s="29"/>
      <c r="I24" s="29"/>
      <c r="J24" s="29"/>
      <c r="K24" s="29"/>
      <c r="L24" s="29"/>
      <c r="M24" s="29"/>
      <c r="N24" s="29"/>
      <c r="O24" s="29"/>
      <c r="P24" s="29"/>
      <c r="Q24" s="29"/>
      <c r="R24" s="29"/>
      <c r="S24" s="91"/>
      <c r="T24" s="29"/>
      <c r="U24" s="29"/>
      <c r="V24" s="29"/>
      <c r="W24" s="87"/>
    </row>
    <row r="25" spans="1:23" ht="15.75" customHeight="1">
      <c r="A25" s="45">
        <v>4</v>
      </c>
      <c r="B25" s="34" t="s">
        <v>133</v>
      </c>
      <c r="C25" s="34" t="s">
        <v>1802</v>
      </c>
      <c r="D25" s="34"/>
      <c r="E25" s="34">
        <f>E20</f>
        <v>9.86</v>
      </c>
      <c r="F25" s="36"/>
      <c r="G25" s="36"/>
      <c r="H25" s="36"/>
      <c r="I25" s="36"/>
      <c r="J25" s="36"/>
      <c r="K25" s="36"/>
      <c r="L25" s="36"/>
      <c r="M25" s="36"/>
      <c r="N25" s="36"/>
      <c r="O25" s="36"/>
      <c r="P25" s="36"/>
      <c r="Q25" s="36"/>
      <c r="R25" s="36"/>
      <c r="S25" s="35">
        <f>SUM(S21:S22)</f>
        <v>27.851431999999996</v>
      </c>
      <c r="T25" s="35">
        <f>D20-($G$6*G22+$H$6*H22)</f>
        <v>11.606</v>
      </c>
      <c r="U25" s="35">
        <f>M22*0.12</f>
        <v>0.252</v>
      </c>
      <c r="V25" s="35">
        <f>O22*0.7</f>
        <v>0</v>
      </c>
      <c r="W25" s="88">
        <v>0</v>
      </c>
    </row>
    <row r="26" spans="1:23" ht="15.75" customHeight="1">
      <c r="A26" s="41">
        <v>5</v>
      </c>
      <c r="B26" s="15" t="s">
        <v>1803</v>
      </c>
      <c r="C26" s="15" t="s">
        <v>1804</v>
      </c>
      <c r="D26" s="30">
        <v>13.07</v>
      </c>
      <c r="E26" s="30">
        <v>10.8</v>
      </c>
      <c r="F26" s="15"/>
      <c r="G26" s="29"/>
      <c r="H26" s="29"/>
      <c r="I26" s="29"/>
      <c r="J26" s="29"/>
      <c r="K26" s="29"/>
      <c r="L26" s="29"/>
      <c r="M26" s="29"/>
      <c r="N26" s="29"/>
      <c r="O26" s="29"/>
      <c r="P26" s="29"/>
      <c r="Q26" s="29"/>
      <c r="R26" s="29"/>
      <c r="S26" s="29"/>
      <c r="T26" s="29"/>
      <c r="U26" s="29"/>
      <c r="V26" s="29"/>
      <c r="W26" s="90"/>
    </row>
    <row r="27" spans="1:23" ht="15.75" customHeight="1">
      <c r="A27" s="41">
        <v>6</v>
      </c>
      <c r="B27" s="15"/>
      <c r="C27" s="15" t="s">
        <v>1794</v>
      </c>
      <c r="D27" s="30">
        <v>0</v>
      </c>
      <c r="E27" s="30">
        <v>0</v>
      </c>
      <c r="F27" s="15">
        <f>3-0.1-0.012-0.1-0.065-0.1</f>
        <v>2.6229999999999998</v>
      </c>
      <c r="G27" s="29"/>
      <c r="H27" s="29"/>
      <c r="I27" s="29"/>
      <c r="J27" s="29"/>
      <c r="K27" s="29"/>
      <c r="L27" s="29"/>
      <c r="M27" s="29"/>
      <c r="N27" s="29"/>
      <c r="O27" s="29"/>
      <c r="P27" s="29"/>
      <c r="Q27" s="29"/>
      <c r="R27" s="29"/>
      <c r="S27" s="16">
        <f>D27*F27</f>
        <v>0</v>
      </c>
      <c r="T27" s="29"/>
      <c r="U27" s="29"/>
      <c r="V27" s="29"/>
      <c r="W27" s="87"/>
    </row>
    <row r="28" spans="1:23" ht="15.75" customHeight="1">
      <c r="A28" s="41">
        <v>7</v>
      </c>
      <c r="B28" s="15"/>
      <c r="C28" s="15" t="s">
        <v>1805</v>
      </c>
      <c r="D28" s="32">
        <f>D26-D27</f>
        <v>13.07</v>
      </c>
      <c r="E28" s="32">
        <f>E26-E27</f>
        <v>10.8</v>
      </c>
      <c r="F28" s="15">
        <f>3-0.1-0.012-0.1-0.065-0.1</f>
        <v>2.6229999999999998</v>
      </c>
      <c r="G28" s="30">
        <v>1</v>
      </c>
      <c r="H28" s="15">
        <v>0</v>
      </c>
      <c r="I28" s="29"/>
      <c r="J28" s="29"/>
      <c r="K28" s="29"/>
      <c r="L28" s="29"/>
      <c r="M28" s="30">
        <v>1.5</v>
      </c>
      <c r="N28" s="30">
        <v>1.4</v>
      </c>
      <c r="O28" s="30">
        <v>0</v>
      </c>
      <c r="P28" s="30">
        <v>0</v>
      </c>
      <c r="Q28" s="30"/>
      <c r="R28" s="30"/>
      <c r="S28" s="16">
        <f>D28*F28-(G28*$G$7+H28*$H$7+I28*$I$7+J28*$J$7+K28*$K$7+L28*$L$7)-M28*N28-O28*P28+Q28+R28</f>
        <v>29.924242</v>
      </c>
      <c r="T28" s="29"/>
      <c r="U28" s="29"/>
      <c r="V28" s="29"/>
      <c r="W28" s="87"/>
    </row>
    <row r="29" spans="1:23" ht="15.75" customHeight="1">
      <c r="A29" s="41"/>
      <c r="B29" s="15"/>
      <c r="C29" s="44" t="s">
        <v>285</v>
      </c>
      <c r="D29" s="42">
        <v>12.27</v>
      </c>
      <c r="E29" s="43"/>
      <c r="F29" s="29"/>
      <c r="G29" s="29"/>
      <c r="H29" s="29"/>
      <c r="I29" s="29"/>
      <c r="J29" s="29"/>
      <c r="K29" s="29"/>
      <c r="L29" s="29"/>
      <c r="M29" s="29"/>
      <c r="N29" s="29"/>
      <c r="O29" s="29"/>
      <c r="P29" s="29"/>
      <c r="Q29" s="29"/>
      <c r="R29" s="29"/>
      <c r="S29" s="91"/>
      <c r="T29" s="29"/>
      <c r="U29" s="29"/>
      <c r="V29" s="29"/>
      <c r="W29" s="87"/>
    </row>
    <row r="30" spans="1:23" ht="15.75" customHeight="1">
      <c r="A30" s="46">
        <v>8</v>
      </c>
      <c r="B30" s="47" t="s">
        <v>246</v>
      </c>
      <c r="C30" s="34" t="s">
        <v>1806</v>
      </c>
      <c r="D30" s="34"/>
      <c r="E30" s="34">
        <f>E26</f>
        <v>10.8</v>
      </c>
      <c r="F30" s="36"/>
      <c r="G30" s="36"/>
      <c r="H30" s="36"/>
      <c r="I30" s="36"/>
      <c r="J30" s="36"/>
      <c r="K30" s="36"/>
      <c r="L30" s="36"/>
      <c r="M30" s="36"/>
      <c r="N30" s="36"/>
      <c r="O30" s="36"/>
      <c r="P30" s="36"/>
      <c r="Q30" s="36"/>
      <c r="R30" s="36"/>
      <c r="S30" s="35">
        <f>SUM(S27:S28)</f>
        <v>29.924242</v>
      </c>
      <c r="T30" s="35">
        <f>D26-($G$6*G28+$H$6*H28)</f>
        <v>12.076000000000001</v>
      </c>
      <c r="U30" s="35">
        <f>M28*0.12</f>
        <v>0.18</v>
      </c>
      <c r="V30" s="35">
        <f>O28*0.7</f>
        <v>0</v>
      </c>
      <c r="W30" s="88">
        <v>0</v>
      </c>
    </row>
    <row r="31" spans="1:23" ht="15.75" customHeight="1">
      <c r="A31" s="41">
        <v>9</v>
      </c>
      <c r="B31" s="15" t="s">
        <v>1807</v>
      </c>
      <c r="C31" s="15" t="s">
        <v>1808</v>
      </c>
      <c r="D31" s="30">
        <v>0</v>
      </c>
      <c r="E31" s="30">
        <v>0</v>
      </c>
      <c r="F31" s="15">
        <v>0</v>
      </c>
      <c r="G31" s="29"/>
      <c r="H31" s="29"/>
      <c r="I31" s="29"/>
      <c r="J31" s="29"/>
      <c r="K31" s="29"/>
      <c r="L31" s="29"/>
      <c r="M31" s="29"/>
      <c r="N31" s="29"/>
      <c r="O31" s="29"/>
      <c r="P31" s="29"/>
      <c r="Q31" s="29"/>
      <c r="R31" s="29"/>
      <c r="S31" s="29"/>
      <c r="T31" s="29"/>
      <c r="U31" s="29"/>
      <c r="V31" s="29"/>
      <c r="W31" s="90"/>
    </row>
    <row r="32" spans="1:23" ht="15.75" customHeight="1">
      <c r="A32" s="41">
        <v>10</v>
      </c>
      <c r="B32" s="15"/>
      <c r="C32" s="15" t="s">
        <v>1794</v>
      </c>
      <c r="D32" s="30">
        <v>0</v>
      </c>
      <c r="E32" s="30">
        <v>0</v>
      </c>
      <c r="F32" s="15">
        <v>0</v>
      </c>
      <c r="G32" s="29"/>
      <c r="H32" s="29"/>
      <c r="I32" s="29"/>
      <c r="J32" s="29"/>
      <c r="K32" s="29"/>
      <c r="L32" s="29"/>
      <c r="M32" s="29"/>
      <c r="N32" s="29"/>
      <c r="O32" s="29"/>
      <c r="P32" s="29"/>
      <c r="Q32" s="29"/>
      <c r="R32" s="29"/>
      <c r="S32" s="16">
        <f>D32*F32</f>
        <v>0</v>
      </c>
      <c r="T32" s="29"/>
      <c r="U32" s="29"/>
      <c r="V32" s="29"/>
      <c r="W32" s="87"/>
    </row>
    <row r="33" spans="1:23" ht="15.75" customHeight="1">
      <c r="A33" s="41">
        <v>11</v>
      </c>
      <c r="B33" s="15"/>
      <c r="C33" s="15" t="s">
        <v>1809</v>
      </c>
      <c r="D33" s="32">
        <f>D31-D32</f>
        <v>0</v>
      </c>
      <c r="E33" s="32">
        <f>E31-E32</f>
        <v>0</v>
      </c>
      <c r="F33" s="15">
        <v>0</v>
      </c>
      <c r="G33" s="30">
        <v>0</v>
      </c>
      <c r="H33" s="15"/>
      <c r="I33" s="29"/>
      <c r="J33" s="29"/>
      <c r="K33" s="29"/>
      <c r="L33" s="29"/>
      <c r="M33" s="30">
        <v>0</v>
      </c>
      <c r="N33" s="30">
        <v>0</v>
      </c>
      <c r="O33" s="30">
        <v>0</v>
      </c>
      <c r="P33" s="30">
        <v>0</v>
      </c>
      <c r="Q33" s="30">
        <v>0</v>
      </c>
      <c r="R33" s="30">
        <v>0</v>
      </c>
      <c r="S33" s="16">
        <f>D33*F33-(G33*$G$7+H33*$H$7+I33*$I$7+J33*$J$7+K33*$K$7+L33*$L$7)-M33*N33-O33*P33+Q33+R33</f>
        <v>0</v>
      </c>
      <c r="T33" s="29"/>
      <c r="U33" s="29"/>
      <c r="V33" s="29"/>
      <c r="W33" s="87"/>
    </row>
    <row r="34" spans="1:23" ht="15.75" customHeight="1">
      <c r="A34" s="41"/>
      <c r="B34" s="15"/>
      <c r="C34" s="44" t="s">
        <v>285</v>
      </c>
      <c r="D34" s="42">
        <v>0</v>
      </c>
      <c r="E34" s="43"/>
      <c r="F34" s="29"/>
      <c r="G34" s="29"/>
      <c r="H34" s="29"/>
      <c r="I34" s="29"/>
      <c r="J34" s="29"/>
      <c r="K34" s="29"/>
      <c r="L34" s="29"/>
      <c r="M34" s="29"/>
      <c r="N34" s="29"/>
      <c r="O34" s="29"/>
      <c r="P34" s="29"/>
      <c r="Q34" s="29"/>
      <c r="R34" s="29"/>
      <c r="S34" s="91"/>
      <c r="T34" s="29"/>
      <c r="U34" s="29"/>
      <c r="V34" s="29"/>
      <c r="W34" s="87"/>
    </row>
    <row r="35" spans="1:23" ht="15.75" customHeight="1">
      <c r="A35" s="46">
        <v>12</v>
      </c>
      <c r="B35" s="47" t="s">
        <v>136</v>
      </c>
      <c r="C35" s="34" t="s">
        <v>1810</v>
      </c>
      <c r="D35" s="34"/>
      <c r="E35" s="34">
        <f>E31</f>
        <v>0</v>
      </c>
      <c r="F35" s="36"/>
      <c r="G35" s="36"/>
      <c r="H35" s="36"/>
      <c r="I35" s="36"/>
      <c r="J35" s="36"/>
      <c r="K35" s="36"/>
      <c r="L35" s="36"/>
      <c r="M35" s="36"/>
      <c r="N35" s="36"/>
      <c r="O35" s="36"/>
      <c r="P35" s="36"/>
      <c r="Q35" s="36"/>
      <c r="R35" s="36"/>
      <c r="S35" s="35">
        <f>SUM(S32:S33)</f>
        <v>0</v>
      </c>
      <c r="T35" s="35">
        <f>D31-($G$6*G33+$H$6*H33)</f>
        <v>0</v>
      </c>
      <c r="U35" s="35">
        <f>M33*0.12</f>
        <v>0</v>
      </c>
      <c r="V35" s="35">
        <f>O33*0.7</f>
        <v>0</v>
      </c>
      <c r="W35" s="88">
        <v>0</v>
      </c>
    </row>
    <row r="36" spans="1:23" ht="15.75" customHeight="1">
      <c r="A36" s="46">
        <v>13</v>
      </c>
      <c r="B36" s="47"/>
      <c r="C36" s="34" t="s">
        <v>1811</v>
      </c>
      <c r="D36" s="47"/>
      <c r="E36" s="35">
        <f>E25+E30+E35</f>
        <v>20.66</v>
      </c>
      <c r="F36" s="47"/>
      <c r="G36" s="47"/>
      <c r="H36" s="47"/>
      <c r="I36" s="47"/>
      <c r="J36" s="47"/>
      <c r="K36" s="47"/>
      <c r="L36" s="47"/>
      <c r="M36" s="47"/>
      <c r="N36" s="47"/>
      <c r="O36" s="47"/>
      <c r="P36" s="47"/>
      <c r="Q36" s="47"/>
      <c r="R36" s="47"/>
      <c r="S36" s="35">
        <f t="shared" ref="S36" si="0">S25+S30+S35</f>
        <v>57.775673999999995</v>
      </c>
      <c r="T36" s="35">
        <f>T25+T30+T35</f>
        <v>23.682000000000002</v>
      </c>
      <c r="U36" s="35">
        <f>U25+U30+U35</f>
        <v>0.432</v>
      </c>
      <c r="V36" s="35">
        <f>V25+V30+V35</f>
        <v>0</v>
      </c>
      <c r="W36" s="35">
        <f>W25+W30+W35</f>
        <v>0</v>
      </c>
    </row>
    <row r="37" spans="1:23" ht="24.75" customHeight="1">
      <c r="A37" s="37" t="s">
        <v>60</v>
      </c>
      <c r="B37" s="38"/>
      <c r="C37" s="39" t="s">
        <v>1812</v>
      </c>
      <c r="D37" s="38"/>
      <c r="E37" s="38"/>
      <c r="F37" s="38"/>
      <c r="G37" s="40"/>
      <c r="H37" s="40"/>
      <c r="I37" s="40"/>
      <c r="J37" s="40"/>
      <c r="K37" s="40"/>
      <c r="L37" s="40"/>
      <c r="M37" s="40"/>
      <c r="N37" s="40"/>
      <c r="O37" s="40"/>
      <c r="P37" s="40"/>
      <c r="Q37" s="40"/>
      <c r="R37" s="38"/>
      <c r="S37" s="38">
        <v>0</v>
      </c>
      <c r="T37" s="38"/>
      <c r="U37" s="40"/>
      <c r="V37" s="40"/>
      <c r="W37" s="89"/>
    </row>
    <row r="38" spans="1:23" ht="15.75" customHeight="1">
      <c r="A38" s="48">
        <v>7</v>
      </c>
      <c r="B38" s="49"/>
      <c r="C38" s="49" t="s">
        <v>634</v>
      </c>
      <c r="D38" s="32">
        <v>0</v>
      </c>
      <c r="E38" s="32">
        <v>0</v>
      </c>
      <c r="F38" s="49">
        <v>2.73</v>
      </c>
      <c r="G38" s="49">
        <v>1</v>
      </c>
      <c r="H38" s="49"/>
      <c r="I38" s="81"/>
      <c r="J38" s="81"/>
      <c r="K38" s="81"/>
      <c r="L38" s="81"/>
      <c r="M38" s="81"/>
      <c r="N38" s="81"/>
      <c r="O38" s="81"/>
      <c r="P38" s="81"/>
      <c r="Q38" s="81"/>
      <c r="R38" s="81"/>
      <c r="S38" s="32">
        <f>(D38*F38-G7*G38-H7*H38)*S37</f>
        <v>0</v>
      </c>
      <c r="T38" s="43">
        <f>(D38-G6)*S37</f>
        <v>0</v>
      </c>
      <c r="U38" s="81"/>
      <c r="V38" s="81"/>
      <c r="W38" s="92"/>
    </row>
    <row r="39" spans="1:23" ht="33.75" customHeight="1">
      <c r="A39" s="50"/>
      <c r="B39" s="51"/>
      <c r="C39" s="51"/>
      <c r="D39" s="51"/>
      <c r="E39" s="51"/>
      <c r="F39" s="51"/>
      <c r="G39" s="51"/>
      <c r="H39" s="51"/>
      <c r="I39" s="51"/>
      <c r="J39" s="51"/>
      <c r="K39" s="51"/>
      <c r="L39" s="51"/>
      <c r="M39" s="51"/>
      <c r="N39" s="51"/>
      <c r="O39" s="51"/>
      <c r="P39" s="51"/>
      <c r="Q39" s="51"/>
      <c r="R39" s="51"/>
      <c r="S39" s="51"/>
      <c r="T39" s="51"/>
      <c r="U39" s="51"/>
      <c r="V39" s="51"/>
    </row>
    <row r="40" spans="1:23" ht="22.5" customHeight="1">
      <c r="A40" s="994" t="s">
        <v>54</v>
      </c>
      <c r="B40" s="990" t="s">
        <v>1758</v>
      </c>
      <c r="C40" s="990" t="s">
        <v>1767</v>
      </c>
      <c r="D40" s="14" t="s">
        <v>1768</v>
      </c>
      <c r="E40" s="14" t="s">
        <v>1769</v>
      </c>
      <c r="F40" s="998" t="s">
        <v>1813</v>
      </c>
      <c r="G40" s="15" t="s">
        <v>1771</v>
      </c>
      <c r="H40" s="999" t="s">
        <v>1773</v>
      </c>
      <c r="I40" s="999"/>
      <c r="J40" s="999" t="s">
        <v>1774</v>
      </c>
      <c r="K40" s="999"/>
      <c r="L40" s="15" t="s">
        <v>315</v>
      </c>
      <c r="M40" s="15" t="s">
        <v>1814</v>
      </c>
      <c r="N40" s="82" t="s">
        <v>1815</v>
      </c>
      <c r="O40" s="15" t="s">
        <v>1816</v>
      </c>
      <c r="P40" s="15"/>
      <c r="Q40" s="988" t="s">
        <v>1817</v>
      </c>
      <c r="R40" s="988" t="s">
        <v>1818</v>
      </c>
      <c r="S40" s="988" t="s">
        <v>1819</v>
      </c>
      <c r="T40" s="988" t="s">
        <v>1820</v>
      </c>
      <c r="U40" s="52" t="s">
        <v>275</v>
      </c>
      <c r="V40" s="52" t="s">
        <v>335</v>
      </c>
      <c r="W40" s="52" t="s">
        <v>338</v>
      </c>
    </row>
    <row r="41" spans="1:23" ht="24" customHeight="1">
      <c r="A41" s="994"/>
      <c r="B41" s="990"/>
      <c r="C41" s="990"/>
      <c r="D41" s="988" t="s">
        <v>1780</v>
      </c>
      <c r="E41" s="988"/>
      <c r="F41" s="998"/>
      <c r="G41" s="14" t="s">
        <v>1482</v>
      </c>
      <c r="H41" s="15" t="s">
        <v>1821</v>
      </c>
      <c r="I41" s="15" t="s">
        <v>1822</v>
      </c>
      <c r="J41" s="15" t="s">
        <v>1821</v>
      </c>
      <c r="K41" s="15" t="s">
        <v>1822</v>
      </c>
      <c r="L41" s="15" t="s">
        <v>1823</v>
      </c>
      <c r="M41" s="15" t="s">
        <v>1823</v>
      </c>
      <c r="N41" s="15" t="s">
        <v>1823</v>
      </c>
      <c r="O41" s="15" t="s">
        <v>1824</v>
      </c>
      <c r="P41" s="15"/>
      <c r="Q41" s="988"/>
      <c r="R41" s="988"/>
      <c r="S41" s="988"/>
      <c r="T41" s="988"/>
      <c r="U41" s="15" t="s">
        <v>1823</v>
      </c>
      <c r="V41" s="93" t="s">
        <v>336</v>
      </c>
      <c r="W41" s="93" t="s">
        <v>231</v>
      </c>
    </row>
    <row r="42" spans="1:23" ht="24.75" customHeight="1">
      <c r="A42" s="994"/>
      <c r="B42" s="990"/>
      <c r="C42" s="990"/>
      <c r="D42" s="14" t="s">
        <v>235</v>
      </c>
      <c r="E42" s="14" t="s">
        <v>1092</v>
      </c>
      <c r="F42" s="998"/>
      <c r="G42" s="16"/>
      <c r="H42" s="15"/>
      <c r="I42" s="15"/>
      <c r="J42" s="15"/>
      <c r="K42" s="15"/>
      <c r="L42" s="15"/>
      <c r="M42" s="15"/>
      <c r="N42" s="15"/>
      <c r="O42" s="15"/>
      <c r="P42" s="15"/>
      <c r="Q42" s="988"/>
      <c r="R42" s="988"/>
      <c r="S42" s="988"/>
      <c r="T42" s="988"/>
      <c r="U42" s="15"/>
      <c r="V42" s="15"/>
      <c r="W42" s="94"/>
    </row>
    <row r="43" spans="1:23" ht="24" customHeight="1">
      <c r="A43" s="53" t="s">
        <v>62</v>
      </c>
      <c r="B43" s="54"/>
      <c r="C43" s="54" t="s">
        <v>299</v>
      </c>
      <c r="D43" s="54"/>
      <c r="E43" s="54"/>
      <c r="F43" s="54"/>
      <c r="G43" s="54"/>
      <c r="H43" s="54"/>
      <c r="I43" s="54"/>
      <c r="J43" s="54"/>
      <c r="K43" s="54"/>
      <c r="L43" s="54"/>
      <c r="M43" s="54"/>
      <c r="N43" s="54"/>
      <c r="O43" s="54"/>
      <c r="P43" s="54"/>
      <c r="Q43" s="54"/>
      <c r="R43" s="54"/>
      <c r="S43" s="54"/>
      <c r="T43" s="54"/>
      <c r="U43" s="54"/>
      <c r="V43" s="54"/>
      <c r="W43" s="95"/>
    </row>
    <row r="44" spans="1:23" ht="24" customHeight="1">
      <c r="A44" s="55">
        <v>1</v>
      </c>
      <c r="B44" s="56"/>
      <c r="C44" s="56" t="s">
        <v>1825</v>
      </c>
      <c r="D44" s="30">
        <v>4.67</v>
      </c>
      <c r="E44" s="30">
        <v>3.98</v>
      </c>
      <c r="F44" s="30">
        <f>2.38+0.02</f>
        <v>2.4</v>
      </c>
      <c r="G44" s="30">
        <v>1</v>
      </c>
      <c r="H44" s="30">
        <v>0</v>
      </c>
      <c r="I44" s="30">
        <v>0</v>
      </c>
      <c r="J44" s="30">
        <v>0</v>
      </c>
      <c r="K44" s="30">
        <v>0</v>
      </c>
      <c r="L44" s="30">
        <v>0.99</v>
      </c>
      <c r="M44" s="30">
        <v>1.59</v>
      </c>
      <c r="N44" s="30">
        <v>1.0900000000000001</v>
      </c>
      <c r="O44" s="30">
        <v>1.98</v>
      </c>
      <c r="P44" s="30"/>
      <c r="Q44" s="56"/>
      <c r="R44" s="96">
        <f>D44*1.8+D45*1.8-$H$6*G44*1.8-(1.8-0.9)*H44+(H44+(1.8-0.9)*2)*0.1</f>
        <v>13.9428</v>
      </c>
      <c r="S44" s="96">
        <f>D44*F44+D45*F45-$H$7*G44-H44*I44+(H44+I44)*2*0.1</f>
        <v>18.076432</v>
      </c>
      <c r="T44" s="96">
        <f>E44+(D44+D45-$H$6)*0.15</f>
        <v>5.1269</v>
      </c>
      <c r="U44" s="56"/>
      <c r="V44" s="56">
        <f>0.06*0.25*2.35</f>
        <v>3.5249999999999997E-2</v>
      </c>
      <c r="W44" s="98">
        <f>(0.06+0.25*2)*2.35</f>
        <v>1.3160000000000003</v>
      </c>
    </row>
    <row r="45" spans="1:23" ht="24" customHeight="1">
      <c r="A45" s="55"/>
      <c r="B45" s="56"/>
      <c r="C45" s="56"/>
      <c r="D45" s="30">
        <v>3.82</v>
      </c>
      <c r="E45" s="30"/>
      <c r="F45" s="30">
        <f>2.28+0.02</f>
        <v>2.2999999999999998</v>
      </c>
      <c r="G45" s="30"/>
      <c r="H45" s="30"/>
      <c r="I45" s="30"/>
      <c r="J45" s="30"/>
      <c r="K45" s="30"/>
      <c r="L45" s="30"/>
      <c r="M45" s="30"/>
      <c r="N45" s="30"/>
      <c r="O45" s="30"/>
      <c r="P45" s="30"/>
      <c r="Q45" s="56"/>
      <c r="R45" s="96"/>
      <c r="S45" s="96"/>
      <c r="T45" s="96"/>
      <c r="U45" s="56"/>
      <c r="V45" s="56"/>
      <c r="W45" s="98"/>
    </row>
    <row r="46" spans="1:23" ht="24" customHeight="1">
      <c r="A46" s="55">
        <v>2</v>
      </c>
      <c r="B46" s="56"/>
      <c r="C46" s="56" t="s">
        <v>1826</v>
      </c>
      <c r="D46" s="30"/>
      <c r="E46" s="30"/>
      <c r="F46" s="30"/>
      <c r="G46" s="30"/>
      <c r="H46" s="30"/>
      <c r="I46" s="30"/>
      <c r="J46" s="30"/>
      <c r="K46" s="30"/>
      <c r="L46" s="30"/>
      <c r="M46" s="30"/>
      <c r="N46" s="30"/>
      <c r="O46" s="30"/>
      <c r="P46" s="30"/>
      <c r="Q46" s="56"/>
      <c r="R46" s="96">
        <f>(D46*1.8-$H$6*G46*1.8-(1.8-0.9)*H46+(H46+(1.8-0.9)*2)*0.1)*$J$3</f>
        <v>0</v>
      </c>
      <c r="S46" s="96">
        <f>D46*F46-$H$7*G46-H46*I46+(H46+I46)*2*0.1</f>
        <v>0</v>
      </c>
      <c r="T46" s="96">
        <f>(E46+(D46-$H$6)*0.15)*$J$3</f>
        <v>0</v>
      </c>
      <c r="U46" s="56"/>
      <c r="V46" s="56"/>
      <c r="W46" s="98"/>
    </row>
    <row r="47" spans="1:23" ht="24" customHeight="1">
      <c r="A47" s="55"/>
      <c r="B47" s="56"/>
      <c r="C47" s="56"/>
      <c r="D47" s="30"/>
      <c r="E47" s="30"/>
      <c r="F47" s="30"/>
      <c r="G47" s="30"/>
      <c r="H47" s="30"/>
      <c r="I47" s="30"/>
      <c r="J47" s="30"/>
      <c r="K47" s="30"/>
      <c r="L47" s="30"/>
      <c r="M47" s="30"/>
      <c r="N47" s="30"/>
      <c r="O47" s="30"/>
      <c r="P47" s="30"/>
      <c r="Q47" s="56"/>
      <c r="R47" s="96"/>
      <c r="S47" s="96"/>
      <c r="T47" s="96"/>
      <c r="U47" s="56"/>
      <c r="V47" s="56"/>
      <c r="W47" s="98"/>
    </row>
    <row r="48" spans="1:23" ht="24" customHeight="1">
      <c r="A48" s="46">
        <v>3</v>
      </c>
      <c r="B48" s="47"/>
      <c r="C48" s="34" t="s">
        <v>1827</v>
      </c>
      <c r="D48" s="47"/>
      <c r="E48" s="35">
        <f>E44+E45+E46+E47</f>
        <v>3.98</v>
      </c>
      <c r="F48" s="35"/>
      <c r="G48" s="35"/>
      <c r="H48" s="35"/>
      <c r="I48" s="35"/>
      <c r="J48" s="35"/>
      <c r="K48" s="35"/>
      <c r="L48" s="35">
        <f t="shared" ref="L48" si="1">SUM(L44:L46)</f>
        <v>0.99</v>
      </c>
      <c r="M48" s="35">
        <f t="shared" ref="M48:W48" si="2">SUM(M44:M46)</f>
        <v>1.59</v>
      </c>
      <c r="N48" s="35">
        <f t="shared" si="2"/>
        <v>1.0900000000000001</v>
      </c>
      <c r="O48" s="35">
        <f t="shared" si="2"/>
        <v>1.98</v>
      </c>
      <c r="P48" s="35">
        <f t="shared" si="2"/>
        <v>0</v>
      </c>
      <c r="Q48" s="35">
        <f t="shared" si="2"/>
        <v>0</v>
      </c>
      <c r="R48" s="35">
        <f t="shared" si="2"/>
        <v>13.9428</v>
      </c>
      <c r="S48" s="35">
        <f t="shared" si="2"/>
        <v>18.076432</v>
      </c>
      <c r="T48" s="35">
        <f t="shared" si="2"/>
        <v>5.1269</v>
      </c>
      <c r="U48" s="35">
        <f t="shared" si="2"/>
        <v>0</v>
      </c>
      <c r="V48" s="35">
        <f t="shared" si="2"/>
        <v>3.5249999999999997E-2</v>
      </c>
      <c r="W48" s="35">
        <f t="shared" si="2"/>
        <v>1.3160000000000003</v>
      </c>
    </row>
    <row r="49" spans="1:23" ht="24" customHeight="1">
      <c r="A49" s="57"/>
      <c r="B49" s="58"/>
      <c r="C49" s="59"/>
      <c r="D49" s="58"/>
      <c r="E49" s="60"/>
      <c r="F49" s="60"/>
      <c r="G49" s="60"/>
      <c r="H49" s="60"/>
      <c r="I49" s="60"/>
      <c r="J49" s="60"/>
      <c r="K49" s="60"/>
      <c r="L49" s="60"/>
      <c r="M49" s="60"/>
      <c r="N49" s="60"/>
      <c r="O49" s="60"/>
      <c r="P49" s="60"/>
      <c r="Q49" s="60"/>
      <c r="R49" s="60"/>
      <c r="S49" s="60"/>
      <c r="T49" s="60"/>
      <c r="U49" s="60"/>
      <c r="V49" s="60"/>
      <c r="W49" s="99"/>
    </row>
    <row r="50" spans="1:23" ht="30" customHeight="1">
      <c r="A50" s="994" t="s">
        <v>54</v>
      </c>
      <c r="B50" s="990" t="s">
        <v>1758</v>
      </c>
      <c r="C50" s="990" t="s">
        <v>1767</v>
      </c>
      <c r="D50" s="14" t="s">
        <v>1768</v>
      </c>
      <c r="E50" s="14" t="s">
        <v>1769</v>
      </c>
      <c r="F50" s="998" t="s">
        <v>1813</v>
      </c>
      <c r="G50" s="61" t="s">
        <v>1771</v>
      </c>
      <c r="H50" s="62"/>
      <c r="I50" s="996" t="s">
        <v>1828</v>
      </c>
      <c r="J50" s="997"/>
      <c r="K50" s="988" t="s">
        <v>1829</v>
      </c>
      <c r="L50" s="988"/>
      <c r="M50" s="1003" t="s">
        <v>375</v>
      </c>
      <c r="N50" s="988" t="s">
        <v>1818</v>
      </c>
      <c r="O50" s="988" t="s">
        <v>1819</v>
      </c>
      <c r="P50" s="988" t="s">
        <v>1830</v>
      </c>
      <c r="Q50" s="988" t="s">
        <v>1831</v>
      </c>
      <c r="R50" s="988" t="s">
        <v>1832</v>
      </c>
      <c r="S50" s="988"/>
      <c r="T50" s="988"/>
      <c r="U50" s="15"/>
      <c r="V50" s="15"/>
      <c r="W50" s="82"/>
    </row>
    <row r="51" spans="1:23" ht="35.25" customHeight="1">
      <c r="A51" s="994"/>
      <c r="B51" s="990"/>
      <c r="C51" s="990"/>
      <c r="D51" s="988" t="s">
        <v>1780</v>
      </c>
      <c r="E51" s="988"/>
      <c r="F51" s="998"/>
      <c r="G51" s="14" t="s">
        <v>1782</v>
      </c>
      <c r="H51" s="14" t="s">
        <v>1783</v>
      </c>
      <c r="I51" s="14" t="s">
        <v>1833</v>
      </c>
      <c r="J51" s="15" t="s">
        <v>1834</v>
      </c>
      <c r="K51" s="14" t="s">
        <v>1833</v>
      </c>
      <c r="L51" s="15" t="s">
        <v>1834</v>
      </c>
      <c r="M51" s="1004"/>
      <c r="N51" s="988"/>
      <c r="O51" s="988"/>
      <c r="P51" s="988"/>
      <c r="Q51" s="988"/>
      <c r="R51" s="988"/>
      <c r="S51" s="988"/>
      <c r="T51" s="988"/>
      <c r="U51" s="15"/>
      <c r="V51" s="15"/>
      <c r="W51" s="15"/>
    </row>
    <row r="52" spans="1:23" ht="24.75" customHeight="1">
      <c r="A52" s="994"/>
      <c r="B52" s="990"/>
      <c r="C52" s="990"/>
      <c r="D52" s="14" t="s">
        <v>235</v>
      </c>
      <c r="E52" s="14" t="s">
        <v>1092</v>
      </c>
      <c r="F52" s="998"/>
      <c r="G52" s="16"/>
      <c r="H52" s="15"/>
      <c r="I52" s="15" t="s">
        <v>1823</v>
      </c>
      <c r="J52" s="15" t="s">
        <v>1823</v>
      </c>
      <c r="K52" s="15" t="s">
        <v>1823</v>
      </c>
      <c r="L52" s="15" t="s">
        <v>1823</v>
      </c>
      <c r="M52" s="17" t="s">
        <v>1092</v>
      </c>
      <c r="N52" s="988"/>
      <c r="O52" s="988"/>
      <c r="P52" s="15" t="s">
        <v>1835</v>
      </c>
      <c r="Q52" s="15" t="s">
        <v>1835</v>
      </c>
      <c r="R52" s="15" t="s">
        <v>1835</v>
      </c>
      <c r="S52" s="988"/>
      <c r="T52" s="988"/>
      <c r="U52" s="15"/>
      <c r="V52" s="15"/>
      <c r="W52" s="94"/>
    </row>
    <row r="53" spans="1:23" ht="24" customHeight="1">
      <c r="A53" s="53" t="s">
        <v>64</v>
      </c>
      <c r="B53" s="54"/>
      <c r="C53" s="54" t="s">
        <v>1354</v>
      </c>
      <c r="D53" s="54"/>
      <c r="E53" s="54"/>
      <c r="F53" s="54"/>
      <c r="G53" s="54"/>
      <c r="H53" s="54"/>
      <c r="I53" s="54"/>
      <c r="J53" s="54"/>
      <c r="K53" s="54"/>
      <c r="L53" s="54"/>
      <c r="M53" s="54"/>
      <c r="N53" s="54"/>
      <c r="O53" s="54"/>
      <c r="P53" s="54"/>
      <c r="Q53" s="54"/>
      <c r="R53" s="54"/>
      <c r="S53" s="54"/>
      <c r="T53" s="54"/>
      <c r="U53" s="54"/>
      <c r="V53" s="54"/>
      <c r="W53" s="95"/>
    </row>
    <row r="54" spans="1:23" ht="19.5" customHeight="1">
      <c r="A54" s="63" t="s">
        <v>1836</v>
      </c>
      <c r="B54" s="64" t="s">
        <v>133</v>
      </c>
      <c r="C54" s="64" t="s">
        <v>1837</v>
      </c>
      <c r="D54" s="65">
        <v>9.76</v>
      </c>
      <c r="E54" s="65">
        <v>4.92</v>
      </c>
      <c r="F54" s="65">
        <f>2.38+0.02</f>
        <v>2.4</v>
      </c>
      <c r="G54" s="65">
        <v>1</v>
      </c>
      <c r="H54" s="65">
        <v>0</v>
      </c>
      <c r="I54" s="65">
        <v>0</v>
      </c>
      <c r="J54" s="65">
        <v>0</v>
      </c>
      <c r="K54" s="65">
        <v>0</v>
      </c>
      <c r="L54" s="65">
        <v>0</v>
      </c>
      <c r="M54" s="65">
        <f>(0.46+1.53+2.72)*0.82</f>
        <v>3.8621999999999996</v>
      </c>
      <c r="N54" s="83">
        <f>(D54-I6*G54-J6*H54-I54-K54)*1</f>
        <v>8.86</v>
      </c>
      <c r="O54" s="84">
        <f>D54*F54-I7*G54-J7*H54-I54*2.24-J54*1.19-K54*2.24-L54*1.32-M54+(2.24+I54+J54+1.19+J54)*0.1*P54+(2.24*2+K54)*0.1*Q54+(1.32*2+L54*2)*0.1*R54</f>
        <v>17.854800000000001</v>
      </c>
      <c r="P54" s="64">
        <v>0</v>
      </c>
      <c r="Q54" s="64">
        <v>0</v>
      </c>
      <c r="R54" s="64">
        <v>1</v>
      </c>
      <c r="S54" s="64"/>
      <c r="T54" s="64"/>
      <c r="U54" s="64"/>
      <c r="V54" s="64"/>
      <c r="W54" s="100"/>
    </row>
    <row r="55" spans="1:23" ht="30" customHeight="1">
      <c r="A55" s="41"/>
      <c r="B55" s="15"/>
      <c r="C55" s="52" t="s">
        <v>1838</v>
      </c>
      <c r="D55" s="15"/>
      <c r="E55" s="30">
        <v>1.4</v>
      </c>
      <c r="F55" s="15"/>
      <c r="G55" s="15"/>
      <c r="H55" s="15"/>
      <c r="I55" s="15"/>
      <c r="J55" s="15"/>
      <c r="K55" s="15"/>
      <c r="L55" s="15"/>
      <c r="M55" s="15"/>
      <c r="N55" s="15"/>
      <c r="O55" s="15"/>
      <c r="P55" s="15"/>
      <c r="Q55" s="15"/>
      <c r="R55" s="15"/>
      <c r="S55" s="15"/>
      <c r="T55" s="15"/>
      <c r="U55" s="15"/>
      <c r="V55" s="15"/>
      <c r="W55" s="101"/>
    </row>
    <row r="56" spans="1:23" ht="22.5" customHeight="1">
      <c r="A56" s="66"/>
      <c r="B56" s="67"/>
      <c r="C56" s="68" t="s">
        <v>1839</v>
      </c>
      <c r="D56" s="67"/>
      <c r="E56" s="69">
        <f>E54-E55</f>
        <v>3.52</v>
      </c>
      <c r="F56" s="70"/>
      <c r="G56" s="70"/>
      <c r="H56" s="70"/>
      <c r="I56" s="70"/>
      <c r="J56" s="70"/>
      <c r="K56" s="70"/>
      <c r="L56" s="70"/>
      <c r="M56" s="70"/>
      <c r="N56" s="70"/>
      <c r="O56" s="70"/>
      <c r="P56" s="70"/>
      <c r="Q56" s="70"/>
      <c r="R56" s="70"/>
      <c r="S56" s="70"/>
      <c r="T56" s="67"/>
      <c r="U56" s="67"/>
      <c r="V56" s="67"/>
      <c r="W56" s="67"/>
    </row>
    <row r="57" spans="1:23" ht="22.5" customHeight="1">
      <c r="A57" s="71"/>
      <c r="B57" s="72"/>
      <c r="C57" s="73"/>
      <c r="D57" s="72"/>
      <c r="E57" s="74"/>
      <c r="F57" s="75"/>
      <c r="G57" s="76"/>
      <c r="H57" s="77"/>
      <c r="I57" s="76"/>
      <c r="J57" s="77"/>
      <c r="K57" s="75"/>
      <c r="L57" s="75"/>
      <c r="M57" s="75"/>
      <c r="N57" s="75"/>
      <c r="O57" s="75"/>
      <c r="P57" s="75"/>
      <c r="Q57" s="75"/>
      <c r="R57" s="75"/>
      <c r="S57" s="75"/>
      <c r="T57" s="72"/>
      <c r="U57" s="72"/>
      <c r="V57" s="72"/>
      <c r="W57" s="72"/>
    </row>
    <row r="58" spans="1:23" ht="19.5" customHeight="1">
      <c r="A58" s="3" t="s">
        <v>1840</v>
      </c>
      <c r="E58" s="4"/>
      <c r="F58" s="4"/>
      <c r="G58" s="4"/>
      <c r="H58" s="4"/>
      <c r="I58" s="4"/>
      <c r="J58" s="4"/>
      <c r="K58" s="4"/>
      <c r="L58" s="4"/>
      <c r="M58" s="4"/>
      <c r="N58" s="4"/>
      <c r="O58" s="4"/>
      <c r="P58" s="4"/>
      <c r="Q58" s="4"/>
      <c r="R58" s="4"/>
      <c r="S58" s="4"/>
    </row>
    <row r="59" spans="1:23" ht="19.5" customHeight="1">
      <c r="A59" s="3"/>
      <c r="E59" s="4"/>
      <c r="F59" s="4"/>
      <c r="G59" s="4"/>
      <c r="H59" s="4"/>
      <c r="I59" s="4"/>
      <c r="J59" s="4"/>
      <c r="K59" s="4"/>
      <c r="L59" s="4"/>
      <c r="M59" s="4"/>
      <c r="N59" s="4"/>
      <c r="O59" s="4"/>
      <c r="P59" s="4"/>
      <c r="Q59" s="4"/>
      <c r="R59" s="4"/>
      <c r="S59" s="4"/>
    </row>
  </sheetData>
  <mergeCells count="40">
    <mergeCell ref="T4:T7"/>
    <mergeCell ref="T40:T42"/>
    <mergeCell ref="T50:T52"/>
    <mergeCell ref="W4:W7"/>
    <mergeCell ref="M4:N5"/>
    <mergeCell ref="O4:P5"/>
    <mergeCell ref="U4:V5"/>
    <mergeCell ref="R4:R7"/>
    <mergeCell ref="R40:R42"/>
    <mergeCell ref="R50:R51"/>
    <mergeCell ref="S4:S7"/>
    <mergeCell ref="S40:S42"/>
    <mergeCell ref="S50:S52"/>
    <mergeCell ref="M50:M51"/>
    <mergeCell ref="N50:N52"/>
    <mergeCell ref="O50:O52"/>
    <mergeCell ref="F4:F7"/>
    <mergeCell ref="F40:F42"/>
    <mergeCell ref="F50:F52"/>
    <mergeCell ref="G4:K4"/>
    <mergeCell ref="D5:E5"/>
    <mergeCell ref="H40:I40"/>
    <mergeCell ref="J40:K40"/>
    <mergeCell ref="D41:E41"/>
    <mergeCell ref="D51:E51"/>
    <mergeCell ref="P50:P51"/>
    <mergeCell ref="Q4:Q7"/>
    <mergeCell ref="Q40:Q42"/>
    <mergeCell ref="Q50:Q51"/>
    <mergeCell ref="I50:J50"/>
    <mergeCell ref="K50:L50"/>
    <mergeCell ref="C4:C7"/>
    <mergeCell ref="C40:C42"/>
    <mergeCell ref="C50:C52"/>
    <mergeCell ref="A4:A7"/>
    <mergeCell ref="A40:A42"/>
    <mergeCell ref="A50:A52"/>
    <mergeCell ref="B4:B7"/>
    <mergeCell ref="B40:B42"/>
    <mergeCell ref="B50:B52"/>
  </mergeCells>
  <phoneticPr fontId="7" type="noConversion"/>
  <printOptions horizontalCentered="1"/>
  <pageMargins left="0.43307086614173229" right="0.23622047244094491" top="0.74803149606299213" bottom="0.74803149606299213" header="0.31496062992125984" footer="0.31496062992125984"/>
  <pageSetup paperSize="9" scale="85" orientation="portrait" blackAndWhite="1" r:id="rId1"/>
  <headerFooter alignWithMargins="0">
    <oddFooter>&amp;C第 &amp;P 页，共 &amp;N 页</oddFooter>
  </headerFooter>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indexed="60"/>
  </sheetPr>
  <dimension ref="A1:W59"/>
  <sheetViews>
    <sheetView zoomScale="92" zoomScaleNormal="92" workbookViewId="0">
      <pane xSplit="5" ySplit="7" topLeftCell="F44" activePane="bottomRight" state="frozen"/>
      <selection activeCell="J6" sqref="J6"/>
      <selection pane="topRight" activeCell="J6" sqref="J6"/>
      <selection pane="bottomLeft" activeCell="J6" sqref="J6"/>
      <selection pane="bottomRight" activeCell="J6" sqref="J6"/>
    </sheetView>
  </sheetViews>
  <sheetFormatPr defaultColWidth="9.125" defaultRowHeight="14.25"/>
  <cols>
    <col min="1" max="1" width="6.875" customWidth="1"/>
    <col min="2" max="2" width="11.75" customWidth="1"/>
    <col min="3" max="3" width="28" customWidth="1"/>
    <col min="4" max="4" width="9.25" customWidth="1"/>
    <col min="5" max="5" width="11.75" customWidth="1"/>
    <col min="6" max="11" width="9.25" customWidth="1"/>
    <col min="12" max="12" width="10.25" customWidth="1"/>
    <col min="13" max="18" width="9.25" customWidth="1"/>
    <col min="19" max="19" width="9.75" customWidth="1"/>
    <col min="20" max="21" width="9.25" customWidth="1"/>
    <col min="22" max="22" width="9.375" customWidth="1"/>
  </cols>
  <sheetData>
    <row r="1" spans="1:23" ht="21" customHeight="1">
      <c r="A1" s="3"/>
      <c r="C1" s="1" t="s">
        <v>1755</v>
      </c>
      <c r="E1" s="4"/>
      <c r="F1" s="4"/>
      <c r="G1" s="4"/>
      <c r="H1" s="4"/>
      <c r="I1" s="4"/>
      <c r="J1" s="4"/>
      <c r="K1" s="4"/>
      <c r="L1" s="4"/>
      <c r="M1" s="4"/>
      <c r="N1" s="4"/>
      <c r="O1" s="4"/>
      <c r="P1" s="4"/>
      <c r="Q1" s="4"/>
      <c r="R1" s="4"/>
      <c r="S1" s="4"/>
    </row>
    <row r="2" spans="1:23" ht="21" customHeight="1">
      <c r="A2" s="5" t="s">
        <v>1756</v>
      </c>
      <c r="B2" s="6" t="s">
        <v>131</v>
      </c>
      <c r="C2" s="7"/>
      <c r="D2" s="8" t="s">
        <v>1758</v>
      </c>
      <c r="E2" s="6" t="s">
        <v>1759</v>
      </c>
      <c r="F2" s="9"/>
      <c r="G2" s="8" t="s">
        <v>1760</v>
      </c>
      <c r="H2" s="6">
        <v>3</v>
      </c>
      <c r="I2" s="9" t="s">
        <v>1761</v>
      </c>
      <c r="J2" s="9">
        <v>0</v>
      </c>
      <c r="K2" s="9"/>
      <c r="L2" s="9"/>
      <c r="M2" s="9"/>
      <c r="N2" s="9"/>
      <c r="O2" s="9"/>
      <c r="P2" s="9"/>
      <c r="Q2" s="9"/>
      <c r="R2" s="9"/>
      <c r="S2" s="9"/>
    </row>
    <row r="3" spans="1:23" ht="21" customHeight="1">
      <c r="A3" s="10" t="s">
        <v>120</v>
      </c>
      <c r="B3" s="11" t="s">
        <v>1759</v>
      </c>
      <c r="C3" s="7"/>
      <c r="D3" s="7"/>
      <c r="F3" s="9"/>
      <c r="G3" s="12" t="s">
        <v>1763</v>
      </c>
      <c r="H3" s="11">
        <v>1</v>
      </c>
      <c r="I3" s="9" t="s">
        <v>1764</v>
      </c>
      <c r="J3" s="9">
        <v>0</v>
      </c>
      <c r="K3" s="9" t="s">
        <v>1765</v>
      </c>
      <c r="L3" s="9">
        <v>0</v>
      </c>
      <c r="M3" s="9"/>
      <c r="N3" s="9"/>
      <c r="O3" s="9"/>
      <c r="P3" s="9"/>
      <c r="Q3" s="9"/>
      <c r="R3" s="9"/>
      <c r="S3" s="9"/>
    </row>
    <row r="4" spans="1:23" ht="35.25" customHeight="1">
      <c r="A4" s="991" t="s">
        <v>54</v>
      </c>
      <c r="B4" s="987" t="s">
        <v>1766</v>
      </c>
      <c r="C4" s="987" t="s">
        <v>1767</v>
      </c>
      <c r="D4" s="13" t="s">
        <v>1768</v>
      </c>
      <c r="E4" s="13" t="s">
        <v>1769</v>
      </c>
      <c r="F4" s="987" t="s">
        <v>1770</v>
      </c>
      <c r="G4" s="987" t="s">
        <v>1771</v>
      </c>
      <c r="H4" s="987"/>
      <c r="I4" s="987"/>
      <c r="J4" s="987"/>
      <c r="K4" s="987"/>
      <c r="L4" s="78" t="s">
        <v>1772</v>
      </c>
      <c r="M4" s="987" t="s">
        <v>1773</v>
      </c>
      <c r="N4" s="987"/>
      <c r="O4" s="987" t="s">
        <v>1774</v>
      </c>
      <c r="P4" s="987"/>
      <c r="Q4" s="987" t="s">
        <v>1775</v>
      </c>
      <c r="R4" s="987" t="s">
        <v>1776</v>
      </c>
      <c r="S4" s="987" t="s">
        <v>1777</v>
      </c>
      <c r="T4" s="987" t="s">
        <v>1778</v>
      </c>
      <c r="U4" s="987" t="s">
        <v>1574</v>
      </c>
      <c r="V4" s="987"/>
      <c r="W4" s="1000" t="s">
        <v>1779</v>
      </c>
    </row>
    <row r="5" spans="1:23" ht="24" customHeight="1">
      <c r="A5" s="992"/>
      <c r="B5" s="988"/>
      <c r="C5" s="988"/>
      <c r="D5" s="988" t="s">
        <v>1780</v>
      </c>
      <c r="E5" s="988"/>
      <c r="F5" s="988"/>
      <c r="G5" s="14" t="s">
        <v>1781</v>
      </c>
      <c r="H5" s="14" t="s">
        <v>1482</v>
      </c>
      <c r="I5" s="14" t="s">
        <v>1782</v>
      </c>
      <c r="J5" s="14" t="s">
        <v>1783</v>
      </c>
      <c r="K5" s="14" t="s">
        <v>1418</v>
      </c>
      <c r="L5" s="14" t="s">
        <v>1784</v>
      </c>
      <c r="M5" s="988"/>
      <c r="N5" s="988"/>
      <c r="O5" s="988"/>
      <c r="P5" s="988"/>
      <c r="Q5" s="988"/>
      <c r="R5" s="988"/>
      <c r="S5" s="988"/>
      <c r="T5" s="988"/>
      <c r="U5" s="988"/>
      <c r="V5" s="988"/>
      <c r="W5" s="1001"/>
    </row>
    <row r="6" spans="1:23" ht="27" customHeight="1">
      <c r="A6" s="992"/>
      <c r="B6" s="988"/>
      <c r="C6" s="988"/>
      <c r="D6" s="14"/>
      <c r="E6" s="15"/>
      <c r="F6" s="988"/>
      <c r="G6" s="16">
        <v>0.99399999999999999</v>
      </c>
      <c r="H6" s="16">
        <v>0.84399999999999997</v>
      </c>
      <c r="I6" s="16">
        <v>0.9</v>
      </c>
      <c r="J6" s="16">
        <v>1.65</v>
      </c>
      <c r="K6" s="16">
        <v>1.1599999999999999</v>
      </c>
      <c r="L6" s="79"/>
      <c r="M6" s="14" t="s">
        <v>1785</v>
      </c>
      <c r="N6" s="15" t="s">
        <v>1786</v>
      </c>
      <c r="O6" s="14" t="s">
        <v>1785</v>
      </c>
      <c r="P6" s="15" t="s">
        <v>1786</v>
      </c>
      <c r="Q6" s="988"/>
      <c r="R6" s="988"/>
      <c r="S6" s="988"/>
      <c r="T6" s="988"/>
      <c r="U6" s="14" t="s">
        <v>1787</v>
      </c>
      <c r="V6" s="14" t="s">
        <v>1788</v>
      </c>
      <c r="W6" s="1001"/>
    </row>
    <row r="7" spans="1:23" ht="24.75" customHeight="1">
      <c r="A7" s="993"/>
      <c r="B7" s="989"/>
      <c r="C7" s="989"/>
      <c r="D7" s="17" t="s">
        <v>235</v>
      </c>
      <c r="E7" s="17" t="s">
        <v>1092</v>
      </c>
      <c r="F7" s="989"/>
      <c r="G7" s="18">
        <f>0.994*2.272</f>
        <v>2.2583679999999999</v>
      </c>
      <c r="H7" s="18">
        <f>0.844*2.272</f>
        <v>1.9175679999999997</v>
      </c>
      <c r="I7" s="18">
        <f>0.9*2.19</f>
        <v>1.9710000000000001</v>
      </c>
      <c r="J7" s="18">
        <f>1.65*2.14</f>
        <v>3.5310000000000001</v>
      </c>
      <c r="K7" s="18">
        <f>1.16*2.18</f>
        <v>2.5287999999999999</v>
      </c>
      <c r="L7" s="18">
        <v>2.27</v>
      </c>
      <c r="M7" s="80"/>
      <c r="N7" s="80"/>
      <c r="O7" s="80"/>
      <c r="P7" s="80"/>
      <c r="Q7" s="995"/>
      <c r="R7" s="989"/>
      <c r="S7" s="989"/>
      <c r="T7" s="989"/>
      <c r="U7" s="80" t="s">
        <v>1789</v>
      </c>
      <c r="V7" s="80" t="s">
        <v>1790</v>
      </c>
      <c r="W7" s="1002"/>
    </row>
    <row r="8" spans="1:23" ht="24.75" customHeight="1">
      <c r="A8" s="19" t="s">
        <v>58</v>
      </c>
      <c r="B8" s="20"/>
      <c r="C8" s="21" t="s">
        <v>1406</v>
      </c>
      <c r="D8" s="20"/>
      <c r="E8" s="20"/>
      <c r="F8" s="20"/>
      <c r="G8" s="22"/>
      <c r="H8" s="22"/>
      <c r="I8" s="22"/>
      <c r="J8" s="22"/>
      <c r="K8" s="22"/>
      <c r="L8" s="22"/>
      <c r="M8" s="22"/>
      <c r="N8" s="22"/>
      <c r="O8" s="22"/>
      <c r="P8" s="22"/>
      <c r="Q8" s="22"/>
      <c r="R8" s="20"/>
      <c r="S8" s="20"/>
      <c r="T8" s="20"/>
      <c r="U8" s="22"/>
      <c r="V8" s="22"/>
      <c r="W8" s="85"/>
    </row>
    <row r="9" spans="1:23" ht="24.75" customHeight="1">
      <c r="A9" s="23">
        <v>1</v>
      </c>
      <c r="B9" s="24"/>
      <c r="C9" s="25" t="s">
        <v>237</v>
      </c>
      <c r="D9" s="103">
        <v>0</v>
      </c>
      <c r="E9" s="27"/>
      <c r="F9" s="28"/>
      <c r="G9" s="29"/>
      <c r="H9" s="29"/>
      <c r="I9" s="29"/>
      <c r="J9" s="29"/>
      <c r="K9" s="29"/>
      <c r="L9" s="29"/>
      <c r="M9" s="29"/>
      <c r="N9" s="29"/>
      <c r="O9" s="29"/>
      <c r="P9" s="29"/>
      <c r="Q9" s="29"/>
      <c r="R9" s="28"/>
      <c r="S9" s="28"/>
      <c r="T9" s="28"/>
      <c r="U9" s="29"/>
      <c r="V9" s="29"/>
      <c r="W9" s="86"/>
    </row>
    <row r="10" spans="1:23" ht="24.75" customHeight="1">
      <c r="A10" s="23">
        <v>2</v>
      </c>
      <c r="B10" s="24"/>
      <c r="C10" s="25" t="s">
        <v>241</v>
      </c>
      <c r="D10" s="104">
        <v>0</v>
      </c>
      <c r="E10" s="27"/>
      <c r="F10" s="28"/>
      <c r="G10" s="29"/>
      <c r="H10" s="29"/>
      <c r="I10" s="29"/>
      <c r="J10" s="29"/>
      <c r="K10" s="29"/>
      <c r="L10" s="29"/>
      <c r="M10" s="29"/>
      <c r="N10" s="29"/>
      <c r="O10" s="29"/>
      <c r="P10" s="29"/>
      <c r="Q10" s="29"/>
      <c r="R10" s="28"/>
      <c r="S10" s="28"/>
      <c r="T10" s="28"/>
      <c r="U10" s="29"/>
      <c r="V10" s="29"/>
      <c r="W10" s="86"/>
    </row>
    <row r="11" spans="1:23" ht="24.75" customHeight="1">
      <c r="A11" s="23">
        <v>3</v>
      </c>
      <c r="B11" s="15"/>
      <c r="C11" s="15" t="s">
        <v>1791</v>
      </c>
      <c r="D11" s="104">
        <v>31.85</v>
      </c>
      <c r="E11" s="104">
        <v>33.93</v>
      </c>
      <c r="F11" s="29"/>
      <c r="G11" s="29"/>
      <c r="H11" s="29"/>
      <c r="I11" s="29"/>
      <c r="J11" s="29"/>
      <c r="K11" s="29"/>
      <c r="L11" s="29"/>
      <c r="M11" s="29"/>
      <c r="N11" s="29"/>
      <c r="O11" s="29"/>
      <c r="P11" s="29"/>
      <c r="Q11" s="29"/>
      <c r="R11" s="29"/>
      <c r="S11" s="15"/>
      <c r="T11" s="29"/>
      <c r="U11" s="29"/>
      <c r="V11" s="29"/>
      <c r="W11" s="87"/>
    </row>
    <row r="12" spans="1:23" ht="15.75" customHeight="1">
      <c r="A12" s="23">
        <v>4</v>
      </c>
      <c r="B12" s="15"/>
      <c r="C12" s="15" t="s">
        <v>1792</v>
      </c>
      <c r="D12" s="104">
        <v>0</v>
      </c>
      <c r="E12" s="104">
        <v>0</v>
      </c>
      <c r="F12" s="104">
        <f>3-0.5-0.065-0.1-0.012</f>
        <v>2.323</v>
      </c>
      <c r="G12" s="29"/>
      <c r="H12" s="29"/>
      <c r="I12" s="29"/>
      <c r="J12" s="29"/>
      <c r="K12" s="29"/>
      <c r="L12" s="29"/>
      <c r="M12" s="29"/>
      <c r="N12" s="29"/>
      <c r="O12" s="29"/>
      <c r="P12" s="29"/>
      <c r="Q12" s="29"/>
      <c r="R12" s="29"/>
      <c r="S12" s="32">
        <f>D12*F12</f>
        <v>0</v>
      </c>
      <c r="T12" s="29"/>
      <c r="U12" s="29"/>
      <c r="V12" s="29"/>
      <c r="W12" s="87"/>
    </row>
    <row r="13" spans="1:23" ht="15.75" customHeight="1">
      <c r="A13" s="23">
        <v>5</v>
      </c>
      <c r="B13" s="15"/>
      <c r="C13" s="15" t="s">
        <v>1793</v>
      </c>
      <c r="D13" s="104"/>
      <c r="E13" s="9">
        <f>(D13*0.12-0.12*0.12*4)*$K$2</f>
        <v>0</v>
      </c>
      <c r="F13" s="29"/>
      <c r="G13" s="29"/>
      <c r="H13" s="29"/>
      <c r="I13" s="29"/>
      <c r="J13" s="29"/>
      <c r="K13" s="29"/>
      <c r="L13" s="29"/>
      <c r="M13" s="29"/>
      <c r="N13" s="29"/>
      <c r="O13" s="29"/>
      <c r="P13" s="29"/>
      <c r="Q13" s="29"/>
      <c r="R13" s="29"/>
      <c r="S13" s="43"/>
      <c r="T13" s="29"/>
      <c r="U13" s="29"/>
      <c r="V13" s="29"/>
      <c r="W13" s="87"/>
    </row>
    <row r="14" spans="1:23" ht="15.75" customHeight="1">
      <c r="A14" s="23">
        <v>6</v>
      </c>
      <c r="B14" s="15"/>
      <c r="C14" s="15" t="s">
        <v>1794</v>
      </c>
      <c r="D14" s="104">
        <v>9.18</v>
      </c>
      <c r="E14" s="104">
        <v>4.79</v>
      </c>
      <c r="F14" s="104">
        <f>3-0.5-0.065-0.1-0.012</f>
        <v>2.323</v>
      </c>
      <c r="G14" s="29"/>
      <c r="H14" s="29"/>
      <c r="I14" s="29"/>
      <c r="J14" s="29"/>
      <c r="K14" s="29"/>
      <c r="L14" s="29"/>
      <c r="M14" s="29"/>
      <c r="N14" s="29"/>
      <c r="O14" s="29"/>
      <c r="P14" s="29"/>
      <c r="Q14" s="29"/>
      <c r="R14" s="29"/>
      <c r="S14" s="32">
        <f>D14*F14</f>
        <v>21.325139999999998</v>
      </c>
      <c r="T14" s="29"/>
      <c r="U14" s="29"/>
      <c r="V14" s="29"/>
      <c r="W14" s="87"/>
    </row>
    <row r="15" spans="1:23" ht="15.75" customHeight="1">
      <c r="A15" s="23">
        <v>7</v>
      </c>
      <c r="B15" s="15"/>
      <c r="C15" s="15" t="s">
        <v>1795</v>
      </c>
      <c r="D15" s="104">
        <v>1.2</v>
      </c>
      <c r="E15" s="104">
        <v>0</v>
      </c>
      <c r="F15" s="105">
        <f>D15*E15</f>
        <v>0</v>
      </c>
      <c r="G15" s="29"/>
      <c r="H15" s="29"/>
      <c r="I15" s="29"/>
      <c r="J15" s="29"/>
      <c r="K15" s="29"/>
      <c r="L15" s="29"/>
      <c r="M15" s="29"/>
      <c r="N15" s="29"/>
      <c r="O15" s="29"/>
      <c r="P15" s="29"/>
      <c r="Q15" s="29"/>
      <c r="R15" s="29"/>
      <c r="S15" s="43"/>
      <c r="T15" s="29"/>
      <c r="U15" s="29"/>
      <c r="V15" s="29"/>
      <c r="W15" s="87"/>
    </row>
    <row r="16" spans="1:23" ht="15.75" customHeight="1">
      <c r="A16" s="23">
        <v>8</v>
      </c>
      <c r="B16" s="15"/>
      <c r="C16" s="15" t="s">
        <v>1796</v>
      </c>
      <c r="D16" s="104">
        <v>2.96</v>
      </c>
      <c r="E16" s="33"/>
      <c r="F16" s="104">
        <f>3-0.1-0.012-0.135-0.065-0.1</f>
        <v>2.5880000000000001</v>
      </c>
      <c r="G16" s="29"/>
      <c r="H16" s="29"/>
      <c r="I16" s="29"/>
      <c r="J16" s="29"/>
      <c r="K16" s="29"/>
      <c r="L16" s="29"/>
      <c r="M16" s="29"/>
      <c r="N16" s="29"/>
      <c r="O16" s="29"/>
      <c r="P16" s="29"/>
      <c r="Q16" s="29"/>
      <c r="R16" s="29"/>
      <c r="S16" s="32">
        <f>(D16-0.2)*(F16-0.1)</f>
        <v>6.8668799999999992</v>
      </c>
      <c r="T16" s="29"/>
      <c r="U16" s="29"/>
      <c r="V16" s="29"/>
      <c r="W16" s="87"/>
    </row>
    <row r="17" spans="1:23" ht="15.75" customHeight="1">
      <c r="A17" s="23">
        <v>9</v>
      </c>
      <c r="B17" s="15"/>
      <c r="C17" s="15" t="s">
        <v>1797</v>
      </c>
      <c r="D17" s="32">
        <f>D11-D12-D14-D16</f>
        <v>19.71</v>
      </c>
      <c r="E17" s="29"/>
      <c r="F17" s="104">
        <f>3-0.1-0.012-0.135-0.065-0.1</f>
        <v>2.5880000000000001</v>
      </c>
      <c r="G17" s="104">
        <v>3</v>
      </c>
      <c r="H17" s="104">
        <v>1</v>
      </c>
      <c r="I17" s="104">
        <v>0</v>
      </c>
      <c r="J17" s="104">
        <v>0</v>
      </c>
      <c r="K17" s="104">
        <v>1</v>
      </c>
      <c r="L17" s="104">
        <v>2.6</v>
      </c>
      <c r="M17" s="30">
        <v>0</v>
      </c>
      <c r="N17" s="30">
        <v>0</v>
      </c>
      <c r="O17" s="30">
        <v>0</v>
      </c>
      <c r="P17" s="30">
        <v>0</v>
      </c>
      <c r="Q17" s="30">
        <v>0</v>
      </c>
      <c r="R17" s="15"/>
      <c r="S17" s="32">
        <f>D17*F17-(G17*$G$7+H17*$H$7+I17*$I$7+J17*$J$7+K17*$K$7+L17*$L$7)-M17*N17-P17*O17+Q17+R17</f>
        <v>33.886008000000004</v>
      </c>
      <c r="T17" s="29"/>
      <c r="U17" s="29"/>
      <c r="V17" s="29"/>
      <c r="W17" s="87"/>
    </row>
    <row r="18" spans="1:23" ht="15.75" customHeight="1">
      <c r="A18" s="23">
        <v>10</v>
      </c>
      <c r="B18" s="34"/>
      <c r="C18" s="34" t="s">
        <v>1798</v>
      </c>
      <c r="D18" s="34"/>
      <c r="E18" s="35">
        <f>E11</f>
        <v>33.93</v>
      </c>
      <c r="F18" s="36"/>
      <c r="G18" s="36"/>
      <c r="H18" s="36"/>
      <c r="I18" s="36"/>
      <c r="J18" s="36"/>
      <c r="K18" s="36"/>
      <c r="L18" s="36"/>
      <c r="M18" s="36"/>
      <c r="N18" s="36"/>
      <c r="O18" s="36"/>
      <c r="P18" s="36"/>
      <c r="Q18" s="36"/>
      <c r="R18" s="36"/>
      <c r="S18" s="35">
        <f>S12+S14+S17</f>
        <v>55.211148000000001</v>
      </c>
      <c r="T18" s="35">
        <f>D11-($G$6*G17+$H$6*H17+$I$6*I17+$J$6*J17+$K$6*K17+L17)</f>
        <v>24.264000000000003</v>
      </c>
      <c r="U18" s="35">
        <f>M17*0.12</f>
        <v>0</v>
      </c>
      <c r="V18" s="35">
        <f>O17*0.7</f>
        <v>0</v>
      </c>
      <c r="W18" s="88">
        <v>0</v>
      </c>
    </row>
    <row r="19" spans="1:23" ht="24.75" customHeight="1">
      <c r="A19" s="37" t="s">
        <v>60</v>
      </c>
      <c r="B19" s="38"/>
      <c r="C19" s="39" t="s">
        <v>1799</v>
      </c>
      <c r="D19" s="38"/>
      <c r="E19" s="38"/>
      <c r="F19" s="38"/>
      <c r="G19" s="40"/>
      <c r="H19" s="40"/>
      <c r="I19" s="40"/>
      <c r="J19" s="40"/>
      <c r="K19" s="40"/>
      <c r="L19" s="40"/>
      <c r="M19" s="40"/>
      <c r="N19" s="40"/>
      <c r="O19" s="40"/>
      <c r="P19" s="40"/>
      <c r="Q19" s="40"/>
      <c r="R19" s="38"/>
      <c r="S19" s="38"/>
      <c r="T19" s="38"/>
      <c r="U19" s="40"/>
      <c r="V19" s="40"/>
      <c r="W19" s="89"/>
    </row>
    <row r="20" spans="1:23" ht="15.75" customHeight="1">
      <c r="A20" s="41">
        <v>1</v>
      </c>
      <c r="B20" s="15" t="s">
        <v>1374</v>
      </c>
      <c r="C20" s="15" t="s">
        <v>1800</v>
      </c>
      <c r="D20" s="104">
        <v>20.94</v>
      </c>
      <c r="E20" s="104">
        <v>23.35</v>
      </c>
      <c r="F20" s="15"/>
      <c r="G20" s="29"/>
      <c r="H20" s="29"/>
      <c r="I20" s="29"/>
      <c r="J20" s="29"/>
      <c r="K20" s="29"/>
      <c r="L20" s="29"/>
      <c r="M20" s="29"/>
      <c r="N20" s="29"/>
      <c r="O20" s="29"/>
      <c r="P20" s="29"/>
      <c r="Q20" s="29"/>
      <c r="R20" s="29"/>
      <c r="S20" s="29"/>
      <c r="T20" s="29"/>
      <c r="U20" s="29"/>
      <c r="V20" s="29"/>
      <c r="W20" s="90"/>
    </row>
    <row r="21" spans="1:23" ht="15.75" customHeight="1">
      <c r="A21" s="41">
        <v>2</v>
      </c>
      <c r="B21" s="15"/>
      <c r="C21" s="15" t="s">
        <v>1794</v>
      </c>
      <c r="D21" s="106">
        <v>2</v>
      </c>
      <c r="E21" s="106">
        <v>0.48</v>
      </c>
      <c r="F21" s="106">
        <v>0</v>
      </c>
      <c r="G21" s="29"/>
      <c r="H21" s="29"/>
      <c r="I21" s="29"/>
      <c r="J21" s="29"/>
      <c r="K21" s="29"/>
      <c r="L21" s="29"/>
      <c r="M21" s="29"/>
      <c r="N21" s="29"/>
      <c r="O21" s="29"/>
      <c r="P21" s="29"/>
      <c r="Q21" s="106"/>
      <c r="R21" s="29"/>
      <c r="S21" s="16">
        <f>D21*F21</f>
        <v>0</v>
      </c>
      <c r="T21" s="29"/>
      <c r="U21" s="29"/>
      <c r="V21" s="29"/>
      <c r="W21" s="87"/>
    </row>
    <row r="22" spans="1:23" ht="15.75" customHeight="1">
      <c r="A22" s="41">
        <v>3</v>
      </c>
      <c r="B22" s="15"/>
      <c r="C22" s="15" t="s">
        <v>1801</v>
      </c>
      <c r="D22" s="32">
        <f>D20-D21</f>
        <v>18.940000000000001</v>
      </c>
      <c r="E22" s="32">
        <f>E20-E21</f>
        <v>22.87</v>
      </c>
      <c r="F22" s="104">
        <f>3-0.1-0.012-0.1-0.065-0.1</f>
        <v>2.6229999999999998</v>
      </c>
      <c r="G22" s="104">
        <v>0</v>
      </c>
      <c r="H22" s="106">
        <v>0</v>
      </c>
      <c r="I22" s="29"/>
      <c r="J22" s="29"/>
      <c r="K22" s="29"/>
      <c r="L22" s="110">
        <v>2.8</v>
      </c>
      <c r="M22" s="30">
        <v>0</v>
      </c>
      <c r="N22" s="30">
        <v>0</v>
      </c>
      <c r="O22" s="106">
        <v>0</v>
      </c>
      <c r="P22" s="106">
        <v>0</v>
      </c>
      <c r="Q22" s="106"/>
      <c r="R22" s="106"/>
      <c r="S22" s="16">
        <f>D22*F22-(G22*$G$7+H22*$H$7+I22*$I$7+J22*$J$7+K22*$K$7+L22*$L$7)-M22*N22-O22*P22+Q22+R22</f>
        <v>43.323619999999998</v>
      </c>
      <c r="T22" s="29"/>
      <c r="U22" s="29"/>
      <c r="V22" s="29"/>
      <c r="W22" s="87"/>
    </row>
    <row r="23" spans="1:23" ht="15.75" customHeight="1">
      <c r="A23" s="41"/>
      <c r="B23" s="15"/>
      <c r="C23" s="15" t="s">
        <v>240</v>
      </c>
      <c r="D23" s="107">
        <v>0</v>
      </c>
      <c r="E23" s="43"/>
      <c r="F23" s="29"/>
      <c r="G23" s="29"/>
      <c r="H23" s="29"/>
      <c r="I23" s="29"/>
      <c r="J23" s="29"/>
      <c r="K23" s="29"/>
      <c r="L23" s="29"/>
      <c r="M23" s="29"/>
      <c r="N23" s="29"/>
      <c r="O23" s="29"/>
      <c r="P23" s="29"/>
      <c r="Q23" s="29"/>
      <c r="R23" s="29"/>
      <c r="S23" s="91"/>
      <c r="T23" s="29"/>
      <c r="U23" s="29"/>
      <c r="V23" s="29"/>
      <c r="W23" s="87"/>
    </row>
    <row r="24" spans="1:23" ht="15.75" customHeight="1">
      <c r="A24" s="41"/>
      <c r="B24" s="15"/>
      <c r="C24" s="44" t="s">
        <v>285</v>
      </c>
      <c r="D24" s="108">
        <v>16.75</v>
      </c>
      <c r="E24" s="43"/>
      <c r="F24" s="29"/>
      <c r="G24" s="29"/>
      <c r="H24" s="29"/>
      <c r="I24" s="29"/>
      <c r="J24" s="29"/>
      <c r="K24" s="29"/>
      <c r="L24" s="29"/>
      <c r="M24" s="29"/>
      <c r="N24" s="29"/>
      <c r="O24" s="29"/>
      <c r="P24" s="29"/>
      <c r="Q24" s="29"/>
      <c r="R24" s="29"/>
      <c r="S24" s="91"/>
      <c r="T24" s="29"/>
      <c r="U24" s="29"/>
      <c r="V24" s="29"/>
      <c r="W24" s="87"/>
    </row>
    <row r="25" spans="1:23" ht="15.75" customHeight="1">
      <c r="A25" s="45">
        <v>4</v>
      </c>
      <c r="B25" s="34" t="s">
        <v>133</v>
      </c>
      <c r="C25" s="34" t="s">
        <v>1802</v>
      </c>
      <c r="D25" s="34"/>
      <c r="E25" s="34">
        <f>E20</f>
        <v>23.35</v>
      </c>
      <c r="F25" s="36"/>
      <c r="G25" s="36"/>
      <c r="H25" s="36"/>
      <c r="I25" s="36"/>
      <c r="J25" s="36"/>
      <c r="K25" s="36"/>
      <c r="L25" s="36"/>
      <c r="M25" s="36"/>
      <c r="N25" s="36"/>
      <c r="O25" s="36"/>
      <c r="P25" s="36"/>
      <c r="Q25" s="36"/>
      <c r="R25" s="36"/>
      <c r="S25" s="35">
        <f>SUM(S21:S22)</f>
        <v>43.323619999999998</v>
      </c>
      <c r="T25" s="35">
        <f>D20-($G$6*G22+$H$6*H22)</f>
        <v>20.94</v>
      </c>
      <c r="U25" s="35">
        <f>M22*0.12</f>
        <v>0</v>
      </c>
      <c r="V25" s="35">
        <f>O22*0.7</f>
        <v>0</v>
      </c>
      <c r="W25" s="88"/>
    </row>
    <row r="26" spans="1:23" ht="15.75" customHeight="1">
      <c r="A26" s="41">
        <v>5</v>
      </c>
      <c r="B26" s="15" t="s">
        <v>1803</v>
      </c>
      <c r="C26" s="15" t="s">
        <v>1804</v>
      </c>
      <c r="D26" s="106">
        <v>15.18</v>
      </c>
      <c r="E26" s="106">
        <v>14.44</v>
      </c>
      <c r="F26" s="15"/>
      <c r="G26" s="29"/>
      <c r="H26" s="29"/>
      <c r="I26" s="29"/>
      <c r="J26" s="29"/>
      <c r="K26" s="29"/>
      <c r="L26" s="29"/>
      <c r="M26" s="29"/>
      <c r="N26" s="29"/>
      <c r="O26" s="29"/>
      <c r="P26" s="29"/>
      <c r="Q26" s="29"/>
      <c r="R26" s="29"/>
      <c r="S26" s="29"/>
      <c r="T26" s="29"/>
      <c r="U26" s="29"/>
      <c r="V26" s="29"/>
      <c r="W26" s="90"/>
    </row>
    <row r="27" spans="1:23" ht="15.75" customHeight="1">
      <c r="A27" s="41">
        <v>6</v>
      </c>
      <c r="B27" s="15"/>
      <c r="C27" s="15" t="s">
        <v>1794</v>
      </c>
      <c r="D27" s="106">
        <v>0</v>
      </c>
      <c r="E27" s="106">
        <v>0</v>
      </c>
      <c r="F27" s="104">
        <f t="shared" ref="F27" si="0">3-0.1-0.012-0.1-0.065-0.1</f>
        <v>2.6229999999999998</v>
      </c>
      <c r="G27" s="29"/>
      <c r="H27" s="29"/>
      <c r="I27" s="29"/>
      <c r="J27" s="29"/>
      <c r="K27" s="29"/>
      <c r="L27" s="29"/>
      <c r="M27" s="29"/>
      <c r="N27" s="29"/>
      <c r="O27" s="29"/>
      <c r="P27" s="29"/>
      <c r="Q27" s="29"/>
      <c r="R27" s="29"/>
      <c r="S27" s="16">
        <f>D27*F27</f>
        <v>0</v>
      </c>
      <c r="T27" s="29"/>
      <c r="U27" s="29"/>
      <c r="V27" s="29"/>
      <c r="W27" s="87"/>
    </row>
    <row r="28" spans="1:23" ht="15.75" customHeight="1">
      <c r="A28" s="41">
        <v>7</v>
      </c>
      <c r="B28" s="15"/>
      <c r="C28" s="15" t="s">
        <v>1805</v>
      </c>
      <c r="D28" s="32">
        <f>D26-D27</f>
        <v>15.18</v>
      </c>
      <c r="E28" s="32">
        <f>E26-E27</f>
        <v>14.44</v>
      </c>
      <c r="F28" s="104">
        <f>3-0.1-0.012-0.1-0.065-0.1</f>
        <v>2.6229999999999998</v>
      </c>
      <c r="G28" s="106">
        <v>0</v>
      </c>
      <c r="H28" s="15"/>
      <c r="I28" s="29"/>
      <c r="J28" s="29"/>
      <c r="K28" s="29"/>
      <c r="L28" s="110">
        <v>2.8</v>
      </c>
      <c r="M28" s="106">
        <v>0</v>
      </c>
      <c r="N28" s="106">
        <v>0</v>
      </c>
      <c r="O28" s="30">
        <v>0</v>
      </c>
      <c r="P28" s="30">
        <v>0</v>
      </c>
      <c r="Q28" s="30"/>
      <c r="R28" s="30"/>
      <c r="S28" s="16">
        <f>D28*F28-(G28*$G$7+H28*$H$7+I28*$I$7+J28*$J$7+K28*$K$7+L28*$L$7)-M28*N28-O28*P28+Q28+R28</f>
        <v>33.461139999999993</v>
      </c>
      <c r="T28" s="29"/>
      <c r="U28" s="29"/>
      <c r="V28" s="29"/>
      <c r="W28" s="87"/>
    </row>
    <row r="29" spans="1:23" ht="15.75" customHeight="1">
      <c r="A29" s="41"/>
      <c r="B29" s="15"/>
      <c r="C29" s="44" t="s">
        <v>285</v>
      </c>
      <c r="D29" s="107">
        <v>14.98</v>
      </c>
      <c r="E29" s="43"/>
      <c r="F29" s="29"/>
      <c r="G29" s="29"/>
      <c r="H29" s="29"/>
      <c r="I29" s="29"/>
      <c r="J29" s="29"/>
      <c r="K29" s="29"/>
      <c r="L29" s="29"/>
      <c r="M29" s="29"/>
      <c r="N29" s="29"/>
      <c r="O29" s="29"/>
      <c r="P29" s="29"/>
      <c r="Q29" s="29"/>
      <c r="R29" s="29"/>
      <c r="S29" s="91"/>
      <c r="T29" s="29"/>
      <c r="U29" s="29"/>
      <c r="V29" s="29"/>
      <c r="W29" s="87"/>
    </row>
    <row r="30" spans="1:23" ht="15.75" customHeight="1">
      <c r="A30" s="46">
        <v>8</v>
      </c>
      <c r="B30" s="47" t="s">
        <v>246</v>
      </c>
      <c r="C30" s="34" t="s">
        <v>1806</v>
      </c>
      <c r="D30" s="34"/>
      <c r="E30" s="34">
        <f>E26</f>
        <v>14.44</v>
      </c>
      <c r="F30" s="36"/>
      <c r="G30" s="36"/>
      <c r="H30" s="36"/>
      <c r="I30" s="36"/>
      <c r="J30" s="36"/>
      <c r="K30" s="36"/>
      <c r="L30" s="36"/>
      <c r="M30" s="36"/>
      <c r="N30" s="36"/>
      <c r="O30" s="36"/>
      <c r="P30" s="36"/>
      <c r="Q30" s="36"/>
      <c r="R30" s="36"/>
      <c r="S30" s="35">
        <f>SUM(S27:S28)</f>
        <v>33.461139999999993</v>
      </c>
      <c r="T30" s="35">
        <f>D26-($G$6*G28+$H$6*H28)</f>
        <v>15.18</v>
      </c>
      <c r="U30" s="35">
        <f>M28*0.12</f>
        <v>0</v>
      </c>
      <c r="V30" s="35">
        <f>O28*0.7</f>
        <v>0</v>
      </c>
      <c r="W30" s="88">
        <v>0</v>
      </c>
    </row>
    <row r="31" spans="1:23" ht="15.75" customHeight="1">
      <c r="A31" s="41">
        <v>9</v>
      </c>
      <c r="B31" s="15" t="s">
        <v>1807</v>
      </c>
      <c r="C31" s="15" t="s">
        <v>1808</v>
      </c>
      <c r="D31" s="106">
        <v>13.4</v>
      </c>
      <c r="E31" s="106">
        <v>9.7799999999999994</v>
      </c>
      <c r="F31" s="15"/>
      <c r="G31" s="29"/>
      <c r="H31" s="29"/>
      <c r="I31" s="29"/>
      <c r="J31" s="29"/>
      <c r="K31" s="29"/>
      <c r="L31" s="29"/>
      <c r="M31" s="29"/>
      <c r="N31" s="29"/>
      <c r="O31" s="29"/>
      <c r="P31" s="29"/>
      <c r="Q31" s="29"/>
      <c r="R31" s="29"/>
      <c r="S31" s="29"/>
      <c r="T31" s="29"/>
      <c r="U31" s="29"/>
      <c r="V31" s="29"/>
      <c r="W31" s="90"/>
    </row>
    <row r="32" spans="1:23" ht="15.75" customHeight="1">
      <c r="A32" s="41">
        <v>10</v>
      </c>
      <c r="B32" s="15"/>
      <c r="C32" s="15" t="s">
        <v>1794</v>
      </c>
      <c r="D32" s="106">
        <v>0</v>
      </c>
      <c r="E32" s="106">
        <v>0</v>
      </c>
      <c r="F32" s="104">
        <f>3-0.1-0.012-0.1-0.065-0.1</f>
        <v>2.6229999999999998</v>
      </c>
      <c r="G32" s="29"/>
      <c r="H32" s="29"/>
      <c r="I32" s="29"/>
      <c r="J32" s="29"/>
      <c r="K32" s="29"/>
      <c r="L32" s="29"/>
      <c r="M32" s="29"/>
      <c r="N32" s="29"/>
      <c r="O32" s="29"/>
      <c r="P32" s="29"/>
      <c r="Q32" s="29"/>
      <c r="R32" s="29"/>
      <c r="S32" s="16">
        <f>D32*F32</f>
        <v>0</v>
      </c>
      <c r="T32" s="29"/>
      <c r="U32" s="29"/>
      <c r="V32" s="29"/>
      <c r="W32" s="87"/>
    </row>
    <row r="33" spans="1:23" ht="15.75" customHeight="1">
      <c r="A33" s="41">
        <v>11</v>
      </c>
      <c r="B33" s="15"/>
      <c r="C33" s="15" t="s">
        <v>1809</v>
      </c>
      <c r="D33" s="97">
        <f>D31-D32</f>
        <v>13.4</v>
      </c>
      <c r="E33" s="97"/>
      <c r="F33" s="104">
        <f>3-0.1-0.012-0.1-0.065-0.1</f>
        <v>2.6229999999999998</v>
      </c>
      <c r="G33" s="106">
        <v>0</v>
      </c>
      <c r="H33" s="15"/>
      <c r="I33" s="29"/>
      <c r="J33" s="29"/>
      <c r="K33" s="29"/>
      <c r="L33" s="29"/>
      <c r="M33" s="106">
        <v>1.7</v>
      </c>
      <c r="N33" s="106">
        <v>1.4</v>
      </c>
      <c r="O33" s="30">
        <v>0</v>
      </c>
      <c r="P33" s="30">
        <v>0</v>
      </c>
      <c r="Q33" s="106">
        <v>0</v>
      </c>
      <c r="R33" s="106">
        <v>0</v>
      </c>
      <c r="S33" s="16">
        <f>D33*F33-(G33*$G$7+H33*$H$7+I33*$I$7+J33*$J$7+K33*$K$7+L33*$L$7)-M33*N33-O33*P33+Q33+R33</f>
        <v>32.768199999999993</v>
      </c>
      <c r="T33" s="29"/>
      <c r="U33" s="29"/>
      <c r="V33" s="29"/>
      <c r="W33" s="87"/>
    </row>
    <row r="34" spans="1:23" ht="15.75" customHeight="1">
      <c r="A34" s="41"/>
      <c r="B34" s="15"/>
      <c r="C34" s="44" t="s">
        <v>285</v>
      </c>
      <c r="D34" s="107">
        <v>13.4</v>
      </c>
      <c r="E34" s="43"/>
      <c r="F34" s="29"/>
      <c r="G34" s="29"/>
      <c r="H34" s="29"/>
      <c r="I34" s="29"/>
      <c r="J34" s="29"/>
      <c r="K34" s="29"/>
      <c r="L34" s="29"/>
      <c r="M34" s="29"/>
      <c r="N34" s="29"/>
      <c r="O34" s="29"/>
      <c r="P34" s="29"/>
      <c r="Q34" s="29"/>
      <c r="R34" s="29"/>
      <c r="S34" s="91"/>
      <c r="T34" s="29"/>
      <c r="U34" s="29"/>
      <c r="V34" s="29"/>
      <c r="W34" s="87"/>
    </row>
    <row r="35" spans="1:23" ht="15.75" customHeight="1">
      <c r="A35" s="46">
        <v>12</v>
      </c>
      <c r="B35" s="47" t="s">
        <v>136</v>
      </c>
      <c r="C35" s="34" t="s">
        <v>1810</v>
      </c>
      <c r="D35" s="34"/>
      <c r="E35" s="34">
        <f>E31</f>
        <v>9.7799999999999994</v>
      </c>
      <c r="F35" s="36"/>
      <c r="G35" s="36"/>
      <c r="H35" s="36"/>
      <c r="I35" s="36"/>
      <c r="J35" s="36"/>
      <c r="K35" s="36"/>
      <c r="L35" s="36"/>
      <c r="M35" s="36"/>
      <c r="N35" s="36"/>
      <c r="O35" s="36"/>
      <c r="P35" s="36"/>
      <c r="Q35" s="36"/>
      <c r="R35" s="36"/>
      <c r="S35" s="35">
        <f>SUM(S32:S33)</f>
        <v>32.768199999999993</v>
      </c>
      <c r="T35" s="35">
        <f>D31-($G$6*G33+$H$6*H33)</f>
        <v>13.4</v>
      </c>
      <c r="U35" s="35">
        <f>M33*0.12</f>
        <v>0.20399999999999999</v>
      </c>
      <c r="V35" s="35">
        <f>O33*0.7</f>
        <v>0</v>
      </c>
      <c r="W35" s="88">
        <v>0</v>
      </c>
    </row>
    <row r="36" spans="1:23" ht="15.75" customHeight="1">
      <c r="A36" s="46">
        <v>13</v>
      </c>
      <c r="B36" s="47"/>
      <c r="C36" s="34" t="s">
        <v>1811</v>
      </c>
      <c r="D36" s="47"/>
      <c r="E36" s="35">
        <f>E25+E30+E35</f>
        <v>47.57</v>
      </c>
      <c r="F36" s="47"/>
      <c r="G36" s="47"/>
      <c r="H36" s="47"/>
      <c r="I36" s="47"/>
      <c r="J36" s="47"/>
      <c r="K36" s="47"/>
      <c r="L36" s="47"/>
      <c r="M36" s="47"/>
      <c r="N36" s="47"/>
      <c r="O36" s="47"/>
      <c r="P36" s="47"/>
      <c r="Q36" s="47"/>
      <c r="R36" s="47"/>
      <c r="S36" s="35">
        <f t="shared" ref="S36" si="1">S25+S30+S35</f>
        <v>109.55295999999998</v>
      </c>
      <c r="T36" s="35">
        <f>T25+T30+T35</f>
        <v>49.52</v>
      </c>
      <c r="U36" s="35">
        <f>U25+U30+U35</f>
        <v>0.20399999999999999</v>
      </c>
      <c r="V36" s="35">
        <f>V25+V30+V35</f>
        <v>0</v>
      </c>
      <c r="W36" s="35">
        <f>W25+W30+W35</f>
        <v>0</v>
      </c>
    </row>
    <row r="37" spans="1:23" ht="24.75" customHeight="1">
      <c r="A37" s="37" t="s">
        <v>60</v>
      </c>
      <c r="B37" s="38"/>
      <c r="C37" s="39" t="s">
        <v>1812</v>
      </c>
      <c r="D37" s="38"/>
      <c r="E37" s="38"/>
      <c r="F37" s="38"/>
      <c r="G37" s="40"/>
      <c r="H37" s="40"/>
      <c r="I37" s="40"/>
      <c r="J37" s="40"/>
      <c r="K37" s="40"/>
      <c r="L37" s="40"/>
      <c r="M37" s="40"/>
      <c r="N37" s="40"/>
      <c r="O37" s="40"/>
      <c r="P37" s="40"/>
      <c r="Q37" s="40"/>
      <c r="R37" s="38"/>
      <c r="S37" s="38">
        <v>0</v>
      </c>
      <c r="T37" s="38"/>
      <c r="U37" s="40"/>
      <c r="V37" s="40"/>
      <c r="W37" s="89"/>
    </row>
    <row r="38" spans="1:23" ht="15.75" customHeight="1">
      <c r="A38" s="48">
        <v>7</v>
      </c>
      <c r="B38" s="49"/>
      <c r="C38" s="49" t="s">
        <v>634</v>
      </c>
      <c r="D38" s="32">
        <v>0</v>
      </c>
      <c r="E38" s="32">
        <v>0</v>
      </c>
      <c r="F38" s="49">
        <v>0</v>
      </c>
      <c r="G38" s="49">
        <v>0</v>
      </c>
      <c r="H38" s="49"/>
      <c r="I38" s="81"/>
      <c r="J38" s="81"/>
      <c r="K38" s="81"/>
      <c r="L38" s="81"/>
      <c r="M38" s="81"/>
      <c r="N38" s="81"/>
      <c r="O38" s="81"/>
      <c r="P38" s="81"/>
      <c r="Q38" s="81"/>
      <c r="R38" s="81"/>
      <c r="S38" s="32">
        <f>(D38*F38-G7*G38-H7*H38)*S37</f>
        <v>0</v>
      </c>
      <c r="T38" s="43">
        <f>(D38-G6)*S37</f>
        <v>0</v>
      </c>
      <c r="U38" s="81"/>
      <c r="V38" s="81"/>
      <c r="W38" s="92"/>
    </row>
    <row r="39" spans="1:23" ht="33.75" customHeight="1">
      <c r="A39" s="50"/>
      <c r="B39" s="51"/>
      <c r="C39" s="51"/>
      <c r="D39" s="51"/>
      <c r="E39" s="51"/>
      <c r="F39" s="51"/>
      <c r="G39" s="51"/>
      <c r="H39" s="51"/>
      <c r="I39" s="51"/>
      <c r="J39" s="51"/>
      <c r="K39" s="51"/>
      <c r="L39" s="51"/>
      <c r="M39" s="51"/>
      <c r="N39" s="51"/>
      <c r="O39" s="51"/>
      <c r="P39" s="51"/>
      <c r="Q39" s="51"/>
      <c r="R39" s="51"/>
      <c r="S39" s="51"/>
      <c r="T39" s="51"/>
      <c r="U39" s="51"/>
      <c r="V39" s="51"/>
    </row>
    <row r="40" spans="1:23" ht="22.5" customHeight="1">
      <c r="A40" s="994" t="s">
        <v>54</v>
      </c>
      <c r="B40" s="990" t="s">
        <v>1758</v>
      </c>
      <c r="C40" s="990" t="s">
        <v>1767</v>
      </c>
      <c r="D40" s="14" t="s">
        <v>1768</v>
      </c>
      <c r="E40" s="14" t="s">
        <v>1769</v>
      </c>
      <c r="F40" s="998" t="s">
        <v>1813</v>
      </c>
      <c r="G40" s="15" t="s">
        <v>1771</v>
      </c>
      <c r="H40" s="999" t="s">
        <v>1773</v>
      </c>
      <c r="I40" s="999"/>
      <c r="J40" s="999" t="s">
        <v>1774</v>
      </c>
      <c r="K40" s="999"/>
      <c r="L40" s="15" t="s">
        <v>315</v>
      </c>
      <c r="M40" s="15" t="s">
        <v>1814</v>
      </c>
      <c r="N40" s="82" t="s">
        <v>1815</v>
      </c>
      <c r="O40" s="15" t="s">
        <v>1816</v>
      </c>
      <c r="P40" s="15"/>
      <c r="Q40" s="988" t="s">
        <v>1817</v>
      </c>
      <c r="R40" s="988" t="s">
        <v>1818</v>
      </c>
      <c r="S40" s="988" t="s">
        <v>1819</v>
      </c>
      <c r="T40" s="988" t="s">
        <v>1820</v>
      </c>
      <c r="U40" s="52" t="s">
        <v>275</v>
      </c>
      <c r="V40" s="52" t="s">
        <v>335</v>
      </c>
      <c r="W40" s="52" t="s">
        <v>338</v>
      </c>
    </row>
    <row r="41" spans="1:23" ht="24" customHeight="1">
      <c r="A41" s="994"/>
      <c r="B41" s="990"/>
      <c r="C41" s="990"/>
      <c r="D41" s="988" t="s">
        <v>1780</v>
      </c>
      <c r="E41" s="988"/>
      <c r="F41" s="998"/>
      <c r="G41" s="14" t="s">
        <v>1482</v>
      </c>
      <c r="H41" s="15" t="s">
        <v>1821</v>
      </c>
      <c r="I41" s="15" t="s">
        <v>1822</v>
      </c>
      <c r="J41" s="15" t="s">
        <v>1821</v>
      </c>
      <c r="K41" s="15" t="s">
        <v>1822</v>
      </c>
      <c r="L41" s="15" t="s">
        <v>1823</v>
      </c>
      <c r="M41" s="15" t="s">
        <v>1823</v>
      </c>
      <c r="N41" s="15" t="s">
        <v>1823</v>
      </c>
      <c r="O41" s="15" t="s">
        <v>1824</v>
      </c>
      <c r="P41" s="15"/>
      <c r="Q41" s="988"/>
      <c r="R41" s="988"/>
      <c r="S41" s="988"/>
      <c r="T41" s="988"/>
      <c r="U41" s="15" t="s">
        <v>1823</v>
      </c>
      <c r="V41" s="93" t="s">
        <v>336</v>
      </c>
      <c r="W41" s="93" t="s">
        <v>231</v>
      </c>
    </row>
    <row r="42" spans="1:23" ht="24.75" customHeight="1">
      <c r="A42" s="994"/>
      <c r="B42" s="990"/>
      <c r="C42" s="990"/>
      <c r="D42" s="14" t="s">
        <v>235</v>
      </c>
      <c r="E42" s="14" t="s">
        <v>1092</v>
      </c>
      <c r="F42" s="998"/>
      <c r="G42" s="16"/>
      <c r="H42" s="15"/>
      <c r="I42" s="15"/>
      <c r="J42" s="15"/>
      <c r="K42" s="15"/>
      <c r="L42" s="15"/>
      <c r="M42" s="15"/>
      <c r="N42" s="15"/>
      <c r="O42" s="15"/>
      <c r="P42" s="15"/>
      <c r="Q42" s="988"/>
      <c r="R42" s="988"/>
      <c r="S42" s="988"/>
      <c r="T42" s="988"/>
      <c r="U42" s="15"/>
      <c r="V42" s="15"/>
      <c r="W42" s="94"/>
    </row>
    <row r="43" spans="1:23" ht="24" customHeight="1">
      <c r="A43" s="53" t="s">
        <v>62</v>
      </c>
      <c r="B43" s="54"/>
      <c r="C43" s="54" t="s">
        <v>299</v>
      </c>
      <c r="D43" s="54"/>
      <c r="E43" s="54"/>
      <c r="F43" s="54"/>
      <c r="G43" s="54"/>
      <c r="H43" s="54"/>
      <c r="I43" s="54"/>
      <c r="J43" s="54"/>
      <c r="K43" s="54"/>
      <c r="L43" s="54"/>
      <c r="M43" s="54"/>
      <c r="N43" s="54"/>
      <c r="O43" s="54"/>
      <c r="P43" s="54"/>
      <c r="Q43" s="54"/>
      <c r="R43" s="54"/>
      <c r="S43" s="54"/>
      <c r="T43" s="54"/>
      <c r="U43" s="54"/>
      <c r="V43" s="54"/>
      <c r="W43" s="95"/>
    </row>
    <row r="44" spans="1:23" ht="24" customHeight="1">
      <c r="A44" s="55">
        <v>1</v>
      </c>
      <c r="B44" s="56"/>
      <c r="C44" s="56" t="s">
        <v>1825</v>
      </c>
      <c r="D44" s="30">
        <v>6.02</v>
      </c>
      <c r="E44" s="104">
        <v>5.16</v>
      </c>
      <c r="F44" s="104">
        <f>2.38+0.02</f>
        <v>2.4</v>
      </c>
      <c r="G44" s="104">
        <v>1</v>
      </c>
      <c r="H44" s="104">
        <v>0</v>
      </c>
      <c r="I44" s="104">
        <v>0</v>
      </c>
      <c r="J44" s="56"/>
      <c r="K44" s="56"/>
      <c r="L44" s="104">
        <v>1.18</v>
      </c>
      <c r="M44" s="104">
        <v>1.29</v>
      </c>
      <c r="N44" s="104"/>
      <c r="O44" s="104">
        <v>1.64</v>
      </c>
      <c r="P44" s="56"/>
      <c r="Q44" s="56"/>
      <c r="R44" s="96">
        <f>D44*1.8+D45*1.8-$H$6*G44*1.8-(1.8-0.9)*H44+(H44+(1.8-0.9)*2)*0.1</f>
        <v>15.868799999999998</v>
      </c>
      <c r="S44" s="96">
        <f>D44*F44+D45*F45-$H$7*G44-H44*I44+(H44+I44)*2*0.1</f>
        <v>20.672431999999997</v>
      </c>
      <c r="T44" s="96">
        <f>E44+(D44+D45-$H$6)*0.15</f>
        <v>6.4673999999999996</v>
      </c>
      <c r="U44" s="56"/>
      <c r="V44" s="56"/>
      <c r="W44" s="98"/>
    </row>
    <row r="45" spans="1:23" ht="24" customHeight="1">
      <c r="A45" s="55"/>
      <c r="B45" s="56"/>
      <c r="C45" s="56"/>
      <c r="D45" s="30">
        <v>3.54</v>
      </c>
      <c r="E45" s="56"/>
      <c r="F45" s="104">
        <f>2.28+0.02</f>
        <v>2.2999999999999998</v>
      </c>
      <c r="G45" s="56"/>
      <c r="H45" s="56"/>
      <c r="I45" s="56"/>
      <c r="J45" s="56"/>
      <c r="K45" s="56"/>
      <c r="L45" s="56"/>
      <c r="M45" s="56"/>
      <c r="N45" s="56"/>
      <c r="O45" s="56"/>
      <c r="P45" s="56"/>
      <c r="Q45" s="56"/>
      <c r="R45" s="96"/>
      <c r="S45" s="96"/>
      <c r="T45" s="96"/>
      <c r="U45" s="56"/>
      <c r="V45" s="56"/>
      <c r="W45" s="98"/>
    </row>
    <row r="46" spans="1:23" ht="24" customHeight="1">
      <c r="A46" s="55">
        <v>2</v>
      </c>
      <c r="B46" s="56"/>
      <c r="C46" s="56" t="s">
        <v>1826</v>
      </c>
      <c r="D46" s="30"/>
      <c r="E46" s="30"/>
      <c r="F46" s="30"/>
      <c r="G46" s="30"/>
      <c r="H46" s="30"/>
      <c r="I46" s="30"/>
      <c r="J46" s="30"/>
      <c r="K46" s="30"/>
      <c r="L46" s="30"/>
      <c r="M46" s="30"/>
      <c r="N46" s="30"/>
      <c r="O46" s="30"/>
      <c r="P46" s="30"/>
      <c r="Q46" s="56"/>
      <c r="R46" s="96">
        <f>(D46*1.8-$H$6*G46*1.8-(1.8-0.9)*H46+(H46+(1.8-0.9)*2)*0.1)*$J$3</f>
        <v>0</v>
      </c>
      <c r="S46" s="96">
        <f>D46*F46-$H$7*G46-H46*I46+(H46+I46)*2*0.1</f>
        <v>0</v>
      </c>
      <c r="T46" s="96">
        <f>(E46+(D46-$H$6)*0.15)*$J$3</f>
        <v>0</v>
      </c>
      <c r="U46" s="56"/>
      <c r="V46" s="56"/>
      <c r="W46" s="98"/>
    </row>
    <row r="47" spans="1:23" ht="24" customHeight="1">
      <c r="A47" s="55"/>
      <c r="B47" s="56"/>
      <c r="C47" s="56"/>
      <c r="D47" s="30"/>
      <c r="E47" s="30"/>
      <c r="F47" s="30"/>
      <c r="G47" s="30"/>
      <c r="H47" s="30"/>
      <c r="I47" s="30"/>
      <c r="J47" s="30"/>
      <c r="K47" s="30"/>
      <c r="L47" s="30"/>
      <c r="M47" s="30"/>
      <c r="N47" s="30"/>
      <c r="O47" s="30"/>
      <c r="P47" s="30"/>
      <c r="Q47" s="56"/>
      <c r="R47" s="96"/>
      <c r="S47" s="96"/>
      <c r="T47" s="96"/>
      <c r="U47" s="56"/>
      <c r="V47" s="56"/>
      <c r="W47" s="98"/>
    </row>
    <row r="48" spans="1:23" ht="24" customHeight="1">
      <c r="A48" s="46">
        <v>3</v>
      </c>
      <c r="B48" s="47"/>
      <c r="C48" s="34" t="s">
        <v>1827</v>
      </c>
      <c r="D48" s="47"/>
      <c r="E48" s="35">
        <f>E44+E45+E46+E47</f>
        <v>5.16</v>
      </c>
      <c r="F48" s="35"/>
      <c r="G48" s="35"/>
      <c r="H48" s="35"/>
      <c r="I48" s="35"/>
      <c r="J48" s="35"/>
      <c r="K48" s="35"/>
      <c r="L48" s="35">
        <f t="shared" ref="L48" si="2">SUM(L44:L46)</f>
        <v>1.18</v>
      </c>
      <c r="M48" s="35">
        <f t="shared" ref="M48:W48" si="3">SUM(M44:M46)</f>
        <v>1.29</v>
      </c>
      <c r="N48" s="35">
        <f t="shared" si="3"/>
        <v>0</v>
      </c>
      <c r="O48" s="35">
        <f t="shared" si="3"/>
        <v>1.64</v>
      </c>
      <c r="P48" s="35">
        <f t="shared" si="3"/>
        <v>0</v>
      </c>
      <c r="Q48" s="35">
        <f t="shared" si="3"/>
        <v>0</v>
      </c>
      <c r="R48" s="35">
        <f t="shared" si="3"/>
        <v>15.868799999999998</v>
      </c>
      <c r="S48" s="35">
        <f t="shared" si="3"/>
        <v>20.672431999999997</v>
      </c>
      <c r="T48" s="35">
        <f t="shared" si="3"/>
        <v>6.4673999999999996</v>
      </c>
      <c r="U48" s="35">
        <f t="shared" si="3"/>
        <v>0</v>
      </c>
      <c r="V48" s="35">
        <f t="shared" si="3"/>
        <v>0</v>
      </c>
      <c r="W48" s="35">
        <f t="shared" si="3"/>
        <v>0</v>
      </c>
    </row>
    <row r="49" spans="1:23" ht="24" customHeight="1">
      <c r="A49" s="57"/>
      <c r="B49" s="58"/>
      <c r="C49" s="59"/>
      <c r="D49" s="58"/>
      <c r="E49" s="60"/>
      <c r="F49" s="60"/>
      <c r="G49" s="60"/>
      <c r="H49" s="60"/>
      <c r="I49" s="60"/>
      <c r="J49" s="60"/>
      <c r="K49" s="60"/>
      <c r="L49" s="60"/>
      <c r="M49" s="60"/>
      <c r="N49" s="60"/>
      <c r="O49" s="60"/>
      <c r="P49" s="60"/>
      <c r="Q49" s="60"/>
      <c r="R49" s="60"/>
      <c r="S49" s="60"/>
      <c r="T49" s="60"/>
      <c r="U49" s="60"/>
      <c r="V49" s="60"/>
      <c r="W49" s="99"/>
    </row>
    <row r="50" spans="1:23" ht="30" customHeight="1">
      <c r="A50" s="994" t="s">
        <v>54</v>
      </c>
      <c r="B50" s="990" t="s">
        <v>1758</v>
      </c>
      <c r="C50" s="990" t="s">
        <v>1767</v>
      </c>
      <c r="D50" s="14" t="s">
        <v>1768</v>
      </c>
      <c r="E50" s="14" t="s">
        <v>1769</v>
      </c>
      <c r="F50" s="998" t="s">
        <v>1813</v>
      </c>
      <c r="G50" s="61" t="s">
        <v>1771</v>
      </c>
      <c r="H50" s="62"/>
      <c r="I50" s="996" t="s">
        <v>1828</v>
      </c>
      <c r="J50" s="997"/>
      <c r="K50" s="988" t="s">
        <v>1829</v>
      </c>
      <c r="L50" s="988"/>
      <c r="M50" s="1003" t="s">
        <v>375</v>
      </c>
      <c r="N50" s="988" t="s">
        <v>1818</v>
      </c>
      <c r="O50" s="988" t="s">
        <v>1819</v>
      </c>
      <c r="P50" s="988" t="s">
        <v>1830</v>
      </c>
      <c r="Q50" s="988" t="s">
        <v>1831</v>
      </c>
      <c r="R50" s="988" t="s">
        <v>1832</v>
      </c>
      <c r="S50" s="112" t="s">
        <v>1418</v>
      </c>
      <c r="T50" s="988"/>
      <c r="U50" s="15"/>
      <c r="V50" s="15"/>
      <c r="W50" s="82"/>
    </row>
    <row r="51" spans="1:23" ht="35.25" customHeight="1">
      <c r="A51" s="994"/>
      <c r="B51" s="990"/>
      <c r="C51" s="990"/>
      <c r="D51" s="988" t="s">
        <v>1780</v>
      </c>
      <c r="E51" s="988"/>
      <c r="F51" s="998"/>
      <c r="G51" s="14" t="s">
        <v>1782</v>
      </c>
      <c r="H51" s="14" t="s">
        <v>1783</v>
      </c>
      <c r="I51" s="14" t="s">
        <v>1833</v>
      </c>
      <c r="J51" s="15" t="s">
        <v>1834</v>
      </c>
      <c r="K51" s="14" t="s">
        <v>1833</v>
      </c>
      <c r="L51" s="15" t="s">
        <v>1834</v>
      </c>
      <c r="M51" s="1004"/>
      <c r="N51" s="988"/>
      <c r="O51" s="988"/>
      <c r="P51" s="988"/>
      <c r="Q51" s="988"/>
      <c r="R51" s="988"/>
      <c r="S51" s="113">
        <v>1.1599999999999999</v>
      </c>
      <c r="T51" s="988"/>
      <c r="U51" s="15"/>
      <c r="V51" s="15"/>
      <c r="W51" s="15"/>
    </row>
    <row r="52" spans="1:23" ht="24.75" customHeight="1">
      <c r="A52" s="994"/>
      <c r="B52" s="990"/>
      <c r="C52" s="990"/>
      <c r="D52" s="14" t="s">
        <v>235</v>
      </c>
      <c r="E52" s="14" t="s">
        <v>1092</v>
      </c>
      <c r="F52" s="998"/>
      <c r="G52" s="16"/>
      <c r="H52" s="15"/>
      <c r="I52" s="15" t="s">
        <v>1823</v>
      </c>
      <c r="J52" s="15" t="s">
        <v>1823</v>
      </c>
      <c r="K52" s="15" t="s">
        <v>1823</v>
      </c>
      <c r="L52" s="15" t="s">
        <v>1823</v>
      </c>
      <c r="M52" s="17" t="s">
        <v>1092</v>
      </c>
      <c r="N52" s="988"/>
      <c r="O52" s="988"/>
      <c r="P52" s="15" t="s">
        <v>1835</v>
      </c>
      <c r="Q52" s="15" t="s">
        <v>1835</v>
      </c>
      <c r="R52" s="15" t="s">
        <v>1835</v>
      </c>
      <c r="S52" s="114">
        <f>1.16*2.18</f>
        <v>2.5287999999999999</v>
      </c>
      <c r="T52" s="988"/>
      <c r="U52" s="15"/>
      <c r="V52" s="15"/>
      <c r="W52" s="94"/>
    </row>
    <row r="53" spans="1:23" ht="24" customHeight="1">
      <c r="A53" s="53" t="s">
        <v>64</v>
      </c>
      <c r="B53" s="54"/>
      <c r="C53" s="54" t="s">
        <v>1354</v>
      </c>
      <c r="D53" s="54"/>
      <c r="E53" s="54"/>
      <c r="F53" s="54"/>
      <c r="G53" s="54"/>
      <c r="H53" s="54"/>
      <c r="I53" s="54"/>
      <c r="J53" s="54"/>
      <c r="K53" s="54"/>
      <c r="L53" s="54"/>
      <c r="M53" s="54"/>
      <c r="N53" s="54"/>
      <c r="O53" s="54"/>
      <c r="P53" s="54"/>
      <c r="Q53" s="54"/>
      <c r="R53" s="54"/>
      <c r="S53" s="115"/>
      <c r="T53" s="54"/>
      <c r="U53" s="54"/>
      <c r="V53" s="54"/>
      <c r="W53" s="95"/>
    </row>
    <row r="54" spans="1:23" ht="15.75" customHeight="1">
      <c r="A54" s="63" t="s">
        <v>1836</v>
      </c>
      <c r="B54" s="64" t="s">
        <v>133</v>
      </c>
      <c r="C54" s="64" t="s">
        <v>1837</v>
      </c>
      <c r="D54" s="109">
        <v>11.82</v>
      </c>
      <c r="E54" s="109">
        <v>7.31</v>
      </c>
      <c r="F54" s="109">
        <f>2.38</f>
        <v>2.38</v>
      </c>
      <c r="G54" s="109">
        <f>I16</f>
        <v>0</v>
      </c>
      <c r="H54" s="109">
        <f>J17</f>
        <v>0</v>
      </c>
      <c r="I54" s="111">
        <v>0</v>
      </c>
      <c r="J54" s="111">
        <v>0</v>
      </c>
      <c r="K54" s="111">
        <v>0</v>
      </c>
      <c r="L54" s="111">
        <v>0</v>
      </c>
      <c r="M54" s="109">
        <f>2.86*0.82</f>
        <v>2.3451999999999997</v>
      </c>
      <c r="N54" s="83">
        <f>(D54-I6*G54-J6*H54-I54-K54)*1</f>
        <v>11.82</v>
      </c>
      <c r="O54" s="84">
        <f>D54*F54-I7*G54-J7*H54-I54*2.24-J54*1.19-K54*2.24-L54*1.32-M54+(2.24+I54+J54+1.19+J54)*0.1*P54+(2.24*2+K54)*0.1*Q54+(1.32*2+L54*2)*0.1*R54</f>
        <v>25.7864</v>
      </c>
      <c r="P54" s="111">
        <v>0</v>
      </c>
      <c r="Q54" s="111">
        <v>0</v>
      </c>
      <c r="R54" s="109">
        <v>0</v>
      </c>
      <c r="S54" s="116">
        <v>1</v>
      </c>
      <c r="T54" s="64"/>
      <c r="U54" s="64"/>
      <c r="V54" s="64"/>
      <c r="W54" s="100"/>
    </row>
    <row r="55" spans="1:23" ht="30" customHeight="1">
      <c r="A55" s="41"/>
      <c r="B55" s="15"/>
      <c r="C55" s="52" t="s">
        <v>1838</v>
      </c>
      <c r="D55" s="15"/>
      <c r="E55" s="104">
        <v>1.51</v>
      </c>
      <c r="F55" s="15"/>
      <c r="G55" s="15"/>
      <c r="H55" s="15"/>
      <c r="I55" s="15"/>
      <c r="J55" s="15"/>
      <c r="K55" s="15"/>
      <c r="L55" s="15"/>
      <c r="M55" s="15"/>
      <c r="N55" s="15"/>
      <c r="O55" s="15"/>
      <c r="P55" s="15"/>
      <c r="Q55" s="15"/>
      <c r="R55" s="15"/>
      <c r="S55" s="15"/>
      <c r="T55" s="15"/>
      <c r="U55" s="15"/>
      <c r="V55" s="15"/>
      <c r="W55" s="101"/>
    </row>
    <row r="56" spans="1:23" ht="22.5" customHeight="1">
      <c r="A56" s="66"/>
      <c r="B56" s="67"/>
      <c r="C56" s="68" t="s">
        <v>1839</v>
      </c>
      <c r="D56" s="67"/>
      <c r="E56" s="69">
        <f>E54-E55</f>
        <v>5.8</v>
      </c>
      <c r="F56" s="70"/>
      <c r="G56" s="70"/>
      <c r="H56" s="70"/>
      <c r="I56" s="70"/>
      <c r="J56" s="70"/>
      <c r="K56" s="70"/>
      <c r="L56" s="70"/>
      <c r="M56" s="70"/>
      <c r="N56" s="70"/>
      <c r="O56" s="70"/>
      <c r="P56" s="70"/>
      <c r="Q56" s="70"/>
      <c r="R56" s="70"/>
      <c r="S56" s="70"/>
      <c r="T56" s="67"/>
      <c r="U56" s="67"/>
      <c r="V56" s="67"/>
      <c r="W56" s="67"/>
    </row>
    <row r="57" spans="1:23" ht="22.5" customHeight="1">
      <c r="A57" s="71"/>
      <c r="B57" s="72"/>
      <c r="C57" s="73"/>
      <c r="D57" s="72"/>
      <c r="E57" s="74"/>
      <c r="F57" s="75"/>
      <c r="G57" s="76"/>
      <c r="H57" s="77"/>
      <c r="I57" s="76"/>
      <c r="J57" s="77"/>
      <c r="K57" s="75"/>
      <c r="L57" s="75"/>
      <c r="M57" s="75"/>
      <c r="N57" s="75"/>
      <c r="O57" s="75"/>
      <c r="P57" s="75"/>
      <c r="Q57" s="75"/>
      <c r="R57" s="75"/>
      <c r="S57" s="75"/>
      <c r="T57" s="72"/>
      <c r="U57" s="72"/>
      <c r="V57" s="72"/>
      <c r="W57" s="72"/>
    </row>
    <row r="58" spans="1:23" ht="19.5" customHeight="1">
      <c r="A58" s="3" t="s">
        <v>1840</v>
      </c>
      <c r="E58" s="4"/>
      <c r="F58" s="4"/>
      <c r="G58" s="4"/>
      <c r="H58" s="4"/>
      <c r="I58" s="4"/>
      <c r="J58" s="4"/>
      <c r="K58" s="4"/>
      <c r="L58" s="4"/>
      <c r="M58" s="4"/>
      <c r="N58" s="4"/>
      <c r="O58" s="4"/>
      <c r="P58" s="4"/>
      <c r="Q58" s="4"/>
      <c r="R58" s="4"/>
      <c r="S58" s="4"/>
    </row>
    <row r="59" spans="1:23" ht="19.5" customHeight="1">
      <c r="A59" s="3"/>
      <c r="E59" s="4"/>
      <c r="F59" s="4"/>
      <c r="G59" s="4"/>
      <c r="H59" s="4"/>
      <c r="I59" s="4"/>
      <c r="J59" s="4"/>
      <c r="K59" s="4"/>
      <c r="L59" s="4"/>
      <c r="M59" s="4"/>
      <c r="N59" s="4"/>
      <c r="O59" s="4"/>
      <c r="P59" s="4"/>
      <c r="Q59" s="4"/>
      <c r="R59" s="4"/>
      <c r="S59" s="4"/>
    </row>
  </sheetData>
  <mergeCells count="39">
    <mergeCell ref="T4:T7"/>
    <mergeCell ref="T40:T42"/>
    <mergeCell ref="T50:T52"/>
    <mergeCell ref="W4:W7"/>
    <mergeCell ref="M4:N5"/>
    <mergeCell ref="O4:P5"/>
    <mergeCell ref="U4:V5"/>
    <mergeCell ref="R4:R7"/>
    <mergeCell ref="R40:R42"/>
    <mergeCell ref="R50:R51"/>
    <mergeCell ref="S4:S7"/>
    <mergeCell ref="S40:S42"/>
    <mergeCell ref="M50:M51"/>
    <mergeCell ref="N50:N52"/>
    <mergeCell ref="O50:O52"/>
    <mergeCell ref="P50:P51"/>
    <mergeCell ref="F4:F7"/>
    <mergeCell ref="F40:F42"/>
    <mergeCell ref="F50:F52"/>
    <mergeCell ref="G4:K4"/>
    <mergeCell ref="D5:E5"/>
    <mergeCell ref="H40:I40"/>
    <mergeCell ref="J40:K40"/>
    <mergeCell ref="D41:E41"/>
    <mergeCell ref="D51:E51"/>
    <mergeCell ref="Q4:Q7"/>
    <mergeCell ref="Q40:Q42"/>
    <mergeCell ref="Q50:Q51"/>
    <mergeCell ref="I50:J50"/>
    <mergeCell ref="K50:L50"/>
    <mergeCell ref="C4:C7"/>
    <mergeCell ref="C40:C42"/>
    <mergeCell ref="C50:C52"/>
    <mergeCell ref="A4:A7"/>
    <mergeCell ref="A40:A42"/>
    <mergeCell ref="A50:A52"/>
    <mergeCell ref="B4:B7"/>
    <mergeCell ref="B40:B42"/>
    <mergeCell ref="B50:B52"/>
  </mergeCells>
  <phoneticPr fontId="7" type="noConversion"/>
  <printOptions horizontalCentered="1"/>
  <pageMargins left="0.43307086614173229" right="0.23622047244094491" top="0.74803149606299213" bottom="0.74803149606299213" header="0.31496062992125984" footer="0.31496062992125984"/>
  <pageSetup paperSize="9" scale="85" orientation="portrait" blackAndWhite="1" r:id="rId1"/>
  <headerFooter alignWithMargins="0">
    <oddFooter>&amp;C第 &amp;P 页，共 &amp;N 页</oddFooter>
  </headerFooter>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indexed="60"/>
  </sheetPr>
  <dimension ref="A1:W59"/>
  <sheetViews>
    <sheetView zoomScale="93" zoomScaleNormal="93" workbookViewId="0">
      <pane xSplit="5" ySplit="7" topLeftCell="F26" activePane="bottomRight" state="frozen"/>
      <selection activeCell="J6" sqref="J6"/>
      <selection pane="topRight" activeCell="J6" sqref="J6"/>
      <selection pane="bottomLeft" activeCell="J6" sqref="J6"/>
      <selection pane="bottomRight" activeCell="J6" sqref="J6"/>
    </sheetView>
  </sheetViews>
  <sheetFormatPr defaultColWidth="9.125" defaultRowHeight="14.25"/>
  <cols>
    <col min="1" max="1" width="6.875" customWidth="1"/>
    <col min="2" max="2" width="11.75" customWidth="1"/>
    <col min="3" max="3" width="28" customWidth="1"/>
    <col min="4" max="4" width="9.25" customWidth="1"/>
    <col min="5" max="5" width="11.75" customWidth="1"/>
    <col min="6" max="11" width="9.25" customWidth="1"/>
    <col min="12" max="12" width="10.25" customWidth="1"/>
    <col min="13" max="18" width="9.25" customWidth="1"/>
    <col min="19" max="19" width="9.75" customWidth="1"/>
    <col min="20" max="21" width="9.25" customWidth="1"/>
    <col min="22" max="22" width="9.375" customWidth="1"/>
  </cols>
  <sheetData>
    <row r="1" spans="1:23" ht="21" customHeight="1">
      <c r="A1" s="3"/>
      <c r="C1" s="1" t="s">
        <v>1755</v>
      </c>
      <c r="E1" s="4"/>
      <c r="F1" s="4"/>
      <c r="G1" s="4"/>
      <c r="H1" s="4"/>
      <c r="I1" s="4"/>
      <c r="J1" s="4"/>
      <c r="K1" s="4"/>
      <c r="L1" s="4"/>
      <c r="M1" s="4"/>
      <c r="N1" s="4"/>
      <c r="O1" s="4"/>
      <c r="P1" s="4"/>
      <c r="Q1" s="4"/>
      <c r="R1" s="4"/>
      <c r="S1" s="4"/>
    </row>
    <row r="2" spans="1:23" ht="21" customHeight="1">
      <c r="A2" s="5" t="s">
        <v>1756</v>
      </c>
      <c r="B2" s="6" t="s">
        <v>131</v>
      </c>
      <c r="C2" s="7"/>
      <c r="D2" s="8" t="s">
        <v>1758</v>
      </c>
      <c r="E2" s="6" t="s">
        <v>1841</v>
      </c>
      <c r="F2" s="9"/>
      <c r="G2" s="8" t="s">
        <v>1760</v>
      </c>
      <c r="H2" s="6">
        <v>1</v>
      </c>
      <c r="I2" s="9" t="s">
        <v>1761</v>
      </c>
      <c r="J2" s="9"/>
      <c r="K2" s="9"/>
      <c r="L2" s="9"/>
      <c r="M2" s="9"/>
      <c r="N2" s="9"/>
      <c r="O2" s="9"/>
      <c r="P2" s="9"/>
      <c r="Q2" s="9"/>
      <c r="R2" s="9"/>
      <c r="S2" s="9"/>
    </row>
    <row r="3" spans="1:23" ht="21" customHeight="1">
      <c r="A3" s="10" t="s">
        <v>120</v>
      </c>
      <c r="B3" s="11" t="s">
        <v>1841</v>
      </c>
      <c r="C3" s="7"/>
      <c r="D3" s="7"/>
      <c r="F3" s="9"/>
      <c r="G3" s="12" t="s">
        <v>1763</v>
      </c>
      <c r="H3" s="11">
        <v>1</v>
      </c>
      <c r="I3" s="9" t="s">
        <v>1764</v>
      </c>
      <c r="J3" s="9">
        <v>0</v>
      </c>
      <c r="K3" s="9" t="s">
        <v>1765</v>
      </c>
      <c r="L3" s="9">
        <v>0</v>
      </c>
      <c r="M3" s="9"/>
      <c r="N3" s="9"/>
      <c r="O3" s="9"/>
      <c r="P3" s="9"/>
      <c r="Q3" s="9"/>
      <c r="R3" s="9"/>
      <c r="S3" s="9"/>
    </row>
    <row r="4" spans="1:23" ht="35.25" customHeight="1">
      <c r="A4" s="991" t="s">
        <v>54</v>
      </c>
      <c r="B4" s="987" t="s">
        <v>1766</v>
      </c>
      <c r="C4" s="987" t="s">
        <v>1767</v>
      </c>
      <c r="D4" s="13" t="s">
        <v>1768</v>
      </c>
      <c r="E4" s="13" t="s">
        <v>1769</v>
      </c>
      <c r="F4" s="987" t="s">
        <v>1770</v>
      </c>
      <c r="G4" s="987" t="s">
        <v>1771</v>
      </c>
      <c r="H4" s="987"/>
      <c r="I4" s="987"/>
      <c r="J4" s="987"/>
      <c r="K4" s="987"/>
      <c r="L4" s="78" t="s">
        <v>1772</v>
      </c>
      <c r="M4" s="987" t="s">
        <v>1773</v>
      </c>
      <c r="N4" s="987"/>
      <c r="O4" s="987" t="s">
        <v>1774</v>
      </c>
      <c r="P4" s="987"/>
      <c r="Q4" s="987" t="s">
        <v>1775</v>
      </c>
      <c r="R4" s="987" t="s">
        <v>1776</v>
      </c>
      <c r="S4" s="987" t="s">
        <v>1777</v>
      </c>
      <c r="T4" s="987" t="s">
        <v>1778</v>
      </c>
      <c r="U4" s="987" t="s">
        <v>1574</v>
      </c>
      <c r="V4" s="987"/>
      <c r="W4" s="1000" t="s">
        <v>1779</v>
      </c>
    </row>
    <row r="5" spans="1:23" ht="24" customHeight="1">
      <c r="A5" s="992"/>
      <c r="B5" s="988"/>
      <c r="C5" s="988"/>
      <c r="D5" s="988" t="s">
        <v>1780</v>
      </c>
      <c r="E5" s="988"/>
      <c r="F5" s="988"/>
      <c r="G5" s="14" t="s">
        <v>1781</v>
      </c>
      <c r="H5" s="14" t="s">
        <v>1482</v>
      </c>
      <c r="I5" s="14" t="s">
        <v>1782</v>
      </c>
      <c r="J5" s="14" t="s">
        <v>1783</v>
      </c>
      <c r="K5" s="14" t="s">
        <v>1418</v>
      </c>
      <c r="L5" s="14" t="s">
        <v>1784</v>
      </c>
      <c r="M5" s="988"/>
      <c r="N5" s="988"/>
      <c r="O5" s="988"/>
      <c r="P5" s="988"/>
      <c r="Q5" s="988"/>
      <c r="R5" s="988"/>
      <c r="S5" s="988"/>
      <c r="T5" s="988"/>
      <c r="U5" s="988"/>
      <c r="V5" s="988"/>
      <c r="W5" s="1001"/>
    </row>
    <row r="6" spans="1:23" ht="27" customHeight="1">
      <c r="A6" s="992"/>
      <c r="B6" s="988"/>
      <c r="C6" s="988"/>
      <c r="D6" s="14"/>
      <c r="E6" s="15"/>
      <c r="F6" s="988"/>
      <c r="G6" s="16">
        <v>0.99399999999999999</v>
      </c>
      <c r="H6" s="16">
        <v>0.84399999999999997</v>
      </c>
      <c r="I6" s="16">
        <v>0.9</v>
      </c>
      <c r="J6" s="16">
        <v>1.65</v>
      </c>
      <c r="K6" s="16">
        <v>1.1599999999999999</v>
      </c>
      <c r="L6" s="79"/>
      <c r="M6" s="14" t="s">
        <v>1785</v>
      </c>
      <c r="N6" s="15" t="s">
        <v>1786</v>
      </c>
      <c r="O6" s="14" t="s">
        <v>1785</v>
      </c>
      <c r="P6" s="15" t="s">
        <v>1786</v>
      </c>
      <c r="Q6" s="988"/>
      <c r="R6" s="988"/>
      <c r="S6" s="988"/>
      <c r="T6" s="988"/>
      <c r="U6" s="14" t="s">
        <v>1787</v>
      </c>
      <c r="V6" s="14" t="s">
        <v>1788</v>
      </c>
      <c r="W6" s="1001"/>
    </row>
    <row r="7" spans="1:23" ht="24.75" customHeight="1">
      <c r="A7" s="993"/>
      <c r="B7" s="989"/>
      <c r="C7" s="989"/>
      <c r="D7" s="17" t="s">
        <v>235</v>
      </c>
      <c r="E7" s="17" t="s">
        <v>1092</v>
      </c>
      <c r="F7" s="989"/>
      <c r="G7" s="18">
        <f>0.994*2.272</f>
        <v>2.2583679999999999</v>
      </c>
      <c r="H7" s="18">
        <f>0.844*2.272</f>
        <v>1.9175679999999997</v>
      </c>
      <c r="I7" s="18">
        <f>0.9*2.19</f>
        <v>1.9710000000000001</v>
      </c>
      <c r="J7" s="18">
        <f>1.65*2.14</f>
        <v>3.5310000000000001</v>
      </c>
      <c r="K7" s="18">
        <f>1.16*2.18</f>
        <v>2.5287999999999999</v>
      </c>
      <c r="L7" s="18">
        <v>2.27</v>
      </c>
      <c r="M7" s="80"/>
      <c r="N7" s="80"/>
      <c r="O7" s="80"/>
      <c r="P7" s="80"/>
      <c r="Q7" s="995"/>
      <c r="R7" s="989"/>
      <c r="S7" s="989"/>
      <c r="T7" s="989"/>
      <c r="U7" s="80" t="s">
        <v>1789</v>
      </c>
      <c r="V7" s="80" t="s">
        <v>1790</v>
      </c>
      <c r="W7" s="1002"/>
    </row>
    <row r="8" spans="1:23" ht="24.75" customHeight="1">
      <c r="A8" s="19" t="s">
        <v>58</v>
      </c>
      <c r="B8" s="20"/>
      <c r="C8" s="21" t="s">
        <v>1406</v>
      </c>
      <c r="D8" s="20"/>
      <c r="E8" s="20"/>
      <c r="F8" s="20"/>
      <c r="G8" s="22"/>
      <c r="H8" s="22"/>
      <c r="I8" s="22"/>
      <c r="J8" s="22"/>
      <c r="K8" s="22"/>
      <c r="L8" s="22"/>
      <c r="M8" s="22"/>
      <c r="N8" s="22"/>
      <c r="O8" s="22"/>
      <c r="P8" s="22"/>
      <c r="Q8" s="22"/>
      <c r="R8" s="20"/>
      <c r="S8" s="20"/>
      <c r="T8" s="20"/>
      <c r="U8" s="22"/>
      <c r="V8" s="22"/>
      <c r="W8" s="85"/>
    </row>
    <row r="9" spans="1:23" ht="24.75" customHeight="1">
      <c r="A9" s="23">
        <v>1</v>
      </c>
      <c r="B9" s="24"/>
      <c r="C9" s="25" t="s">
        <v>237</v>
      </c>
      <c r="D9" s="103">
        <v>0</v>
      </c>
      <c r="E9" s="27"/>
      <c r="F9" s="28"/>
      <c r="G9" s="29"/>
      <c r="H9" s="29"/>
      <c r="I9" s="29"/>
      <c r="J9" s="29"/>
      <c r="K9" s="29"/>
      <c r="L9" s="29"/>
      <c r="M9" s="29"/>
      <c r="N9" s="29"/>
      <c r="O9" s="29"/>
      <c r="P9" s="29"/>
      <c r="Q9" s="29"/>
      <c r="R9" s="28"/>
      <c r="S9" s="28"/>
      <c r="T9" s="28"/>
      <c r="U9" s="29"/>
      <c r="V9" s="29"/>
      <c r="W9" s="86"/>
    </row>
    <row r="10" spans="1:23" ht="24.75" customHeight="1">
      <c r="A10" s="23">
        <v>2</v>
      </c>
      <c r="B10" s="24"/>
      <c r="C10" s="25" t="s">
        <v>241</v>
      </c>
      <c r="D10" s="104">
        <v>0</v>
      </c>
      <c r="E10" s="27"/>
      <c r="F10" s="28"/>
      <c r="G10" s="29"/>
      <c r="H10" s="29"/>
      <c r="I10" s="29"/>
      <c r="J10" s="29"/>
      <c r="K10" s="29"/>
      <c r="L10" s="29"/>
      <c r="M10" s="29"/>
      <c r="N10" s="29"/>
      <c r="O10" s="29"/>
      <c r="P10" s="29"/>
      <c r="Q10" s="29"/>
      <c r="R10" s="28"/>
      <c r="S10" s="28"/>
      <c r="T10" s="28"/>
      <c r="U10" s="29"/>
      <c r="V10" s="29"/>
      <c r="W10" s="86"/>
    </row>
    <row r="11" spans="1:23" ht="24.75" customHeight="1">
      <c r="A11" s="23">
        <v>3</v>
      </c>
      <c r="B11" s="15"/>
      <c r="C11" s="15" t="s">
        <v>1791</v>
      </c>
      <c r="D11" s="104">
        <v>0</v>
      </c>
      <c r="E11" s="104">
        <v>0</v>
      </c>
      <c r="F11" s="29"/>
      <c r="G11" s="29"/>
      <c r="H11" s="29"/>
      <c r="I11" s="29"/>
      <c r="J11" s="29"/>
      <c r="K11" s="29"/>
      <c r="L11" s="29"/>
      <c r="M11" s="29"/>
      <c r="N11" s="29"/>
      <c r="O11" s="29"/>
      <c r="P11" s="29"/>
      <c r="Q11" s="29"/>
      <c r="R11" s="29"/>
      <c r="S11" s="15"/>
      <c r="T11" s="29"/>
      <c r="U11" s="29"/>
      <c r="V11" s="29"/>
      <c r="W11" s="87"/>
    </row>
    <row r="12" spans="1:23" ht="15.75" customHeight="1">
      <c r="A12" s="23">
        <v>4</v>
      </c>
      <c r="B12" s="15"/>
      <c r="C12" s="15" t="s">
        <v>1792</v>
      </c>
      <c r="D12" s="104">
        <v>0</v>
      </c>
      <c r="E12" s="104">
        <v>0</v>
      </c>
      <c r="F12" s="104">
        <f>3-0.5-0.065-0.1-0.012</f>
        <v>2.323</v>
      </c>
      <c r="G12" s="29"/>
      <c r="H12" s="29"/>
      <c r="I12" s="29"/>
      <c r="J12" s="29"/>
      <c r="K12" s="29"/>
      <c r="L12" s="29"/>
      <c r="M12" s="29"/>
      <c r="N12" s="29"/>
      <c r="O12" s="29"/>
      <c r="P12" s="29"/>
      <c r="Q12" s="29"/>
      <c r="R12" s="29"/>
      <c r="S12" s="32">
        <f>D12*F12</f>
        <v>0</v>
      </c>
      <c r="T12" s="29"/>
      <c r="U12" s="29"/>
      <c r="V12" s="29"/>
      <c r="W12" s="87"/>
    </row>
    <row r="13" spans="1:23" ht="15.75" customHeight="1">
      <c r="A13" s="23">
        <v>5</v>
      </c>
      <c r="B13" s="15"/>
      <c r="C13" s="15" t="s">
        <v>1793</v>
      </c>
      <c r="D13" s="104"/>
      <c r="E13" s="9">
        <f>(D13*0.12-0.12*0.12*4)*$K$2</f>
        <v>0</v>
      </c>
      <c r="F13" s="29"/>
      <c r="G13" s="29"/>
      <c r="H13" s="29"/>
      <c r="I13" s="29"/>
      <c r="J13" s="29"/>
      <c r="K13" s="29"/>
      <c r="L13" s="29"/>
      <c r="M13" s="29"/>
      <c r="N13" s="29"/>
      <c r="O13" s="29"/>
      <c r="P13" s="29"/>
      <c r="Q13" s="29"/>
      <c r="R13" s="29"/>
      <c r="S13" s="43"/>
      <c r="T13" s="29"/>
      <c r="U13" s="29"/>
      <c r="V13" s="29"/>
      <c r="W13" s="87"/>
    </row>
    <row r="14" spans="1:23" ht="15.75" customHeight="1">
      <c r="A14" s="23">
        <v>6</v>
      </c>
      <c r="B14" s="15"/>
      <c r="C14" s="15" t="s">
        <v>1794</v>
      </c>
      <c r="D14" s="104">
        <v>0</v>
      </c>
      <c r="E14" s="104">
        <v>0</v>
      </c>
      <c r="F14" s="104">
        <v>0</v>
      </c>
      <c r="G14" s="29"/>
      <c r="H14" s="29"/>
      <c r="I14" s="29"/>
      <c r="J14" s="29"/>
      <c r="K14" s="29"/>
      <c r="L14" s="29"/>
      <c r="M14" s="29"/>
      <c r="N14" s="29"/>
      <c r="O14" s="29"/>
      <c r="P14" s="29"/>
      <c r="Q14" s="29"/>
      <c r="R14" s="29"/>
      <c r="S14" s="32">
        <f>D14*F14</f>
        <v>0</v>
      </c>
      <c r="T14" s="29"/>
      <c r="U14" s="29"/>
      <c r="V14" s="29"/>
      <c r="W14" s="87"/>
    </row>
    <row r="15" spans="1:23" ht="15.75" customHeight="1">
      <c r="A15" s="23">
        <v>7</v>
      </c>
      <c r="B15" s="15"/>
      <c r="C15" s="15" t="s">
        <v>1795</v>
      </c>
      <c r="D15" s="104">
        <v>0</v>
      </c>
      <c r="E15" s="104">
        <v>0</v>
      </c>
      <c r="F15" s="105">
        <f>D15*E15</f>
        <v>0</v>
      </c>
      <c r="G15" s="29"/>
      <c r="H15" s="29"/>
      <c r="I15" s="29"/>
      <c r="J15" s="29"/>
      <c r="K15" s="29"/>
      <c r="L15" s="29"/>
      <c r="M15" s="29"/>
      <c r="N15" s="29"/>
      <c r="O15" s="29"/>
      <c r="P15" s="29"/>
      <c r="Q15" s="29"/>
      <c r="R15" s="29"/>
      <c r="S15" s="43"/>
      <c r="T15" s="29"/>
      <c r="U15" s="29"/>
      <c r="V15" s="29"/>
      <c r="W15" s="87"/>
    </row>
    <row r="16" spans="1:23" ht="15.75" customHeight="1">
      <c r="A16" s="23">
        <v>8</v>
      </c>
      <c r="B16" s="15"/>
      <c r="C16" s="15" t="s">
        <v>1796</v>
      </c>
      <c r="D16" s="104">
        <v>0</v>
      </c>
      <c r="E16" s="33"/>
      <c r="F16" s="104">
        <f>3-0.1-0.012-0.135-0.065-0.1</f>
        <v>2.5880000000000001</v>
      </c>
      <c r="G16" s="29"/>
      <c r="H16" s="29"/>
      <c r="I16" s="29"/>
      <c r="J16" s="29"/>
      <c r="K16" s="29"/>
      <c r="L16" s="29"/>
      <c r="M16" s="29"/>
      <c r="N16" s="29"/>
      <c r="O16" s="29"/>
      <c r="P16" s="29"/>
      <c r="Q16" s="29"/>
      <c r="R16" s="29"/>
      <c r="S16" s="32">
        <f>(D16-0.2)*(F16-0.1)</f>
        <v>-0.49760000000000004</v>
      </c>
      <c r="T16" s="29"/>
      <c r="U16" s="29"/>
      <c r="V16" s="29"/>
      <c r="W16" s="87"/>
    </row>
    <row r="17" spans="1:23" ht="15.75" customHeight="1">
      <c r="A17" s="23">
        <v>9</v>
      </c>
      <c r="B17" s="15"/>
      <c r="C17" s="15" t="s">
        <v>1797</v>
      </c>
      <c r="D17" s="32">
        <f>D11-D12-D14-D16</f>
        <v>0</v>
      </c>
      <c r="E17" s="29"/>
      <c r="F17" s="104">
        <f>3-0.1-0.012-0.135-0.065-0.1</f>
        <v>2.5880000000000001</v>
      </c>
      <c r="G17" s="104">
        <v>0</v>
      </c>
      <c r="H17" s="104">
        <v>0</v>
      </c>
      <c r="I17" s="104">
        <v>0</v>
      </c>
      <c r="J17" s="104">
        <v>0</v>
      </c>
      <c r="K17" s="104">
        <v>0</v>
      </c>
      <c r="L17" s="104">
        <v>0</v>
      </c>
      <c r="M17" s="30">
        <v>0</v>
      </c>
      <c r="N17" s="30">
        <v>0</v>
      </c>
      <c r="O17" s="30">
        <v>0</v>
      </c>
      <c r="P17" s="30">
        <v>0</v>
      </c>
      <c r="Q17" s="30">
        <v>0</v>
      </c>
      <c r="R17" s="15"/>
      <c r="S17" s="32">
        <f>D17*F17-(G17*$G$7+H17*$H$7+I17*$I$7+J17*$J$7+K17*$K$7+L17*$L$7)-M17*N17-P17*O17+Q17+R17</f>
        <v>0</v>
      </c>
      <c r="T17" s="29"/>
      <c r="U17" s="29"/>
      <c r="V17" s="29"/>
      <c r="W17" s="87"/>
    </row>
    <row r="18" spans="1:23" ht="15.75" customHeight="1">
      <c r="A18" s="23">
        <v>10</v>
      </c>
      <c r="B18" s="34"/>
      <c r="C18" s="34" t="s">
        <v>1798</v>
      </c>
      <c r="D18" s="34"/>
      <c r="E18" s="35">
        <f>E11</f>
        <v>0</v>
      </c>
      <c r="F18" s="36"/>
      <c r="G18" s="36"/>
      <c r="H18" s="36"/>
      <c r="I18" s="36"/>
      <c r="J18" s="36"/>
      <c r="K18" s="36"/>
      <c r="L18" s="36"/>
      <c r="M18" s="36"/>
      <c r="N18" s="36"/>
      <c r="O18" s="36"/>
      <c r="P18" s="36"/>
      <c r="Q18" s="36"/>
      <c r="R18" s="36"/>
      <c r="S18" s="35">
        <f>S12+S14+S17</f>
        <v>0</v>
      </c>
      <c r="T18" s="35">
        <f>D11-($G$6*G17+$H$6*H17+$I$6*I17+$J$6*J17+$K$6*K17+L17)</f>
        <v>0</v>
      </c>
      <c r="U18" s="35">
        <f>M17*0.12</f>
        <v>0</v>
      </c>
      <c r="V18" s="35">
        <f>O17*0.7</f>
        <v>0</v>
      </c>
      <c r="W18" s="88">
        <v>0</v>
      </c>
    </row>
    <row r="19" spans="1:23" ht="24.75" customHeight="1">
      <c r="A19" s="37" t="s">
        <v>60</v>
      </c>
      <c r="B19" s="38"/>
      <c r="C19" s="39" t="s">
        <v>1799</v>
      </c>
      <c r="D19" s="38"/>
      <c r="E19" s="38"/>
      <c r="F19" s="38"/>
      <c r="G19" s="40"/>
      <c r="H19" s="40"/>
      <c r="I19" s="40"/>
      <c r="J19" s="40"/>
      <c r="K19" s="40"/>
      <c r="L19" s="40"/>
      <c r="M19" s="40"/>
      <c r="N19" s="40"/>
      <c r="O19" s="40"/>
      <c r="P19" s="40"/>
      <c r="Q19" s="40"/>
      <c r="R19" s="38"/>
      <c r="S19" s="38"/>
      <c r="T19" s="38"/>
      <c r="U19" s="40"/>
      <c r="V19" s="40"/>
      <c r="W19" s="89"/>
    </row>
    <row r="20" spans="1:23" ht="15.75" customHeight="1">
      <c r="A20" s="41">
        <v>1</v>
      </c>
      <c r="B20" s="15" t="s">
        <v>1374</v>
      </c>
      <c r="C20" s="15" t="s">
        <v>1800</v>
      </c>
      <c r="D20" s="104">
        <v>24.04</v>
      </c>
      <c r="E20" s="104">
        <v>29.52</v>
      </c>
      <c r="F20" s="15"/>
      <c r="G20" s="29"/>
      <c r="H20" s="29"/>
      <c r="I20" s="29"/>
      <c r="J20" s="29"/>
      <c r="K20" s="29"/>
      <c r="L20" s="29"/>
      <c r="M20" s="29"/>
      <c r="N20" s="29"/>
      <c r="O20" s="29"/>
      <c r="P20" s="29"/>
      <c r="Q20" s="29"/>
      <c r="R20" s="29"/>
      <c r="S20" s="29"/>
      <c r="T20" s="29"/>
      <c r="U20" s="29"/>
      <c r="V20" s="29"/>
      <c r="W20" s="90"/>
    </row>
    <row r="21" spans="1:23" ht="15.75" customHeight="1">
      <c r="A21" s="41">
        <v>2</v>
      </c>
      <c r="B21" s="15"/>
      <c r="C21" s="15" t="s">
        <v>1794</v>
      </c>
      <c r="D21" s="106">
        <v>0</v>
      </c>
      <c r="E21" s="106">
        <v>0</v>
      </c>
      <c r="F21" s="106">
        <v>0</v>
      </c>
      <c r="G21" s="29"/>
      <c r="H21" s="29"/>
      <c r="I21" s="29"/>
      <c r="J21" s="29"/>
      <c r="K21" s="29"/>
      <c r="L21" s="29"/>
      <c r="M21" s="29"/>
      <c r="N21" s="29"/>
      <c r="O21" s="29"/>
      <c r="P21" s="29"/>
      <c r="Q21" s="106">
        <v>0</v>
      </c>
      <c r="R21" s="29"/>
      <c r="S21" s="16">
        <f>D21*F21</f>
        <v>0</v>
      </c>
      <c r="T21" s="29"/>
      <c r="U21" s="29"/>
      <c r="V21" s="29"/>
      <c r="W21" s="87"/>
    </row>
    <row r="22" spans="1:23" ht="15.75" customHeight="1">
      <c r="A22" s="41">
        <v>3</v>
      </c>
      <c r="B22" s="15"/>
      <c r="C22" s="15" t="s">
        <v>1801</v>
      </c>
      <c r="D22" s="32">
        <f>D20-D21</f>
        <v>24.04</v>
      </c>
      <c r="E22" s="32">
        <f>E20-E21</f>
        <v>29.52</v>
      </c>
      <c r="F22" s="104">
        <f>3-0.1-0.012-0.1-0.065-0.1</f>
        <v>2.6229999999999998</v>
      </c>
      <c r="G22" s="104">
        <v>0</v>
      </c>
      <c r="H22" s="106">
        <v>1</v>
      </c>
      <c r="I22" s="29"/>
      <c r="J22" s="29"/>
      <c r="K22" s="104">
        <v>1</v>
      </c>
      <c r="L22" s="110">
        <v>2.6</v>
      </c>
      <c r="M22" s="30">
        <v>0</v>
      </c>
      <c r="N22" s="30">
        <v>0</v>
      </c>
      <c r="O22" s="106">
        <v>0</v>
      </c>
      <c r="P22" s="106">
        <v>0</v>
      </c>
      <c r="Q22" s="106">
        <v>0</v>
      </c>
      <c r="R22" s="106">
        <v>0</v>
      </c>
      <c r="S22" s="16">
        <f>D22*F22-(G22*$G$7+H22*$H$7+I22*$I$7+J22*$J$7+K22*$K$7+L22*$L$7)-M22*N22-O22*P22+Q22+R22</f>
        <v>52.70855199999999</v>
      </c>
      <c r="T22" s="29"/>
      <c r="U22" s="29"/>
      <c r="V22" s="29"/>
      <c r="W22" s="87"/>
    </row>
    <row r="23" spans="1:23" ht="15.75" customHeight="1">
      <c r="A23" s="41"/>
      <c r="B23" s="15"/>
      <c r="C23" s="15" t="s">
        <v>240</v>
      </c>
      <c r="D23" s="107">
        <v>0</v>
      </c>
      <c r="E23" s="43"/>
      <c r="F23" s="29"/>
      <c r="G23" s="29"/>
      <c r="H23" s="29"/>
      <c r="I23" s="29"/>
      <c r="J23" s="29"/>
      <c r="K23" s="29"/>
      <c r="L23" s="29"/>
      <c r="M23" s="29"/>
      <c r="N23" s="29"/>
      <c r="O23" s="29"/>
      <c r="P23" s="29"/>
      <c r="Q23" s="29"/>
      <c r="R23" s="29"/>
      <c r="S23" s="91"/>
      <c r="T23" s="29"/>
      <c r="U23" s="29"/>
      <c r="V23" s="29"/>
      <c r="W23" s="87"/>
    </row>
    <row r="24" spans="1:23" ht="15.75" customHeight="1">
      <c r="A24" s="41"/>
      <c r="B24" s="15"/>
      <c r="C24" s="44" t="s">
        <v>285</v>
      </c>
      <c r="D24" s="108">
        <v>0</v>
      </c>
      <c r="E24" s="43"/>
      <c r="F24" s="29"/>
      <c r="G24" s="29"/>
      <c r="H24" s="29"/>
      <c r="I24" s="29"/>
      <c r="J24" s="29"/>
      <c r="K24" s="29"/>
      <c r="L24" s="29"/>
      <c r="M24" s="29"/>
      <c r="N24" s="29"/>
      <c r="O24" s="29"/>
      <c r="P24" s="29"/>
      <c r="Q24" s="29"/>
      <c r="R24" s="29"/>
      <c r="S24" s="91"/>
      <c r="T24" s="29"/>
      <c r="U24" s="29"/>
      <c r="V24" s="29"/>
      <c r="W24" s="87"/>
    </row>
    <row r="25" spans="1:23" ht="15.75" customHeight="1">
      <c r="A25" s="45">
        <v>4</v>
      </c>
      <c r="B25" s="34" t="s">
        <v>133</v>
      </c>
      <c r="C25" s="34" t="s">
        <v>1802</v>
      </c>
      <c r="D25" s="34"/>
      <c r="E25" s="34">
        <f>E20</f>
        <v>29.52</v>
      </c>
      <c r="F25" s="36"/>
      <c r="G25" s="36"/>
      <c r="H25" s="36"/>
      <c r="I25" s="36"/>
      <c r="J25" s="36"/>
      <c r="K25" s="36"/>
      <c r="L25" s="36"/>
      <c r="M25" s="36"/>
      <c r="N25" s="36"/>
      <c r="O25" s="36"/>
      <c r="P25" s="36"/>
      <c r="Q25" s="36"/>
      <c r="R25" s="36"/>
      <c r="S25" s="35">
        <f>SUM(S21:S22)</f>
        <v>52.70855199999999</v>
      </c>
      <c r="T25" s="35">
        <f>D20-($G$6*G22+$H$6*H22)</f>
        <v>23.195999999999998</v>
      </c>
      <c r="U25" s="35">
        <f>M22*0.12</f>
        <v>0</v>
      </c>
      <c r="V25" s="35">
        <f>O22*0.7</f>
        <v>0</v>
      </c>
      <c r="W25" s="88"/>
    </row>
    <row r="26" spans="1:23" ht="15.75" customHeight="1">
      <c r="A26" s="41">
        <v>5</v>
      </c>
      <c r="B26" s="15" t="s">
        <v>1803</v>
      </c>
      <c r="C26" s="15" t="s">
        <v>1804</v>
      </c>
      <c r="D26" s="106">
        <v>0</v>
      </c>
      <c r="E26" s="106">
        <v>0</v>
      </c>
      <c r="F26" s="15"/>
      <c r="G26" s="29"/>
      <c r="H26" s="29"/>
      <c r="I26" s="29"/>
      <c r="J26" s="29"/>
      <c r="K26" s="29"/>
      <c r="L26" s="29"/>
      <c r="M26" s="29"/>
      <c r="N26" s="29"/>
      <c r="O26" s="29"/>
      <c r="P26" s="29"/>
      <c r="Q26" s="29"/>
      <c r="R26" s="29"/>
      <c r="S26" s="29"/>
      <c r="T26" s="29"/>
      <c r="U26" s="29"/>
      <c r="V26" s="29"/>
      <c r="W26" s="90"/>
    </row>
    <row r="27" spans="1:23" ht="15.75" customHeight="1">
      <c r="A27" s="41">
        <v>6</v>
      </c>
      <c r="B27" s="15"/>
      <c r="C27" s="15" t="s">
        <v>1794</v>
      </c>
      <c r="D27" s="106">
        <v>0</v>
      </c>
      <c r="E27" s="106">
        <v>0</v>
      </c>
      <c r="F27" s="106">
        <v>0</v>
      </c>
      <c r="G27" s="29"/>
      <c r="H27" s="29"/>
      <c r="I27" s="29"/>
      <c r="J27" s="29"/>
      <c r="K27" s="29"/>
      <c r="L27" s="29"/>
      <c r="M27" s="29"/>
      <c r="N27" s="29"/>
      <c r="O27" s="29"/>
      <c r="P27" s="29"/>
      <c r="Q27" s="29"/>
      <c r="R27" s="29"/>
      <c r="S27" s="16">
        <f>D27*F27</f>
        <v>0</v>
      </c>
      <c r="T27" s="29"/>
      <c r="U27" s="29"/>
      <c r="V27" s="29"/>
      <c r="W27" s="87"/>
    </row>
    <row r="28" spans="1:23" ht="15.75" customHeight="1">
      <c r="A28" s="41">
        <v>7</v>
      </c>
      <c r="B28" s="15"/>
      <c r="C28" s="15" t="s">
        <v>1805</v>
      </c>
      <c r="D28" s="32">
        <f>D26-D27</f>
        <v>0</v>
      </c>
      <c r="E28" s="32">
        <f>E26-E27</f>
        <v>0</v>
      </c>
      <c r="F28" s="106">
        <v>0</v>
      </c>
      <c r="G28" s="106">
        <v>0</v>
      </c>
      <c r="H28" s="15"/>
      <c r="I28" s="29"/>
      <c r="J28" s="29"/>
      <c r="K28" s="29"/>
      <c r="L28" s="29"/>
      <c r="M28" s="106">
        <v>0</v>
      </c>
      <c r="N28" s="106">
        <v>0</v>
      </c>
      <c r="O28" s="30"/>
      <c r="P28" s="30"/>
      <c r="Q28" s="30"/>
      <c r="R28" s="30"/>
      <c r="S28" s="16">
        <f>D28*F28-(G28*$G$7+H28*$H$7+I28*$I$7+J28*$J$7+K28*$K$7+L28*$L$7)-M28*N28-O28*P28+Q28+R28</f>
        <v>0</v>
      </c>
      <c r="T28" s="29"/>
      <c r="U28" s="29"/>
      <c r="V28" s="29"/>
      <c r="W28" s="87"/>
    </row>
    <row r="29" spans="1:23" ht="15.75" customHeight="1">
      <c r="A29" s="41"/>
      <c r="B29" s="15"/>
      <c r="C29" s="44" t="s">
        <v>285</v>
      </c>
      <c r="D29" s="107">
        <v>0</v>
      </c>
      <c r="E29" s="43"/>
      <c r="F29" s="29"/>
      <c r="G29" s="29"/>
      <c r="H29" s="29"/>
      <c r="I29" s="29"/>
      <c r="J29" s="29"/>
      <c r="K29" s="29"/>
      <c r="L29" s="29"/>
      <c r="M29" s="29"/>
      <c r="N29" s="29"/>
      <c r="O29" s="29"/>
      <c r="P29" s="29"/>
      <c r="Q29" s="29"/>
      <c r="R29" s="29"/>
      <c r="S29" s="91"/>
      <c r="T29" s="29"/>
      <c r="U29" s="29"/>
      <c r="V29" s="29"/>
      <c r="W29" s="87"/>
    </row>
    <row r="30" spans="1:23" ht="15.75" customHeight="1">
      <c r="A30" s="46">
        <v>8</v>
      </c>
      <c r="B30" s="47" t="s">
        <v>246</v>
      </c>
      <c r="C30" s="34" t="s">
        <v>1806</v>
      </c>
      <c r="D30" s="34"/>
      <c r="E30" s="34">
        <f>E26</f>
        <v>0</v>
      </c>
      <c r="F30" s="36"/>
      <c r="G30" s="36"/>
      <c r="H30" s="36"/>
      <c r="I30" s="36"/>
      <c r="J30" s="36"/>
      <c r="K30" s="36"/>
      <c r="L30" s="36"/>
      <c r="M30" s="36"/>
      <c r="N30" s="36"/>
      <c r="O30" s="36"/>
      <c r="P30" s="36"/>
      <c r="Q30" s="36"/>
      <c r="R30" s="36"/>
      <c r="S30" s="35">
        <f>SUM(S27:S28)</f>
        <v>0</v>
      </c>
      <c r="T30" s="35">
        <f>D26-($G$6*G28+$H$6*H28)</f>
        <v>0</v>
      </c>
      <c r="U30" s="35">
        <f>M28*0.12</f>
        <v>0</v>
      </c>
      <c r="V30" s="35">
        <f>O28*0.7</f>
        <v>0</v>
      </c>
      <c r="W30" s="88">
        <v>0</v>
      </c>
    </row>
    <row r="31" spans="1:23" ht="15.75" customHeight="1">
      <c r="A31" s="41">
        <v>9</v>
      </c>
      <c r="B31" s="15" t="s">
        <v>1807</v>
      </c>
      <c r="C31" s="15" t="s">
        <v>1808</v>
      </c>
      <c r="D31" s="106">
        <v>0</v>
      </c>
      <c r="E31" s="106">
        <v>0</v>
      </c>
      <c r="F31" s="15"/>
      <c r="G31" s="29"/>
      <c r="H31" s="29"/>
      <c r="I31" s="29"/>
      <c r="J31" s="29"/>
      <c r="K31" s="29"/>
      <c r="L31" s="29"/>
      <c r="M31" s="29"/>
      <c r="N31" s="29"/>
      <c r="O31" s="29"/>
      <c r="P31" s="29"/>
      <c r="Q31" s="29"/>
      <c r="R31" s="29"/>
      <c r="S31" s="29"/>
      <c r="T31" s="29"/>
      <c r="U31" s="29"/>
      <c r="V31" s="29"/>
      <c r="W31" s="90"/>
    </row>
    <row r="32" spans="1:23" ht="15.75" customHeight="1">
      <c r="A32" s="41">
        <v>10</v>
      </c>
      <c r="B32" s="15"/>
      <c r="C32" s="15" t="s">
        <v>1794</v>
      </c>
      <c r="D32" s="106">
        <v>0</v>
      </c>
      <c r="E32" s="106">
        <v>0</v>
      </c>
      <c r="F32" s="106">
        <v>0</v>
      </c>
      <c r="G32" s="29"/>
      <c r="H32" s="29"/>
      <c r="I32" s="29"/>
      <c r="J32" s="29"/>
      <c r="K32" s="29"/>
      <c r="L32" s="29"/>
      <c r="M32" s="29"/>
      <c r="N32" s="29"/>
      <c r="O32" s="29"/>
      <c r="P32" s="29"/>
      <c r="Q32" s="29"/>
      <c r="R32" s="29"/>
      <c r="S32" s="16">
        <f>D32*F32</f>
        <v>0</v>
      </c>
      <c r="T32" s="29"/>
      <c r="U32" s="29"/>
      <c r="V32" s="29"/>
      <c r="W32" s="87"/>
    </row>
    <row r="33" spans="1:23" ht="15.75" customHeight="1">
      <c r="A33" s="41">
        <v>11</v>
      </c>
      <c r="B33" s="15"/>
      <c r="C33" s="15" t="s">
        <v>1809</v>
      </c>
      <c r="D33" s="97">
        <f>D31-D32</f>
        <v>0</v>
      </c>
      <c r="E33" s="97"/>
      <c r="F33" s="106">
        <v>0</v>
      </c>
      <c r="G33" s="106">
        <v>0</v>
      </c>
      <c r="H33" s="15"/>
      <c r="I33" s="29"/>
      <c r="J33" s="29"/>
      <c r="K33" s="29"/>
      <c r="L33" s="29"/>
      <c r="M33" s="106">
        <v>0</v>
      </c>
      <c r="N33" s="106">
        <v>0</v>
      </c>
      <c r="O33" s="30"/>
      <c r="P33" s="30"/>
      <c r="Q33" s="106">
        <v>0</v>
      </c>
      <c r="R33" s="106">
        <v>0</v>
      </c>
      <c r="S33" s="16">
        <f>D33*F33-(G33*$G$7+H33*$H$7+I33*$I$7+J33*$J$7+K33*$K$7+L33*$L$7)-M33*N33-O33*P33+Q33+R33</f>
        <v>0</v>
      </c>
      <c r="T33" s="29"/>
      <c r="U33" s="29"/>
      <c r="V33" s="29"/>
      <c r="W33" s="87"/>
    </row>
    <row r="34" spans="1:23" ht="15.75" customHeight="1">
      <c r="A34" s="41"/>
      <c r="B34" s="15"/>
      <c r="C34" s="44" t="s">
        <v>285</v>
      </c>
      <c r="D34" s="107">
        <v>0</v>
      </c>
      <c r="E34" s="43"/>
      <c r="F34" s="29"/>
      <c r="G34" s="29"/>
      <c r="H34" s="29"/>
      <c r="I34" s="29"/>
      <c r="J34" s="29"/>
      <c r="K34" s="29"/>
      <c r="L34" s="29"/>
      <c r="M34" s="29"/>
      <c r="N34" s="29"/>
      <c r="O34" s="29"/>
      <c r="P34" s="29"/>
      <c r="Q34" s="29"/>
      <c r="R34" s="29"/>
      <c r="S34" s="91"/>
      <c r="T34" s="29"/>
      <c r="U34" s="29"/>
      <c r="V34" s="29"/>
      <c r="W34" s="87"/>
    </row>
    <row r="35" spans="1:23" ht="15.75" customHeight="1">
      <c r="A35" s="46">
        <v>12</v>
      </c>
      <c r="B35" s="47" t="s">
        <v>136</v>
      </c>
      <c r="C35" s="34" t="s">
        <v>1810</v>
      </c>
      <c r="D35" s="34"/>
      <c r="E35" s="34">
        <f>E31</f>
        <v>0</v>
      </c>
      <c r="F35" s="36"/>
      <c r="G35" s="36"/>
      <c r="H35" s="36"/>
      <c r="I35" s="36"/>
      <c r="J35" s="36"/>
      <c r="K35" s="36"/>
      <c r="L35" s="36"/>
      <c r="M35" s="36"/>
      <c r="N35" s="36"/>
      <c r="O35" s="36"/>
      <c r="P35" s="36"/>
      <c r="Q35" s="36"/>
      <c r="R35" s="36"/>
      <c r="S35" s="35">
        <f>SUM(S32:S33)</f>
        <v>0</v>
      </c>
      <c r="T35" s="35">
        <f>D31-($G$6*G33+$H$6*H33)</f>
        <v>0</v>
      </c>
      <c r="U35" s="35">
        <f>M33*0.12</f>
        <v>0</v>
      </c>
      <c r="V35" s="35">
        <f>O33*0.7</f>
        <v>0</v>
      </c>
      <c r="W35" s="88">
        <v>0</v>
      </c>
    </row>
    <row r="36" spans="1:23" ht="15.75" customHeight="1">
      <c r="A36" s="46">
        <v>13</v>
      </c>
      <c r="B36" s="47"/>
      <c r="C36" s="34" t="s">
        <v>1811</v>
      </c>
      <c r="D36" s="47"/>
      <c r="E36" s="35">
        <f>E25+E30+E35</f>
        <v>29.52</v>
      </c>
      <c r="F36" s="47"/>
      <c r="G36" s="47"/>
      <c r="H36" s="47"/>
      <c r="I36" s="47"/>
      <c r="J36" s="47"/>
      <c r="K36" s="47"/>
      <c r="L36" s="47"/>
      <c r="M36" s="47"/>
      <c r="N36" s="47"/>
      <c r="O36" s="47"/>
      <c r="P36" s="47"/>
      <c r="Q36" s="47"/>
      <c r="R36" s="47"/>
      <c r="S36" s="35">
        <f t="shared" ref="S36" si="0">S25+S30+S35</f>
        <v>52.70855199999999</v>
      </c>
      <c r="T36" s="35">
        <f>T25+T30+T35</f>
        <v>23.195999999999998</v>
      </c>
      <c r="U36" s="35">
        <f>U25+U30+U35</f>
        <v>0</v>
      </c>
      <c r="V36" s="35">
        <f>V25+V30+V35</f>
        <v>0</v>
      </c>
      <c r="W36" s="35">
        <f>W25+W30+W35</f>
        <v>0</v>
      </c>
    </row>
    <row r="37" spans="1:23" ht="24.75" customHeight="1">
      <c r="A37" s="37" t="s">
        <v>60</v>
      </c>
      <c r="B37" s="38"/>
      <c r="C37" s="39" t="s">
        <v>1812</v>
      </c>
      <c r="D37" s="38"/>
      <c r="E37" s="38"/>
      <c r="F37" s="38"/>
      <c r="G37" s="40"/>
      <c r="H37" s="40"/>
      <c r="I37" s="40"/>
      <c r="J37" s="40"/>
      <c r="K37" s="40"/>
      <c r="L37" s="40"/>
      <c r="M37" s="40"/>
      <c r="N37" s="40"/>
      <c r="O37" s="40"/>
      <c r="P37" s="40"/>
      <c r="Q37" s="40"/>
      <c r="R37" s="38"/>
      <c r="S37" s="38">
        <v>0</v>
      </c>
      <c r="T37" s="38"/>
      <c r="U37" s="40"/>
      <c r="V37" s="40"/>
      <c r="W37" s="89"/>
    </row>
    <row r="38" spans="1:23" ht="15.75" customHeight="1">
      <c r="A38" s="48">
        <v>7</v>
      </c>
      <c r="B38" s="49"/>
      <c r="C38" s="49" t="s">
        <v>634</v>
      </c>
      <c r="D38" s="32">
        <v>0</v>
      </c>
      <c r="E38" s="32">
        <v>0</v>
      </c>
      <c r="F38" s="49">
        <v>0</v>
      </c>
      <c r="G38" s="49">
        <v>0</v>
      </c>
      <c r="H38" s="49"/>
      <c r="I38" s="81"/>
      <c r="J38" s="81"/>
      <c r="K38" s="81"/>
      <c r="L38" s="81"/>
      <c r="M38" s="81"/>
      <c r="N38" s="81"/>
      <c r="O38" s="81"/>
      <c r="P38" s="81"/>
      <c r="Q38" s="81"/>
      <c r="R38" s="81"/>
      <c r="S38" s="32">
        <f>(D38*F38-G7*G38-H7*H38)*S37</f>
        <v>0</v>
      </c>
      <c r="T38" s="43">
        <f>(D38-G6)*S37</f>
        <v>0</v>
      </c>
      <c r="U38" s="81"/>
      <c r="V38" s="81"/>
      <c r="W38" s="92"/>
    </row>
    <row r="39" spans="1:23" ht="33.75" customHeight="1">
      <c r="A39" s="50"/>
      <c r="B39" s="51"/>
      <c r="C39" s="51"/>
      <c r="D39" s="51"/>
      <c r="E39" s="51"/>
      <c r="F39" s="51"/>
      <c r="G39" s="51"/>
      <c r="H39" s="51"/>
      <c r="I39" s="51"/>
      <c r="J39" s="51"/>
      <c r="K39" s="51"/>
      <c r="L39" s="51"/>
      <c r="M39" s="51"/>
      <c r="N39" s="51"/>
      <c r="O39" s="51"/>
      <c r="P39" s="51"/>
      <c r="Q39" s="51"/>
      <c r="R39" s="51"/>
      <c r="S39" s="51"/>
      <c r="T39" s="51"/>
      <c r="U39" s="51"/>
      <c r="V39" s="51"/>
    </row>
    <row r="40" spans="1:23" ht="22.5" customHeight="1">
      <c r="A40" s="994" t="s">
        <v>54</v>
      </c>
      <c r="B40" s="990" t="s">
        <v>1758</v>
      </c>
      <c r="C40" s="990" t="s">
        <v>1767</v>
      </c>
      <c r="D40" s="14" t="s">
        <v>1768</v>
      </c>
      <c r="E40" s="14" t="s">
        <v>1769</v>
      </c>
      <c r="F40" s="998" t="s">
        <v>1813</v>
      </c>
      <c r="G40" s="15" t="s">
        <v>1771</v>
      </c>
      <c r="H40" s="999" t="s">
        <v>1773</v>
      </c>
      <c r="I40" s="999"/>
      <c r="J40" s="999" t="s">
        <v>1774</v>
      </c>
      <c r="K40" s="999"/>
      <c r="L40" s="15" t="s">
        <v>315</v>
      </c>
      <c r="M40" s="15" t="s">
        <v>1814</v>
      </c>
      <c r="N40" s="82" t="s">
        <v>1815</v>
      </c>
      <c r="O40" s="15" t="s">
        <v>1816</v>
      </c>
      <c r="P40" s="15"/>
      <c r="Q40" s="988" t="s">
        <v>1817</v>
      </c>
      <c r="R40" s="988" t="s">
        <v>1818</v>
      </c>
      <c r="S40" s="988" t="s">
        <v>1819</v>
      </c>
      <c r="T40" s="988" t="s">
        <v>1820</v>
      </c>
      <c r="U40" s="52" t="s">
        <v>275</v>
      </c>
      <c r="V40" s="52" t="s">
        <v>335</v>
      </c>
      <c r="W40" s="52" t="s">
        <v>338</v>
      </c>
    </row>
    <row r="41" spans="1:23" ht="24" customHeight="1">
      <c r="A41" s="994"/>
      <c r="B41" s="990"/>
      <c r="C41" s="990"/>
      <c r="D41" s="988" t="s">
        <v>1780</v>
      </c>
      <c r="E41" s="988"/>
      <c r="F41" s="998"/>
      <c r="G41" s="14" t="s">
        <v>1482</v>
      </c>
      <c r="H41" s="15" t="s">
        <v>1821</v>
      </c>
      <c r="I41" s="15" t="s">
        <v>1822</v>
      </c>
      <c r="J41" s="15" t="s">
        <v>1821</v>
      </c>
      <c r="K41" s="15" t="s">
        <v>1822</v>
      </c>
      <c r="L41" s="15" t="s">
        <v>1823</v>
      </c>
      <c r="M41" s="15" t="s">
        <v>1823</v>
      </c>
      <c r="N41" s="15" t="s">
        <v>1823</v>
      </c>
      <c r="O41" s="15" t="s">
        <v>1824</v>
      </c>
      <c r="P41" s="15"/>
      <c r="Q41" s="988"/>
      <c r="R41" s="988"/>
      <c r="S41" s="988"/>
      <c r="T41" s="988"/>
      <c r="U41" s="15" t="s">
        <v>1823</v>
      </c>
      <c r="V41" s="93" t="s">
        <v>336</v>
      </c>
      <c r="W41" s="93" t="s">
        <v>231</v>
      </c>
    </row>
    <row r="42" spans="1:23" ht="24.75" customHeight="1">
      <c r="A42" s="994"/>
      <c r="B42" s="990"/>
      <c r="C42" s="990"/>
      <c r="D42" s="14" t="s">
        <v>235</v>
      </c>
      <c r="E42" s="14" t="s">
        <v>1092</v>
      </c>
      <c r="F42" s="998"/>
      <c r="G42" s="16"/>
      <c r="H42" s="15"/>
      <c r="I42" s="15"/>
      <c r="J42" s="15"/>
      <c r="K42" s="15"/>
      <c r="L42" s="15"/>
      <c r="M42" s="15"/>
      <c r="N42" s="15"/>
      <c r="O42" s="15"/>
      <c r="P42" s="15"/>
      <c r="Q42" s="988"/>
      <c r="R42" s="988"/>
      <c r="S42" s="988"/>
      <c r="T42" s="988"/>
      <c r="U42" s="15"/>
      <c r="V42" s="15"/>
      <c r="W42" s="94"/>
    </row>
    <row r="43" spans="1:23" ht="24" customHeight="1">
      <c r="A43" s="53" t="s">
        <v>62</v>
      </c>
      <c r="B43" s="54"/>
      <c r="C43" s="54" t="s">
        <v>299</v>
      </c>
      <c r="D43" s="54"/>
      <c r="E43" s="54"/>
      <c r="F43" s="54"/>
      <c r="G43" s="54"/>
      <c r="H43" s="54"/>
      <c r="I43" s="54"/>
      <c r="J43" s="54"/>
      <c r="K43" s="54"/>
      <c r="L43" s="54"/>
      <c r="M43" s="54"/>
      <c r="N43" s="54"/>
      <c r="O43" s="54"/>
      <c r="P43" s="54"/>
      <c r="Q43" s="54"/>
      <c r="R43" s="54"/>
      <c r="S43" s="54"/>
      <c r="T43" s="54"/>
      <c r="U43" s="54"/>
      <c r="V43" s="54"/>
      <c r="W43" s="95"/>
    </row>
    <row r="44" spans="1:23" ht="24" customHeight="1">
      <c r="A44" s="55">
        <v>1</v>
      </c>
      <c r="B44" s="56"/>
      <c r="C44" s="56" t="s">
        <v>1825</v>
      </c>
      <c r="D44" s="104">
        <v>5.21</v>
      </c>
      <c r="E44" s="104">
        <v>4.55</v>
      </c>
      <c r="F44" s="104">
        <f>2.38+0.02</f>
        <v>2.4</v>
      </c>
      <c r="G44" s="104">
        <v>1</v>
      </c>
      <c r="H44" s="104">
        <v>0</v>
      </c>
      <c r="I44" s="104">
        <v>0</v>
      </c>
      <c r="J44" s="56"/>
      <c r="K44" s="56"/>
      <c r="L44" s="104">
        <v>1.1000000000000001</v>
      </c>
      <c r="M44" s="104">
        <v>1.52</v>
      </c>
      <c r="N44" s="104"/>
      <c r="O44" s="104">
        <f>2.34</f>
        <v>2.34</v>
      </c>
      <c r="P44" s="56"/>
      <c r="Q44" s="56"/>
      <c r="R44" s="96">
        <f>D44*1.8+D45*1.8-$H$6*G44*1.8-(1.8-0.9)*H44+(H44+(1.8-0.9)*2)*0.1</f>
        <v>14.950799999999999</v>
      </c>
      <c r="S44" s="97">
        <f>D44*F44+D45*F45-$H$7*G44-H44*I44+(H44+I44)*2*0.1</f>
        <v>19.418431999999999</v>
      </c>
      <c r="T44" s="97">
        <f>E44+(D44+D45-$H$6)*0.15</f>
        <v>5.7808999999999999</v>
      </c>
      <c r="U44" s="56"/>
      <c r="V44" s="56">
        <f>0.25*0.12*2.4</f>
        <v>7.1999999999999995E-2</v>
      </c>
      <c r="W44" s="98">
        <f>0.56*2.4</f>
        <v>1.3440000000000001</v>
      </c>
    </row>
    <row r="45" spans="1:23" ht="24" customHeight="1">
      <c r="A45" s="55"/>
      <c r="B45" s="56"/>
      <c r="C45" s="56"/>
      <c r="D45" s="104">
        <v>3.84</v>
      </c>
      <c r="E45" s="56"/>
      <c r="F45" s="104">
        <f>2.28+0.02</f>
        <v>2.2999999999999998</v>
      </c>
      <c r="G45" s="56"/>
      <c r="H45" s="56"/>
      <c r="I45" s="56"/>
      <c r="J45" s="56"/>
      <c r="K45" s="56"/>
      <c r="L45" s="56"/>
      <c r="M45" s="56"/>
      <c r="N45" s="56"/>
      <c r="O45" s="56"/>
      <c r="P45" s="56"/>
      <c r="Q45" s="56"/>
      <c r="R45" s="96"/>
      <c r="S45" s="96"/>
      <c r="T45" s="96"/>
      <c r="U45" s="56"/>
      <c r="V45" s="56"/>
      <c r="W45" s="98"/>
    </row>
    <row r="46" spans="1:23" ht="24" customHeight="1">
      <c r="A46" s="55">
        <v>2</v>
      </c>
      <c r="B46" s="56"/>
      <c r="C46" s="56" t="s">
        <v>1826</v>
      </c>
      <c r="D46" s="30"/>
      <c r="E46" s="30"/>
      <c r="F46" s="30"/>
      <c r="G46" s="30"/>
      <c r="H46" s="30"/>
      <c r="I46" s="30"/>
      <c r="J46" s="30"/>
      <c r="K46" s="30"/>
      <c r="L46" s="30"/>
      <c r="M46" s="30"/>
      <c r="N46" s="30"/>
      <c r="O46" s="30"/>
      <c r="P46" s="30"/>
      <c r="Q46" s="56"/>
      <c r="R46" s="96">
        <f>(D46*1.8-$H$6*G46*1.8-(1.8-0.9)*H46+(H46+(1.8-0.9)*2)*0.1)*$J$3</f>
        <v>0</v>
      </c>
      <c r="S46" s="96">
        <f>D46*F46-$H$7*G46-H46*I46+(H46+I46)*2*0.1</f>
        <v>0</v>
      </c>
      <c r="T46" s="96">
        <f>(E46+(D46-$H$6)*0.15)*$J$3</f>
        <v>0</v>
      </c>
      <c r="U46" s="56"/>
      <c r="V46" s="56"/>
      <c r="W46" s="98"/>
    </row>
    <row r="47" spans="1:23" ht="24" customHeight="1">
      <c r="A47" s="55"/>
      <c r="B47" s="56"/>
      <c r="C47" s="56"/>
      <c r="D47" s="30"/>
      <c r="E47" s="30"/>
      <c r="F47" s="30"/>
      <c r="G47" s="30"/>
      <c r="H47" s="30"/>
      <c r="I47" s="30"/>
      <c r="J47" s="30"/>
      <c r="K47" s="30"/>
      <c r="L47" s="30"/>
      <c r="M47" s="30"/>
      <c r="N47" s="30"/>
      <c r="O47" s="30"/>
      <c r="P47" s="30"/>
      <c r="Q47" s="56"/>
      <c r="R47" s="96"/>
      <c r="S47" s="96"/>
      <c r="T47" s="96"/>
      <c r="U47" s="56"/>
      <c r="V47" s="56"/>
      <c r="W47" s="98"/>
    </row>
    <row r="48" spans="1:23" ht="24" customHeight="1">
      <c r="A48" s="46">
        <v>3</v>
      </c>
      <c r="B48" s="47"/>
      <c r="C48" s="34" t="s">
        <v>1827</v>
      </c>
      <c r="D48" s="47"/>
      <c r="E48" s="35">
        <f>E44+E46</f>
        <v>4.55</v>
      </c>
      <c r="F48" s="35"/>
      <c r="G48" s="35"/>
      <c r="H48" s="35"/>
      <c r="I48" s="35"/>
      <c r="J48" s="35"/>
      <c r="K48" s="35"/>
      <c r="L48" s="35">
        <f t="shared" ref="L48" si="1">SUM(L44:L46)</f>
        <v>1.1000000000000001</v>
      </c>
      <c r="M48" s="35">
        <f t="shared" ref="M48:W48" si="2">SUM(M44:M46)</f>
        <v>1.52</v>
      </c>
      <c r="N48" s="35">
        <f t="shared" si="2"/>
        <v>0</v>
      </c>
      <c r="O48" s="35">
        <f t="shared" si="2"/>
        <v>2.34</v>
      </c>
      <c r="P48" s="35">
        <f t="shared" si="2"/>
        <v>0</v>
      </c>
      <c r="Q48" s="35">
        <f t="shared" si="2"/>
        <v>0</v>
      </c>
      <c r="R48" s="35">
        <f t="shared" si="2"/>
        <v>14.950799999999999</v>
      </c>
      <c r="S48" s="35">
        <f t="shared" si="2"/>
        <v>19.418431999999999</v>
      </c>
      <c r="T48" s="35">
        <f t="shared" si="2"/>
        <v>5.7808999999999999</v>
      </c>
      <c r="U48" s="35">
        <f t="shared" si="2"/>
        <v>0</v>
      </c>
      <c r="V48" s="35">
        <f t="shared" si="2"/>
        <v>7.1999999999999995E-2</v>
      </c>
      <c r="W48" s="35">
        <f t="shared" si="2"/>
        <v>1.3440000000000001</v>
      </c>
    </row>
    <row r="49" spans="1:23" ht="24" customHeight="1">
      <c r="A49" s="57"/>
      <c r="B49" s="58"/>
      <c r="C49" s="59"/>
      <c r="D49" s="58"/>
      <c r="E49" s="60"/>
      <c r="F49" s="60"/>
      <c r="G49" s="60"/>
      <c r="H49" s="60"/>
      <c r="I49" s="60"/>
      <c r="J49" s="60"/>
      <c r="K49" s="60"/>
      <c r="L49" s="60"/>
      <c r="M49" s="60"/>
      <c r="N49" s="60"/>
      <c r="O49" s="60"/>
      <c r="P49" s="60"/>
      <c r="Q49" s="60"/>
      <c r="R49" s="60"/>
      <c r="S49" s="60"/>
      <c r="T49" s="60"/>
      <c r="U49" s="60"/>
      <c r="V49" s="60"/>
      <c r="W49" s="99"/>
    </row>
    <row r="50" spans="1:23" ht="30" customHeight="1">
      <c r="A50" s="994" t="s">
        <v>54</v>
      </c>
      <c r="B50" s="990" t="s">
        <v>1758</v>
      </c>
      <c r="C50" s="990" t="s">
        <v>1767</v>
      </c>
      <c r="D50" s="14" t="s">
        <v>1768</v>
      </c>
      <c r="E50" s="14" t="s">
        <v>1769</v>
      </c>
      <c r="F50" s="998" t="s">
        <v>1813</v>
      </c>
      <c r="G50" s="61" t="s">
        <v>1771</v>
      </c>
      <c r="H50" s="62"/>
      <c r="I50" s="996" t="s">
        <v>1828</v>
      </c>
      <c r="J50" s="997"/>
      <c r="K50" s="988" t="s">
        <v>1829</v>
      </c>
      <c r="L50" s="988"/>
      <c r="M50" s="1003" t="s">
        <v>375</v>
      </c>
      <c r="N50" s="988" t="s">
        <v>1818</v>
      </c>
      <c r="O50" s="988" t="s">
        <v>1819</v>
      </c>
      <c r="P50" s="988" t="s">
        <v>1830</v>
      </c>
      <c r="Q50" s="988" t="s">
        <v>1831</v>
      </c>
      <c r="R50" s="988" t="s">
        <v>1832</v>
      </c>
      <c r="S50" s="988"/>
      <c r="T50" s="988"/>
      <c r="U50" s="15"/>
      <c r="V50" s="15"/>
      <c r="W50" s="82"/>
    </row>
    <row r="51" spans="1:23" ht="35.25" customHeight="1">
      <c r="A51" s="994"/>
      <c r="B51" s="990"/>
      <c r="C51" s="990"/>
      <c r="D51" s="988" t="s">
        <v>1780</v>
      </c>
      <c r="E51" s="988"/>
      <c r="F51" s="998"/>
      <c r="G51" s="14" t="s">
        <v>1782</v>
      </c>
      <c r="H51" s="14" t="s">
        <v>1783</v>
      </c>
      <c r="I51" s="14" t="s">
        <v>1833</v>
      </c>
      <c r="J51" s="15" t="s">
        <v>1834</v>
      </c>
      <c r="K51" s="14" t="s">
        <v>1833</v>
      </c>
      <c r="L51" s="15" t="s">
        <v>1834</v>
      </c>
      <c r="M51" s="1004"/>
      <c r="N51" s="988"/>
      <c r="O51" s="988"/>
      <c r="P51" s="988"/>
      <c r="Q51" s="988"/>
      <c r="R51" s="988"/>
      <c r="S51" s="988"/>
      <c r="T51" s="988"/>
      <c r="U51" s="15"/>
      <c r="V51" s="15"/>
      <c r="W51" s="15"/>
    </row>
    <row r="52" spans="1:23" ht="24.75" customHeight="1">
      <c r="A52" s="994"/>
      <c r="B52" s="990"/>
      <c r="C52" s="990"/>
      <c r="D52" s="14" t="s">
        <v>235</v>
      </c>
      <c r="E52" s="14" t="s">
        <v>1092</v>
      </c>
      <c r="F52" s="998"/>
      <c r="G52" s="16"/>
      <c r="H52" s="15"/>
      <c r="I52" s="15" t="s">
        <v>1823</v>
      </c>
      <c r="J52" s="15" t="s">
        <v>1823</v>
      </c>
      <c r="K52" s="15" t="s">
        <v>1823</v>
      </c>
      <c r="L52" s="15" t="s">
        <v>1823</v>
      </c>
      <c r="M52" s="17" t="s">
        <v>1092</v>
      </c>
      <c r="N52" s="988"/>
      <c r="O52" s="988"/>
      <c r="P52" s="15" t="s">
        <v>1835</v>
      </c>
      <c r="Q52" s="15" t="s">
        <v>1835</v>
      </c>
      <c r="R52" s="15" t="s">
        <v>1835</v>
      </c>
      <c r="S52" s="988"/>
      <c r="T52" s="988"/>
      <c r="U52" s="15"/>
      <c r="V52" s="15"/>
      <c r="W52" s="94"/>
    </row>
    <row r="53" spans="1:23" ht="24" customHeight="1">
      <c r="A53" s="53" t="s">
        <v>64</v>
      </c>
      <c r="B53" s="54"/>
      <c r="C53" s="54" t="s">
        <v>1354</v>
      </c>
      <c r="D53" s="54"/>
      <c r="E53" s="54"/>
      <c r="F53" s="54"/>
      <c r="G53" s="54"/>
      <c r="H53" s="54"/>
      <c r="I53" s="54"/>
      <c r="J53" s="54"/>
      <c r="K53" s="54"/>
      <c r="L53" s="54"/>
      <c r="M53" s="54"/>
      <c r="N53" s="54"/>
      <c r="O53" s="54"/>
      <c r="P53" s="54"/>
      <c r="Q53" s="54"/>
      <c r="R53" s="54"/>
      <c r="S53" s="54"/>
      <c r="T53" s="54"/>
      <c r="U53" s="54"/>
      <c r="V53" s="54"/>
      <c r="W53" s="95"/>
    </row>
    <row r="54" spans="1:23" ht="15.75" customHeight="1">
      <c r="A54" s="63" t="s">
        <v>1836</v>
      </c>
      <c r="B54" s="64" t="s">
        <v>133</v>
      </c>
      <c r="C54" s="64" t="s">
        <v>1837</v>
      </c>
      <c r="D54" s="109">
        <v>7.81</v>
      </c>
      <c r="E54" s="109">
        <v>7.13</v>
      </c>
      <c r="F54" s="109">
        <f>2.4</f>
        <v>2.4</v>
      </c>
      <c r="G54" s="109">
        <f>I16</f>
        <v>0</v>
      </c>
      <c r="H54" s="109">
        <f>J17</f>
        <v>0</v>
      </c>
      <c r="I54" s="111">
        <v>0</v>
      </c>
      <c r="J54" s="111">
        <v>0</v>
      </c>
      <c r="K54" s="111">
        <v>0</v>
      </c>
      <c r="L54" s="111">
        <v>0</v>
      </c>
      <c r="M54" s="109">
        <f>2.42*0.82</f>
        <v>1.9843999999999997</v>
      </c>
      <c r="N54" s="83">
        <f>(D54-I6*G54-J6*H54-I54-K54)*1</f>
        <v>7.81</v>
      </c>
      <c r="O54" s="84">
        <f>D54*F54-I7*G54-J7*H54-I54*2.24-J54*1.19-K54*2.24-L54*1.32-M54+(2.24+I54+J54+1.19+J54)*0.1*P54+(2.24*2+K54)*0.1*Q54+(1.32*2+L54*2)*0.1*R54</f>
        <v>16.759599999999999</v>
      </c>
      <c r="P54" s="111">
        <v>0</v>
      </c>
      <c r="Q54" s="111">
        <v>0</v>
      </c>
      <c r="R54" s="109">
        <v>0</v>
      </c>
      <c r="S54" s="64"/>
      <c r="T54" s="64"/>
      <c r="U54" s="64"/>
      <c r="V54" s="64"/>
      <c r="W54" s="100"/>
    </row>
    <row r="55" spans="1:23" ht="30" customHeight="1">
      <c r="A55" s="41"/>
      <c r="B55" s="15"/>
      <c r="C55" s="52" t="s">
        <v>1838</v>
      </c>
      <c r="D55" s="15"/>
      <c r="E55" s="104">
        <v>1.07</v>
      </c>
      <c r="F55" s="15"/>
      <c r="G55" s="15"/>
      <c r="H55" s="15"/>
      <c r="I55" s="15"/>
      <c r="J55" s="15"/>
      <c r="K55" s="15"/>
      <c r="L55" s="15"/>
      <c r="M55" s="15"/>
      <c r="N55" s="15"/>
      <c r="O55" s="15"/>
      <c r="P55" s="15"/>
      <c r="Q55" s="15"/>
      <c r="R55" s="15"/>
      <c r="S55" s="15"/>
      <c r="T55" s="15"/>
      <c r="U55" s="15"/>
      <c r="V55" s="15"/>
      <c r="W55" s="101"/>
    </row>
    <row r="56" spans="1:23" ht="22.5" customHeight="1">
      <c r="A56" s="66"/>
      <c r="B56" s="67"/>
      <c r="C56" s="68" t="s">
        <v>1839</v>
      </c>
      <c r="D56" s="67"/>
      <c r="E56" s="69">
        <f>E54-E55</f>
        <v>6.06</v>
      </c>
      <c r="F56" s="70"/>
      <c r="G56" s="70"/>
      <c r="H56" s="70"/>
      <c r="I56" s="70"/>
      <c r="J56" s="70"/>
      <c r="K56" s="70"/>
      <c r="L56" s="70"/>
      <c r="M56" s="70"/>
      <c r="N56" s="70"/>
      <c r="O56" s="70"/>
      <c r="P56" s="70"/>
      <c r="Q56" s="70"/>
      <c r="R56" s="70"/>
      <c r="S56" s="70"/>
      <c r="T56" s="67"/>
      <c r="U56" s="67"/>
      <c r="V56" s="67"/>
      <c r="W56" s="67"/>
    </row>
    <row r="57" spans="1:23" ht="22.5" customHeight="1">
      <c r="A57" s="71"/>
      <c r="B57" s="72"/>
      <c r="C57" s="73"/>
      <c r="D57" s="72"/>
      <c r="E57" s="74"/>
      <c r="F57" s="75"/>
      <c r="G57" s="76"/>
      <c r="H57" s="77"/>
      <c r="I57" s="76"/>
      <c r="J57" s="77"/>
      <c r="K57" s="75"/>
      <c r="L57" s="75"/>
      <c r="M57" s="75"/>
      <c r="N57" s="75"/>
      <c r="O57" s="75"/>
      <c r="P57" s="75"/>
      <c r="Q57" s="75"/>
      <c r="R57" s="75"/>
      <c r="S57" s="75"/>
      <c r="T57" s="72"/>
      <c r="U57" s="72"/>
      <c r="V57" s="72"/>
      <c r="W57" s="72"/>
    </row>
    <row r="58" spans="1:23" ht="19.5" customHeight="1">
      <c r="A58" s="3" t="s">
        <v>1840</v>
      </c>
      <c r="E58" s="4"/>
      <c r="F58" s="4"/>
      <c r="G58" s="4"/>
      <c r="H58" s="4"/>
      <c r="I58" s="4"/>
      <c r="J58" s="4"/>
      <c r="K58" s="4"/>
      <c r="L58" s="4"/>
      <c r="M58" s="4"/>
      <c r="N58" s="4"/>
      <c r="O58" s="4"/>
      <c r="P58" s="4"/>
      <c r="Q58" s="4"/>
      <c r="R58" s="4"/>
      <c r="S58" s="4"/>
    </row>
    <row r="59" spans="1:23" ht="19.5" customHeight="1">
      <c r="A59" s="3"/>
      <c r="E59" s="4"/>
      <c r="F59" s="4"/>
      <c r="G59" s="4"/>
      <c r="H59" s="4"/>
      <c r="I59" s="4"/>
      <c r="J59" s="4"/>
      <c r="K59" s="4"/>
      <c r="L59" s="4"/>
      <c r="M59" s="4"/>
      <c r="N59" s="4"/>
      <c r="O59" s="4"/>
      <c r="P59" s="4"/>
      <c r="Q59" s="4"/>
      <c r="R59" s="4"/>
      <c r="S59" s="4"/>
    </row>
  </sheetData>
  <mergeCells count="40">
    <mergeCell ref="T4:T7"/>
    <mergeCell ref="T40:T42"/>
    <mergeCell ref="T50:T52"/>
    <mergeCell ref="W4:W7"/>
    <mergeCell ref="M4:N5"/>
    <mergeCell ref="O4:P5"/>
    <mergeCell ref="U4:V5"/>
    <mergeCell ref="R4:R7"/>
    <mergeCell ref="R40:R42"/>
    <mergeCell ref="R50:R51"/>
    <mergeCell ref="S4:S7"/>
    <mergeCell ref="S40:S42"/>
    <mergeCell ref="S50:S52"/>
    <mergeCell ref="M50:M51"/>
    <mergeCell ref="N50:N52"/>
    <mergeCell ref="O50:O52"/>
    <mergeCell ref="F4:F7"/>
    <mergeCell ref="F40:F42"/>
    <mergeCell ref="F50:F52"/>
    <mergeCell ref="G4:K4"/>
    <mergeCell ref="D5:E5"/>
    <mergeCell ref="H40:I40"/>
    <mergeCell ref="J40:K40"/>
    <mergeCell ref="D41:E41"/>
    <mergeCell ref="D51:E51"/>
    <mergeCell ref="P50:P51"/>
    <mergeCell ref="Q4:Q7"/>
    <mergeCell ref="Q40:Q42"/>
    <mergeCell ref="Q50:Q51"/>
    <mergeCell ref="I50:J50"/>
    <mergeCell ref="K50:L50"/>
    <mergeCell ref="C4:C7"/>
    <mergeCell ref="C40:C42"/>
    <mergeCell ref="C50:C52"/>
    <mergeCell ref="A4:A7"/>
    <mergeCell ref="A40:A42"/>
    <mergeCell ref="A50:A52"/>
    <mergeCell ref="B4:B7"/>
    <mergeCell ref="B40:B42"/>
    <mergeCell ref="B50:B52"/>
  </mergeCells>
  <phoneticPr fontId="7" type="noConversion"/>
  <printOptions horizontalCentered="1"/>
  <pageMargins left="0.43307086614173229" right="0.23622047244094491" top="0.74803149606299213" bottom="0.74803149606299213" header="0.31496062992125984" footer="0.31496062992125984"/>
  <pageSetup paperSize="9" scale="85" orientation="portrait" blackAndWhite="1" r:id="rId1"/>
  <headerFooter alignWithMargins="0">
    <oddFooter>&amp;C第 &amp;P 页，共 &amp;N 页</oddFooter>
  </headerFooter>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indexed="60"/>
  </sheetPr>
  <dimension ref="A1:W59"/>
  <sheetViews>
    <sheetView workbookViewId="0">
      <pane xSplit="5" ySplit="7" topLeftCell="F8" activePane="bottomRight" state="frozen"/>
      <selection activeCell="J6" sqref="J6"/>
      <selection pane="topRight" activeCell="J6" sqref="J6"/>
      <selection pane="bottomLeft" activeCell="J6" sqref="J6"/>
      <selection pane="bottomRight" activeCell="J6" sqref="J6"/>
    </sheetView>
  </sheetViews>
  <sheetFormatPr defaultColWidth="9.125" defaultRowHeight="14.25"/>
  <cols>
    <col min="1" max="1" width="6.875" customWidth="1"/>
    <col min="2" max="2" width="11.75" customWidth="1"/>
    <col min="3" max="3" width="28" customWidth="1"/>
    <col min="4" max="4" width="9.25" customWidth="1"/>
    <col min="5" max="5" width="11.75" customWidth="1"/>
    <col min="6" max="11" width="9.25" customWidth="1"/>
    <col min="12" max="12" width="10.25" customWidth="1"/>
    <col min="13" max="18" width="9.25" customWidth="1"/>
    <col min="19" max="19" width="9.75" customWidth="1"/>
    <col min="20" max="21" width="9.25" customWidth="1"/>
    <col min="22" max="22" width="9.375" customWidth="1"/>
  </cols>
  <sheetData>
    <row r="1" spans="1:23" ht="21" customHeight="1">
      <c r="A1" s="3"/>
      <c r="C1" s="1" t="s">
        <v>1755</v>
      </c>
      <c r="E1" s="4"/>
      <c r="F1" s="4"/>
      <c r="G1" s="4"/>
      <c r="H1" s="4"/>
      <c r="I1" s="4"/>
      <c r="J1" s="4"/>
      <c r="K1" s="4"/>
      <c r="L1" s="4"/>
      <c r="M1" s="4"/>
      <c r="N1" s="4"/>
      <c r="O1" s="4"/>
      <c r="P1" s="4"/>
      <c r="Q1" s="4"/>
      <c r="R1" s="4"/>
      <c r="S1" s="4"/>
    </row>
    <row r="2" spans="1:23" ht="21" customHeight="1">
      <c r="A2" s="5" t="s">
        <v>1756</v>
      </c>
      <c r="B2" s="6" t="s">
        <v>131</v>
      </c>
      <c r="C2" s="7"/>
      <c r="D2" s="8" t="s">
        <v>1758</v>
      </c>
      <c r="E2" s="6" t="s">
        <v>1841</v>
      </c>
      <c r="F2" s="9"/>
      <c r="G2" s="8" t="s">
        <v>1760</v>
      </c>
      <c r="H2" s="6">
        <v>1</v>
      </c>
      <c r="I2" s="9" t="s">
        <v>1761</v>
      </c>
      <c r="J2" s="9"/>
      <c r="K2" s="9"/>
      <c r="L2" s="9"/>
      <c r="M2" s="9"/>
      <c r="N2" s="9"/>
      <c r="O2" s="9"/>
      <c r="P2" s="9"/>
      <c r="Q2" s="9"/>
      <c r="R2" s="9"/>
      <c r="S2" s="9"/>
    </row>
    <row r="3" spans="1:23" ht="21" customHeight="1">
      <c r="A3" s="10" t="s">
        <v>120</v>
      </c>
      <c r="B3" s="11" t="s">
        <v>1841</v>
      </c>
      <c r="C3" s="7"/>
      <c r="D3" s="7"/>
      <c r="F3" s="9"/>
      <c r="G3" s="12" t="s">
        <v>1763</v>
      </c>
      <c r="H3" s="11">
        <v>1</v>
      </c>
      <c r="I3" s="9" t="s">
        <v>1764</v>
      </c>
      <c r="J3" s="9">
        <v>0</v>
      </c>
      <c r="K3" s="9" t="s">
        <v>1765</v>
      </c>
      <c r="L3" s="9">
        <v>0</v>
      </c>
      <c r="M3" s="9"/>
      <c r="N3" s="9"/>
      <c r="O3" s="9"/>
      <c r="P3" s="9"/>
      <c r="Q3" s="9"/>
      <c r="R3" s="9"/>
      <c r="S3" s="9"/>
    </row>
    <row r="4" spans="1:23" ht="35.25" customHeight="1">
      <c r="A4" s="991" t="s">
        <v>54</v>
      </c>
      <c r="B4" s="987" t="s">
        <v>1766</v>
      </c>
      <c r="C4" s="987" t="s">
        <v>1767</v>
      </c>
      <c r="D4" s="13" t="s">
        <v>1768</v>
      </c>
      <c r="E4" s="13" t="s">
        <v>1769</v>
      </c>
      <c r="F4" s="987" t="s">
        <v>1770</v>
      </c>
      <c r="G4" s="987" t="s">
        <v>1771</v>
      </c>
      <c r="H4" s="987"/>
      <c r="I4" s="987"/>
      <c r="J4" s="987"/>
      <c r="K4" s="987"/>
      <c r="L4" s="78" t="s">
        <v>1772</v>
      </c>
      <c r="M4" s="987" t="s">
        <v>1773</v>
      </c>
      <c r="N4" s="987"/>
      <c r="O4" s="987" t="s">
        <v>1774</v>
      </c>
      <c r="P4" s="987"/>
      <c r="Q4" s="987" t="s">
        <v>1775</v>
      </c>
      <c r="R4" s="987" t="s">
        <v>1776</v>
      </c>
      <c r="S4" s="987" t="s">
        <v>1777</v>
      </c>
      <c r="T4" s="987" t="s">
        <v>1778</v>
      </c>
      <c r="U4" s="987" t="s">
        <v>1574</v>
      </c>
      <c r="V4" s="987"/>
      <c r="W4" s="1000" t="s">
        <v>1779</v>
      </c>
    </row>
    <row r="5" spans="1:23" ht="24" customHeight="1">
      <c r="A5" s="992"/>
      <c r="B5" s="988"/>
      <c r="C5" s="988"/>
      <c r="D5" s="988" t="s">
        <v>1780</v>
      </c>
      <c r="E5" s="988"/>
      <c r="F5" s="988"/>
      <c r="G5" s="14" t="s">
        <v>1781</v>
      </c>
      <c r="H5" s="14" t="s">
        <v>1482</v>
      </c>
      <c r="I5" s="14" t="s">
        <v>1782</v>
      </c>
      <c r="J5" s="14" t="s">
        <v>1783</v>
      </c>
      <c r="K5" s="14" t="s">
        <v>1418</v>
      </c>
      <c r="L5" s="14" t="s">
        <v>1784</v>
      </c>
      <c r="M5" s="988"/>
      <c r="N5" s="988"/>
      <c r="O5" s="988"/>
      <c r="P5" s="988"/>
      <c r="Q5" s="988"/>
      <c r="R5" s="988"/>
      <c r="S5" s="988"/>
      <c r="T5" s="988"/>
      <c r="U5" s="988"/>
      <c r="V5" s="988"/>
      <c r="W5" s="1001"/>
    </row>
    <row r="6" spans="1:23" ht="27" customHeight="1">
      <c r="A6" s="992"/>
      <c r="B6" s="988"/>
      <c r="C6" s="988"/>
      <c r="D6" s="14"/>
      <c r="E6" s="15"/>
      <c r="F6" s="988"/>
      <c r="G6" s="16">
        <v>0.99399999999999999</v>
      </c>
      <c r="H6" s="16">
        <v>0.84399999999999997</v>
      </c>
      <c r="I6" s="16">
        <v>0.9</v>
      </c>
      <c r="J6" s="16">
        <v>1.65</v>
      </c>
      <c r="K6" s="16">
        <v>1.1599999999999999</v>
      </c>
      <c r="L6" s="79"/>
      <c r="M6" s="14" t="s">
        <v>1785</v>
      </c>
      <c r="N6" s="15" t="s">
        <v>1786</v>
      </c>
      <c r="O6" s="14" t="s">
        <v>1785</v>
      </c>
      <c r="P6" s="15" t="s">
        <v>1786</v>
      </c>
      <c r="Q6" s="988"/>
      <c r="R6" s="988"/>
      <c r="S6" s="988"/>
      <c r="T6" s="988"/>
      <c r="U6" s="14" t="s">
        <v>1787</v>
      </c>
      <c r="V6" s="14" t="s">
        <v>1788</v>
      </c>
      <c r="W6" s="1001"/>
    </row>
    <row r="7" spans="1:23" ht="24.75" customHeight="1">
      <c r="A7" s="993"/>
      <c r="B7" s="989"/>
      <c r="C7" s="989"/>
      <c r="D7" s="17" t="s">
        <v>235</v>
      </c>
      <c r="E7" s="17" t="s">
        <v>1092</v>
      </c>
      <c r="F7" s="989"/>
      <c r="G7" s="18">
        <f>0.994*2.272</f>
        <v>2.2583679999999999</v>
      </c>
      <c r="H7" s="18">
        <f>0.844*2.272</f>
        <v>1.9175679999999997</v>
      </c>
      <c r="I7" s="18">
        <f>0.9*2.19</f>
        <v>1.9710000000000001</v>
      </c>
      <c r="J7" s="18">
        <f>1.65*2.14</f>
        <v>3.5310000000000001</v>
      </c>
      <c r="K7" s="18">
        <f>1.16*2.18</f>
        <v>2.5287999999999999</v>
      </c>
      <c r="L7" s="18">
        <v>2.27</v>
      </c>
      <c r="M7" s="80"/>
      <c r="N7" s="80"/>
      <c r="O7" s="80"/>
      <c r="P7" s="80"/>
      <c r="Q7" s="995"/>
      <c r="R7" s="989"/>
      <c r="S7" s="989"/>
      <c r="T7" s="989"/>
      <c r="U7" s="80" t="s">
        <v>1789</v>
      </c>
      <c r="V7" s="80" t="s">
        <v>1790</v>
      </c>
      <c r="W7" s="1002"/>
    </row>
    <row r="8" spans="1:23" ht="24.75" customHeight="1">
      <c r="A8" s="19" t="s">
        <v>58</v>
      </c>
      <c r="B8" s="20"/>
      <c r="C8" s="21" t="s">
        <v>1406</v>
      </c>
      <c r="D8" s="20"/>
      <c r="E8" s="20"/>
      <c r="F8" s="20"/>
      <c r="G8" s="22"/>
      <c r="H8" s="22"/>
      <c r="I8" s="22"/>
      <c r="J8" s="22"/>
      <c r="K8" s="22"/>
      <c r="L8" s="22"/>
      <c r="M8" s="22"/>
      <c r="N8" s="22"/>
      <c r="O8" s="22"/>
      <c r="P8" s="22"/>
      <c r="Q8" s="22"/>
      <c r="R8" s="20"/>
      <c r="S8" s="20"/>
      <c r="T8" s="20"/>
      <c r="U8" s="22"/>
      <c r="V8" s="22"/>
      <c r="W8" s="85"/>
    </row>
    <row r="9" spans="1:23" ht="24.75" customHeight="1">
      <c r="A9" s="23">
        <v>1</v>
      </c>
      <c r="B9" s="24"/>
      <c r="C9" s="25" t="s">
        <v>237</v>
      </c>
      <c r="D9" s="103">
        <v>0</v>
      </c>
      <c r="E9" s="27"/>
      <c r="F9" s="28"/>
      <c r="G9" s="29"/>
      <c r="H9" s="29"/>
      <c r="I9" s="29"/>
      <c r="J9" s="29"/>
      <c r="K9" s="29"/>
      <c r="L9" s="29"/>
      <c r="M9" s="29"/>
      <c r="N9" s="29"/>
      <c r="O9" s="29"/>
      <c r="P9" s="29"/>
      <c r="Q9" s="29"/>
      <c r="R9" s="28"/>
      <c r="S9" s="28"/>
      <c r="T9" s="28"/>
      <c r="U9" s="29"/>
      <c r="V9" s="29"/>
      <c r="W9" s="86"/>
    </row>
    <row r="10" spans="1:23" ht="24.75" customHeight="1">
      <c r="A10" s="23">
        <v>2</v>
      </c>
      <c r="B10" s="24"/>
      <c r="C10" s="25" t="s">
        <v>241</v>
      </c>
      <c r="D10" s="104">
        <v>0</v>
      </c>
      <c r="E10" s="27"/>
      <c r="F10" s="28"/>
      <c r="G10" s="29"/>
      <c r="H10" s="29"/>
      <c r="I10" s="29"/>
      <c r="J10" s="29"/>
      <c r="K10" s="29"/>
      <c r="L10" s="29"/>
      <c r="M10" s="29"/>
      <c r="N10" s="29"/>
      <c r="O10" s="29"/>
      <c r="P10" s="29"/>
      <c r="Q10" s="29"/>
      <c r="R10" s="28"/>
      <c r="S10" s="28"/>
      <c r="T10" s="28"/>
      <c r="U10" s="29"/>
      <c r="V10" s="29"/>
      <c r="W10" s="86"/>
    </row>
    <row r="11" spans="1:23" ht="24.75" customHeight="1">
      <c r="A11" s="23">
        <v>3</v>
      </c>
      <c r="B11" s="15"/>
      <c r="C11" s="15" t="s">
        <v>1791</v>
      </c>
      <c r="D11" s="104">
        <v>0</v>
      </c>
      <c r="E11" s="104">
        <v>0</v>
      </c>
      <c r="F11" s="29"/>
      <c r="G11" s="29"/>
      <c r="H11" s="29"/>
      <c r="I11" s="29"/>
      <c r="J11" s="29"/>
      <c r="K11" s="29"/>
      <c r="L11" s="29"/>
      <c r="M11" s="29"/>
      <c r="N11" s="29"/>
      <c r="O11" s="29"/>
      <c r="P11" s="29"/>
      <c r="Q11" s="29"/>
      <c r="R11" s="29"/>
      <c r="S11" s="15"/>
      <c r="T11" s="29"/>
      <c r="U11" s="29"/>
      <c r="V11" s="29"/>
      <c r="W11" s="87"/>
    </row>
    <row r="12" spans="1:23" ht="15.75" customHeight="1">
      <c r="A12" s="23">
        <v>4</v>
      </c>
      <c r="B12" s="15"/>
      <c r="C12" s="15" t="s">
        <v>1792</v>
      </c>
      <c r="D12" s="104">
        <v>0</v>
      </c>
      <c r="E12" s="104">
        <v>0</v>
      </c>
      <c r="F12" s="104">
        <f>3-0.5-0.065-0.1-0.012</f>
        <v>2.323</v>
      </c>
      <c r="G12" s="29"/>
      <c r="H12" s="29"/>
      <c r="I12" s="29"/>
      <c r="J12" s="29"/>
      <c r="K12" s="29"/>
      <c r="L12" s="29"/>
      <c r="M12" s="29"/>
      <c r="N12" s="29"/>
      <c r="O12" s="29"/>
      <c r="P12" s="29"/>
      <c r="Q12" s="29"/>
      <c r="R12" s="29"/>
      <c r="S12" s="32">
        <f>D12*F12</f>
        <v>0</v>
      </c>
      <c r="T12" s="29"/>
      <c r="U12" s="29"/>
      <c r="V12" s="29"/>
      <c r="W12" s="87"/>
    </row>
    <row r="13" spans="1:23" ht="15.75" customHeight="1">
      <c r="A13" s="23">
        <v>5</v>
      </c>
      <c r="B13" s="15"/>
      <c r="C13" s="15" t="s">
        <v>1793</v>
      </c>
      <c r="D13" s="104"/>
      <c r="E13" s="9">
        <f>(D13*0.12-0.12*0.12*4)*$K$2</f>
        <v>0</v>
      </c>
      <c r="F13" s="29"/>
      <c r="G13" s="29"/>
      <c r="H13" s="29"/>
      <c r="I13" s="29"/>
      <c r="J13" s="29"/>
      <c r="K13" s="29"/>
      <c r="L13" s="29"/>
      <c r="M13" s="29"/>
      <c r="N13" s="29"/>
      <c r="O13" s="29"/>
      <c r="P13" s="29"/>
      <c r="Q13" s="29"/>
      <c r="R13" s="29"/>
      <c r="S13" s="43"/>
      <c r="T13" s="29"/>
      <c r="U13" s="29"/>
      <c r="V13" s="29"/>
      <c r="W13" s="87"/>
    </row>
    <row r="14" spans="1:23" ht="15.75" customHeight="1">
      <c r="A14" s="23">
        <v>6</v>
      </c>
      <c r="B14" s="15"/>
      <c r="C14" s="15" t="s">
        <v>1794</v>
      </c>
      <c r="D14" s="104">
        <v>0</v>
      </c>
      <c r="E14" s="104">
        <v>0</v>
      </c>
      <c r="F14" s="104">
        <v>0</v>
      </c>
      <c r="G14" s="29"/>
      <c r="H14" s="29"/>
      <c r="I14" s="29"/>
      <c r="J14" s="29"/>
      <c r="K14" s="29"/>
      <c r="L14" s="29"/>
      <c r="M14" s="29"/>
      <c r="N14" s="29"/>
      <c r="O14" s="29"/>
      <c r="P14" s="29"/>
      <c r="Q14" s="29"/>
      <c r="R14" s="29"/>
      <c r="S14" s="32">
        <f>D14*F14</f>
        <v>0</v>
      </c>
      <c r="T14" s="29"/>
      <c r="U14" s="29"/>
      <c r="V14" s="29"/>
      <c r="W14" s="87"/>
    </row>
    <row r="15" spans="1:23" ht="15.75" customHeight="1">
      <c r="A15" s="23">
        <v>7</v>
      </c>
      <c r="B15" s="15"/>
      <c r="C15" s="15" t="s">
        <v>1795</v>
      </c>
      <c r="D15" s="104">
        <v>0</v>
      </c>
      <c r="E15" s="104">
        <v>0</v>
      </c>
      <c r="F15" s="105">
        <f>D15*E15</f>
        <v>0</v>
      </c>
      <c r="G15" s="29"/>
      <c r="H15" s="29"/>
      <c r="I15" s="29"/>
      <c r="J15" s="29"/>
      <c r="K15" s="29"/>
      <c r="L15" s="29"/>
      <c r="M15" s="29"/>
      <c r="N15" s="29"/>
      <c r="O15" s="29"/>
      <c r="P15" s="29"/>
      <c r="Q15" s="29"/>
      <c r="R15" s="29"/>
      <c r="S15" s="43"/>
      <c r="T15" s="29"/>
      <c r="U15" s="29"/>
      <c r="V15" s="29"/>
      <c r="W15" s="87"/>
    </row>
    <row r="16" spans="1:23" ht="15.75" customHeight="1">
      <c r="A16" s="23">
        <v>8</v>
      </c>
      <c r="B16" s="15"/>
      <c r="C16" s="15" t="s">
        <v>1796</v>
      </c>
      <c r="D16" s="104">
        <v>0</v>
      </c>
      <c r="E16" s="33"/>
      <c r="F16" s="104">
        <f>3-0.1-0.012-0.135-0.065-0.1</f>
        <v>2.5880000000000001</v>
      </c>
      <c r="G16" s="29"/>
      <c r="H16" s="29"/>
      <c r="I16" s="29"/>
      <c r="J16" s="29"/>
      <c r="K16" s="29"/>
      <c r="L16" s="29"/>
      <c r="M16" s="29"/>
      <c r="N16" s="29"/>
      <c r="O16" s="29"/>
      <c r="P16" s="29"/>
      <c r="Q16" s="29"/>
      <c r="R16" s="29"/>
      <c r="S16" s="32">
        <f>(D16-0.2)*(F16-0.1)</f>
        <v>-0.49760000000000004</v>
      </c>
      <c r="T16" s="29"/>
      <c r="U16" s="29"/>
      <c r="V16" s="29"/>
      <c r="W16" s="87"/>
    </row>
    <row r="17" spans="1:23" ht="15.75" customHeight="1">
      <c r="A17" s="23">
        <v>9</v>
      </c>
      <c r="B17" s="15"/>
      <c r="C17" s="15" t="s">
        <v>1797</v>
      </c>
      <c r="D17" s="32">
        <f>D11-D12-D14-D16</f>
        <v>0</v>
      </c>
      <c r="E17" s="29"/>
      <c r="F17" s="104">
        <f>3-0.1-0.012-0.135-0.065-0.1</f>
        <v>2.5880000000000001</v>
      </c>
      <c r="G17" s="104">
        <v>0</v>
      </c>
      <c r="H17" s="104">
        <v>0</v>
      </c>
      <c r="I17" s="104">
        <v>0</v>
      </c>
      <c r="J17" s="104">
        <v>0</v>
      </c>
      <c r="K17" s="104">
        <v>0</v>
      </c>
      <c r="L17" s="104">
        <v>0</v>
      </c>
      <c r="M17" s="30">
        <v>0</v>
      </c>
      <c r="N17" s="30">
        <v>0</v>
      </c>
      <c r="O17" s="30">
        <v>0</v>
      </c>
      <c r="P17" s="30">
        <v>0</v>
      </c>
      <c r="Q17" s="30">
        <v>0</v>
      </c>
      <c r="R17" s="15"/>
      <c r="S17" s="32">
        <f>D17*F17-(G17*$G$7+H17*$H$7+I17*$I$7+J17*$J$7+K17*$K$7+L17*$L$7)-M17*N17-P17*O17+Q17+R17</f>
        <v>0</v>
      </c>
      <c r="T17" s="29"/>
      <c r="U17" s="29"/>
      <c r="V17" s="29"/>
      <c r="W17" s="87"/>
    </row>
    <row r="18" spans="1:23" ht="15.75" customHeight="1">
      <c r="A18" s="23">
        <v>10</v>
      </c>
      <c r="B18" s="34"/>
      <c r="C18" s="34" t="s">
        <v>1798</v>
      </c>
      <c r="D18" s="34"/>
      <c r="E18" s="35">
        <f>E11</f>
        <v>0</v>
      </c>
      <c r="F18" s="36"/>
      <c r="G18" s="36"/>
      <c r="H18" s="36"/>
      <c r="I18" s="36"/>
      <c r="J18" s="36"/>
      <c r="K18" s="36"/>
      <c r="L18" s="36"/>
      <c r="M18" s="36"/>
      <c r="N18" s="36"/>
      <c r="O18" s="36"/>
      <c r="P18" s="36"/>
      <c r="Q18" s="36"/>
      <c r="R18" s="36"/>
      <c r="S18" s="35">
        <f>S12+S14+S17</f>
        <v>0</v>
      </c>
      <c r="T18" s="35">
        <f>D11-($G$6*G17+$H$6*H17+$I$6*I17+$J$6*J17+$K$6*K17+L17)</f>
        <v>0</v>
      </c>
      <c r="U18" s="35">
        <f>M17*0.12</f>
        <v>0</v>
      </c>
      <c r="V18" s="35">
        <f>O17*0.7</f>
        <v>0</v>
      </c>
      <c r="W18" s="88">
        <v>0</v>
      </c>
    </row>
    <row r="19" spans="1:23" ht="24.75" customHeight="1">
      <c r="A19" s="37" t="s">
        <v>60</v>
      </c>
      <c r="B19" s="38"/>
      <c r="C19" s="39" t="s">
        <v>1799</v>
      </c>
      <c r="D19" s="38"/>
      <c r="E19" s="38"/>
      <c r="F19" s="38"/>
      <c r="G19" s="40"/>
      <c r="H19" s="40"/>
      <c r="I19" s="40"/>
      <c r="J19" s="40"/>
      <c r="K19" s="40"/>
      <c r="L19" s="40"/>
      <c r="M19" s="40"/>
      <c r="N19" s="40"/>
      <c r="O19" s="40"/>
      <c r="P19" s="40"/>
      <c r="Q19" s="40"/>
      <c r="R19" s="38"/>
      <c r="S19" s="38"/>
      <c r="T19" s="38"/>
      <c r="U19" s="40"/>
      <c r="V19" s="40"/>
      <c r="W19" s="89"/>
    </row>
    <row r="20" spans="1:23" ht="15.75" customHeight="1">
      <c r="A20" s="41">
        <v>1</v>
      </c>
      <c r="B20" s="15" t="s">
        <v>1374</v>
      </c>
      <c r="C20" s="15" t="s">
        <v>1800</v>
      </c>
      <c r="D20" s="104">
        <v>23.07</v>
      </c>
      <c r="E20" s="104">
        <v>27.53</v>
      </c>
      <c r="F20" s="15"/>
      <c r="G20" s="29"/>
      <c r="H20" s="29"/>
      <c r="I20" s="29"/>
      <c r="J20" s="29"/>
      <c r="K20" s="29"/>
      <c r="L20" s="29"/>
      <c r="M20" s="29"/>
      <c r="N20" s="29"/>
      <c r="O20" s="29"/>
      <c r="P20" s="29"/>
      <c r="Q20" s="29"/>
      <c r="R20" s="29"/>
      <c r="S20" s="29"/>
      <c r="T20" s="29"/>
      <c r="U20" s="29"/>
      <c r="V20" s="29"/>
      <c r="W20" s="90"/>
    </row>
    <row r="21" spans="1:23" ht="15.75" customHeight="1">
      <c r="A21" s="41">
        <v>2</v>
      </c>
      <c r="B21" s="15"/>
      <c r="C21" s="15" t="s">
        <v>1794</v>
      </c>
      <c r="D21" s="106">
        <v>0</v>
      </c>
      <c r="E21" s="106">
        <v>0</v>
      </c>
      <c r="F21" s="106">
        <v>0</v>
      </c>
      <c r="G21" s="29"/>
      <c r="H21" s="29"/>
      <c r="I21" s="29"/>
      <c r="J21" s="29"/>
      <c r="K21" s="29"/>
      <c r="L21" s="29"/>
      <c r="M21" s="29"/>
      <c r="N21" s="29"/>
      <c r="O21" s="29"/>
      <c r="P21" s="29"/>
      <c r="Q21" s="106">
        <v>0</v>
      </c>
      <c r="R21" s="29"/>
      <c r="S21" s="16">
        <f>D21*F21</f>
        <v>0</v>
      </c>
      <c r="T21" s="29"/>
      <c r="U21" s="29"/>
      <c r="V21" s="29"/>
      <c r="W21" s="87"/>
    </row>
    <row r="22" spans="1:23" ht="15.75" customHeight="1">
      <c r="A22" s="41">
        <v>3</v>
      </c>
      <c r="B22" s="15"/>
      <c r="C22" s="15" t="s">
        <v>1801</v>
      </c>
      <c r="D22" s="32">
        <f>D20-D21</f>
        <v>23.07</v>
      </c>
      <c r="E22" s="32">
        <f>E20-E21</f>
        <v>27.53</v>
      </c>
      <c r="F22" s="104">
        <f>3-0.1-0.012-0.1-0.065-0.1</f>
        <v>2.6229999999999998</v>
      </c>
      <c r="G22" s="104">
        <v>0</v>
      </c>
      <c r="H22" s="106">
        <v>1</v>
      </c>
      <c r="I22" s="29"/>
      <c r="J22" s="29"/>
      <c r="K22" s="104">
        <v>1</v>
      </c>
      <c r="L22" s="110">
        <v>2.4</v>
      </c>
      <c r="M22" s="30">
        <v>0</v>
      </c>
      <c r="N22" s="30">
        <v>0</v>
      </c>
      <c r="O22" s="106">
        <v>0</v>
      </c>
      <c r="P22" s="106">
        <v>0</v>
      </c>
      <c r="Q22" s="106">
        <v>0</v>
      </c>
      <c r="R22" s="106">
        <v>0</v>
      </c>
      <c r="S22" s="16">
        <f>D22*F22-(G22*$G$7+H22*$H$7+I22*$I$7+J22*$J$7+K22*$K$7+L22*$L$7)-M22*N22-O22*P22+Q22+R22</f>
        <v>50.618241999999995</v>
      </c>
      <c r="T22" s="29"/>
      <c r="U22" s="29"/>
      <c r="V22" s="29"/>
      <c r="W22" s="87"/>
    </row>
    <row r="23" spans="1:23" ht="15.75" customHeight="1">
      <c r="A23" s="41"/>
      <c r="B23" s="15"/>
      <c r="C23" s="15" t="s">
        <v>240</v>
      </c>
      <c r="D23" s="107">
        <v>0</v>
      </c>
      <c r="E23" s="43"/>
      <c r="F23" s="29"/>
      <c r="G23" s="29"/>
      <c r="H23" s="29"/>
      <c r="I23" s="29"/>
      <c r="J23" s="29"/>
      <c r="K23" s="29"/>
      <c r="L23" s="29"/>
      <c r="M23" s="29"/>
      <c r="N23" s="29"/>
      <c r="O23" s="29"/>
      <c r="P23" s="29"/>
      <c r="Q23" s="29"/>
      <c r="R23" s="29"/>
      <c r="S23" s="91"/>
      <c r="T23" s="29"/>
      <c r="U23" s="29"/>
      <c r="V23" s="29"/>
      <c r="W23" s="87"/>
    </row>
    <row r="24" spans="1:23" ht="15.75" customHeight="1">
      <c r="A24" s="41"/>
      <c r="B24" s="15"/>
      <c r="C24" s="44" t="s">
        <v>285</v>
      </c>
      <c r="D24" s="108">
        <v>0</v>
      </c>
      <c r="E24" s="43"/>
      <c r="F24" s="29"/>
      <c r="G24" s="29"/>
      <c r="H24" s="29"/>
      <c r="I24" s="29"/>
      <c r="J24" s="29"/>
      <c r="K24" s="29"/>
      <c r="L24" s="29"/>
      <c r="M24" s="29"/>
      <c r="N24" s="29"/>
      <c r="O24" s="29"/>
      <c r="P24" s="29"/>
      <c r="Q24" s="29"/>
      <c r="R24" s="29"/>
      <c r="S24" s="91"/>
      <c r="T24" s="29"/>
      <c r="U24" s="29"/>
      <c r="V24" s="29"/>
      <c r="W24" s="87"/>
    </row>
    <row r="25" spans="1:23" ht="15.75" customHeight="1">
      <c r="A25" s="45">
        <v>4</v>
      </c>
      <c r="B25" s="34" t="s">
        <v>133</v>
      </c>
      <c r="C25" s="34" t="s">
        <v>1802</v>
      </c>
      <c r="D25" s="34"/>
      <c r="E25" s="34">
        <f>E20</f>
        <v>27.53</v>
      </c>
      <c r="F25" s="36"/>
      <c r="G25" s="36"/>
      <c r="H25" s="36"/>
      <c r="I25" s="36"/>
      <c r="J25" s="36"/>
      <c r="K25" s="36"/>
      <c r="L25" s="36"/>
      <c r="M25" s="36"/>
      <c r="N25" s="36"/>
      <c r="O25" s="36"/>
      <c r="P25" s="36"/>
      <c r="Q25" s="36"/>
      <c r="R25" s="36"/>
      <c r="S25" s="35">
        <f>SUM(S21:S22)</f>
        <v>50.618241999999995</v>
      </c>
      <c r="T25" s="35">
        <f>D20-($G$6*G22+$H$6*H22)</f>
        <v>22.225999999999999</v>
      </c>
      <c r="U25" s="35">
        <f>M22*0.12</f>
        <v>0</v>
      </c>
      <c r="V25" s="35">
        <f>O22*0.7</f>
        <v>0</v>
      </c>
      <c r="W25" s="88"/>
    </row>
    <row r="26" spans="1:23" ht="15.75" customHeight="1">
      <c r="A26" s="41">
        <v>5</v>
      </c>
      <c r="B26" s="15" t="s">
        <v>1803</v>
      </c>
      <c r="C26" s="15" t="s">
        <v>1804</v>
      </c>
      <c r="D26" s="106">
        <v>0</v>
      </c>
      <c r="E26" s="106">
        <v>0</v>
      </c>
      <c r="F26" s="15"/>
      <c r="G26" s="29"/>
      <c r="H26" s="29"/>
      <c r="I26" s="29"/>
      <c r="J26" s="29"/>
      <c r="K26" s="29"/>
      <c r="L26" s="29"/>
      <c r="M26" s="29"/>
      <c r="N26" s="29"/>
      <c r="O26" s="29"/>
      <c r="P26" s="29"/>
      <c r="Q26" s="29"/>
      <c r="R26" s="29"/>
      <c r="S26" s="29"/>
      <c r="T26" s="29"/>
      <c r="U26" s="29"/>
      <c r="V26" s="29"/>
      <c r="W26" s="90"/>
    </row>
    <row r="27" spans="1:23" ht="15.75" customHeight="1">
      <c r="A27" s="41">
        <v>6</v>
      </c>
      <c r="B27" s="15"/>
      <c r="C27" s="15" t="s">
        <v>1794</v>
      </c>
      <c r="D27" s="106">
        <v>0</v>
      </c>
      <c r="E27" s="106">
        <v>0</v>
      </c>
      <c r="F27" s="106">
        <v>0</v>
      </c>
      <c r="G27" s="29"/>
      <c r="H27" s="29"/>
      <c r="I27" s="29"/>
      <c r="J27" s="29"/>
      <c r="K27" s="29"/>
      <c r="L27" s="29"/>
      <c r="M27" s="29"/>
      <c r="N27" s="29"/>
      <c r="O27" s="29"/>
      <c r="P27" s="29"/>
      <c r="Q27" s="29"/>
      <c r="R27" s="29"/>
      <c r="S27" s="16">
        <f>D27*F27</f>
        <v>0</v>
      </c>
      <c r="T27" s="29"/>
      <c r="U27" s="29"/>
      <c r="V27" s="29"/>
      <c r="W27" s="87"/>
    </row>
    <row r="28" spans="1:23" ht="15.75" customHeight="1">
      <c r="A28" s="41">
        <v>7</v>
      </c>
      <c r="B28" s="15"/>
      <c r="C28" s="15" t="s">
        <v>1805</v>
      </c>
      <c r="D28" s="32">
        <f>D26-D27</f>
        <v>0</v>
      </c>
      <c r="E28" s="32">
        <f>E26-E27</f>
        <v>0</v>
      </c>
      <c r="F28" s="106">
        <v>0</v>
      </c>
      <c r="G28" s="106">
        <v>0</v>
      </c>
      <c r="H28" s="15"/>
      <c r="I28" s="29"/>
      <c r="J28" s="29"/>
      <c r="K28" s="29"/>
      <c r="L28" s="29"/>
      <c r="M28" s="106">
        <v>0</v>
      </c>
      <c r="N28" s="106">
        <v>0</v>
      </c>
      <c r="O28" s="30"/>
      <c r="P28" s="30"/>
      <c r="Q28" s="30"/>
      <c r="R28" s="30"/>
      <c r="S28" s="16">
        <f>D28*F28-(G28*$G$7+H28*$H$7+I28*$I$7+J28*$J$7+K28*$K$7+L28*$L$7)-M28*N28-O28*P28+Q28+R28</f>
        <v>0</v>
      </c>
      <c r="T28" s="29"/>
      <c r="U28" s="29"/>
      <c r="V28" s="29"/>
      <c r="W28" s="87"/>
    </row>
    <row r="29" spans="1:23" ht="15.75" customHeight="1">
      <c r="A29" s="41"/>
      <c r="B29" s="15"/>
      <c r="C29" s="44" t="s">
        <v>285</v>
      </c>
      <c r="D29" s="107">
        <v>0</v>
      </c>
      <c r="E29" s="43"/>
      <c r="F29" s="29"/>
      <c r="G29" s="29"/>
      <c r="H29" s="29"/>
      <c r="I29" s="29"/>
      <c r="J29" s="29"/>
      <c r="K29" s="29"/>
      <c r="L29" s="29"/>
      <c r="M29" s="29"/>
      <c r="N29" s="29"/>
      <c r="O29" s="29"/>
      <c r="P29" s="29"/>
      <c r="Q29" s="29"/>
      <c r="R29" s="29"/>
      <c r="S29" s="91"/>
      <c r="T29" s="29"/>
      <c r="U29" s="29"/>
      <c r="V29" s="29"/>
      <c r="W29" s="87"/>
    </row>
    <row r="30" spans="1:23" ht="15.75" customHeight="1">
      <c r="A30" s="46">
        <v>8</v>
      </c>
      <c r="B30" s="47" t="s">
        <v>246</v>
      </c>
      <c r="C30" s="34" t="s">
        <v>1806</v>
      </c>
      <c r="D30" s="34"/>
      <c r="E30" s="34">
        <f>E26</f>
        <v>0</v>
      </c>
      <c r="F30" s="36"/>
      <c r="G30" s="36"/>
      <c r="H30" s="36"/>
      <c r="I30" s="36"/>
      <c r="J30" s="36"/>
      <c r="K30" s="36"/>
      <c r="L30" s="36"/>
      <c r="M30" s="36"/>
      <c r="N30" s="36"/>
      <c r="O30" s="36"/>
      <c r="P30" s="36"/>
      <c r="Q30" s="36"/>
      <c r="R30" s="36"/>
      <c r="S30" s="35">
        <f>SUM(S27:S28)</f>
        <v>0</v>
      </c>
      <c r="T30" s="35">
        <f>D26-($G$6*G28+$H$6*H28)</f>
        <v>0</v>
      </c>
      <c r="U30" s="35">
        <f>M28*0.12</f>
        <v>0</v>
      </c>
      <c r="V30" s="35">
        <f>O28*0.7</f>
        <v>0</v>
      </c>
      <c r="W30" s="88">
        <v>0</v>
      </c>
    </row>
    <row r="31" spans="1:23" ht="15.75" customHeight="1">
      <c r="A31" s="41">
        <v>9</v>
      </c>
      <c r="B31" s="15" t="s">
        <v>1807</v>
      </c>
      <c r="C31" s="15" t="s">
        <v>1808</v>
      </c>
      <c r="D31" s="106">
        <v>0</v>
      </c>
      <c r="E31" s="106">
        <v>0</v>
      </c>
      <c r="F31" s="15"/>
      <c r="G31" s="29"/>
      <c r="H31" s="29"/>
      <c r="I31" s="29"/>
      <c r="J31" s="29"/>
      <c r="K31" s="29"/>
      <c r="L31" s="29"/>
      <c r="M31" s="29"/>
      <c r="N31" s="29"/>
      <c r="O31" s="29"/>
      <c r="P31" s="29"/>
      <c r="Q31" s="29"/>
      <c r="R31" s="29"/>
      <c r="S31" s="29"/>
      <c r="T31" s="29"/>
      <c r="U31" s="29"/>
      <c r="V31" s="29"/>
      <c r="W31" s="90"/>
    </row>
    <row r="32" spans="1:23" ht="15.75" customHeight="1">
      <c r="A32" s="41">
        <v>10</v>
      </c>
      <c r="B32" s="15"/>
      <c r="C32" s="15" t="s">
        <v>1794</v>
      </c>
      <c r="D32" s="106">
        <v>0</v>
      </c>
      <c r="E32" s="106">
        <v>0</v>
      </c>
      <c r="F32" s="106">
        <v>0</v>
      </c>
      <c r="G32" s="29"/>
      <c r="H32" s="29"/>
      <c r="I32" s="29"/>
      <c r="J32" s="29"/>
      <c r="K32" s="29"/>
      <c r="L32" s="29"/>
      <c r="M32" s="29"/>
      <c r="N32" s="29"/>
      <c r="O32" s="29"/>
      <c r="P32" s="29"/>
      <c r="Q32" s="29"/>
      <c r="R32" s="29"/>
      <c r="S32" s="16">
        <f>D32*F32</f>
        <v>0</v>
      </c>
      <c r="T32" s="29"/>
      <c r="U32" s="29"/>
      <c r="V32" s="29"/>
      <c r="W32" s="87"/>
    </row>
    <row r="33" spans="1:23" ht="15.75" customHeight="1">
      <c r="A33" s="41">
        <v>11</v>
      </c>
      <c r="B33" s="15"/>
      <c r="C33" s="15" t="s">
        <v>1809</v>
      </c>
      <c r="D33" s="97">
        <f>D31-D32</f>
        <v>0</v>
      </c>
      <c r="E33" s="97"/>
      <c r="F33" s="106">
        <v>0</v>
      </c>
      <c r="G33" s="106">
        <v>0</v>
      </c>
      <c r="H33" s="15"/>
      <c r="I33" s="29"/>
      <c r="J33" s="29"/>
      <c r="K33" s="29"/>
      <c r="L33" s="29"/>
      <c r="M33" s="106">
        <v>0</v>
      </c>
      <c r="N33" s="106">
        <v>0</v>
      </c>
      <c r="O33" s="30"/>
      <c r="P33" s="30"/>
      <c r="Q33" s="106">
        <v>0</v>
      </c>
      <c r="R33" s="106">
        <v>0</v>
      </c>
      <c r="S33" s="16">
        <f>D33*F33-(G33*$G$7+H33*$H$7+I33*$I$7+J33*$J$7+K33*$K$7+L33*$L$7)-M33*N33-O33*P33+Q33+R33</f>
        <v>0</v>
      </c>
      <c r="T33" s="29"/>
      <c r="U33" s="29"/>
      <c r="V33" s="29"/>
      <c r="W33" s="87"/>
    </row>
    <row r="34" spans="1:23" ht="15.75" customHeight="1">
      <c r="A34" s="41"/>
      <c r="B34" s="15"/>
      <c r="C34" s="44" t="s">
        <v>285</v>
      </c>
      <c r="D34" s="107">
        <v>0</v>
      </c>
      <c r="E34" s="43"/>
      <c r="F34" s="29"/>
      <c r="G34" s="29"/>
      <c r="H34" s="29"/>
      <c r="I34" s="29"/>
      <c r="J34" s="29"/>
      <c r="K34" s="29"/>
      <c r="L34" s="29"/>
      <c r="M34" s="29"/>
      <c r="N34" s="29"/>
      <c r="O34" s="29"/>
      <c r="P34" s="29"/>
      <c r="Q34" s="29"/>
      <c r="R34" s="29"/>
      <c r="S34" s="91"/>
      <c r="T34" s="29"/>
      <c r="U34" s="29"/>
      <c r="V34" s="29"/>
      <c r="W34" s="87"/>
    </row>
    <row r="35" spans="1:23" ht="15.75" customHeight="1">
      <c r="A35" s="46">
        <v>12</v>
      </c>
      <c r="B35" s="47" t="s">
        <v>136</v>
      </c>
      <c r="C35" s="34" t="s">
        <v>1810</v>
      </c>
      <c r="D35" s="34"/>
      <c r="E35" s="34">
        <f>E31</f>
        <v>0</v>
      </c>
      <c r="F35" s="36"/>
      <c r="G35" s="36"/>
      <c r="H35" s="36"/>
      <c r="I35" s="36"/>
      <c r="J35" s="36"/>
      <c r="K35" s="36"/>
      <c r="L35" s="36"/>
      <c r="M35" s="36"/>
      <c r="N35" s="36"/>
      <c r="O35" s="36"/>
      <c r="P35" s="36"/>
      <c r="Q35" s="36"/>
      <c r="R35" s="36"/>
      <c r="S35" s="35">
        <f>SUM(S32:S33)</f>
        <v>0</v>
      </c>
      <c r="T35" s="35">
        <f>D31-($G$6*G33+$H$6*H33)</f>
        <v>0</v>
      </c>
      <c r="U35" s="35">
        <f>M33*0.12</f>
        <v>0</v>
      </c>
      <c r="V35" s="35">
        <f>O33*0.7</f>
        <v>0</v>
      </c>
      <c r="W35" s="88">
        <v>0</v>
      </c>
    </row>
    <row r="36" spans="1:23" ht="15.75" customHeight="1">
      <c r="A36" s="46">
        <v>13</v>
      </c>
      <c r="B36" s="47"/>
      <c r="C36" s="34" t="s">
        <v>1811</v>
      </c>
      <c r="D36" s="47"/>
      <c r="E36" s="35">
        <f>E25+E30+E35</f>
        <v>27.53</v>
      </c>
      <c r="F36" s="47"/>
      <c r="G36" s="47"/>
      <c r="H36" s="47"/>
      <c r="I36" s="47"/>
      <c r="J36" s="47"/>
      <c r="K36" s="47"/>
      <c r="L36" s="47"/>
      <c r="M36" s="47"/>
      <c r="N36" s="47"/>
      <c r="O36" s="47"/>
      <c r="P36" s="47"/>
      <c r="Q36" s="47"/>
      <c r="R36" s="47"/>
      <c r="S36" s="35">
        <f t="shared" ref="S36" si="0">S25+S30+S35</f>
        <v>50.618241999999995</v>
      </c>
      <c r="T36" s="35">
        <f>T25+T30+T35</f>
        <v>22.225999999999999</v>
      </c>
      <c r="U36" s="35">
        <f>U25+U30+U35</f>
        <v>0</v>
      </c>
      <c r="V36" s="35">
        <f>V25+V30+V35</f>
        <v>0</v>
      </c>
      <c r="W36" s="35">
        <f>W25+W30+W35</f>
        <v>0</v>
      </c>
    </row>
    <row r="37" spans="1:23" ht="24.75" customHeight="1">
      <c r="A37" s="37" t="s">
        <v>60</v>
      </c>
      <c r="B37" s="38"/>
      <c r="C37" s="39" t="s">
        <v>1812</v>
      </c>
      <c r="D37" s="38"/>
      <c r="E37" s="38"/>
      <c r="F37" s="38"/>
      <c r="G37" s="40"/>
      <c r="H37" s="40"/>
      <c r="I37" s="40"/>
      <c r="J37" s="40"/>
      <c r="K37" s="40"/>
      <c r="L37" s="40"/>
      <c r="M37" s="40"/>
      <c r="N37" s="40"/>
      <c r="O37" s="40"/>
      <c r="P37" s="40"/>
      <c r="Q37" s="40"/>
      <c r="R37" s="38"/>
      <c r="S37" s="38">
        <v>0</v>
      </c>
      <c r="T37" s="38"/>
      <c r="U37" s="40"/>
      <c r="V37" s="40"/>
      <c r="W37" s="89"/>
    </row>
    <row r="38" spans="1:23" ht="15.75" customHeight="1">
      <c r="A38" s="48">
        <v>7</v>
      </c>
      <c r="B38" s="49"/>
      <c r="C38" s="49" t="s">
        <v>634</v>
      </c>
      <c r="D38" s="32">
        <v>0</v>
      </c>
      <c r="E38" s="32">
        <v>0</v>
      </c>
      <c r="F38" s="49">
        <v>0</v>
      </c>
      <c r="G38" s="49">
        <v>0</v>
      </c>
      <c r="H38" s="49"/>
      <c r="I38" s="81"/>
      <c r="J38" s="81"/>
      <c r="K38" s="81"/>
      <c r="L38" s="81"/>
      <c r="M38" s="81"/>
      <c r="N38" s="81"/>
      <c r="O38" s="81"/>
      <c r="P38" s="81"/>
      <c r="Q38" s="81"/>
      <c r="R38" s="81"/>
      <c r="S38" s="32">
        <f>(D38*F38-G7*G38-H7*H38)*S37</f>
        <v>0</v>
      </c>
      <c r="T38" s="43">
        <f>(D38-G6)*S37</f>
        <v>0</v>
      </c>
      <c r="U38" s="81"/>
      <c r="V38" s="81"/>
      <c r="W38" s="92"/>
    </row>
    <row r="39" spans="1:23" ht="33.75" customHeight="1">
      <c r="A39" s="50"/>
      <c r="B39" s="51"/>
      <c r="C39" s="51"/>
      <c r="D39" s="51"/>
      <c r="E39" s="51"/>
      <c r="F39" s="51"/>
      <c r="G39" s="51"/>
      <c r="H39" s="51"/>
      <c r="I39" s="51"/>
      <c r="J39" s="51"/>
      <c r="K39" s="51"/>
      <c r="L39" s="51"/>
      <c r="M39" s="51"/>
      <c r="N39" s="51"/>
      <c r="O39" s="51"/>
      <c r="P39" s="51"/>
      <c r="Q39" s="51"/>
      <c r="R39" s="51"/>
      <c r="S39" s="51"/>
      <c r="T39" s="51"/>
      <c r="U39" s="51"/>
      <c r="V39" s="51"/>
    </row>
    <row r="40" spans="1:23" ht="22.5" customHeight="1">
      <c r="A40" s="994" t="s">
        <v>54</v>
      </c>
      <c r="B40" s="990" t="s">
        <v>1758</v>
      </c>
      <c r="C40" s="990" t="s">
        <v>1767</v>
      </c>
      <c r="D40" s="14" t="s">
        <v>1768</v>
      </c>
      <c r="E40" s="14" t="s">
        <v>1769</v>
      </c>
      <c r="F40" s="998" t="s">
        <v>1813</v>
      </c>
      <c r="G40" s="15" t="s">
        <v>1771</v>
      </c>
      <c r="H40" s="999" t="s">
        <v>1773</v>
      </c>
      <c r="I40" s="999"/>
      <c r="J40" s="999" t="s">
        <v>1774</v>
      </c>
      <c r="K40" s="999"/>
      <c r="L40" s="15" t="s">
        <v>315</v>
      </c>
      <c r="M40" s="15" t="s">
        <v>1814</v>
      </c>
      <c r="N40" s="82" t="s">
        <v>1815</v>
      </c>
      <c r="O40" s="15" t="s">
        <v>1816</v>
      </c>
      <c r="P40" s="15"/>
      <c r="Q40" s="988" t="s">
        <v>1817</v>
      </c>
      <c r="R40" s="988" t="s">
        <v>1818</v>
      </c>
      <c r="S40" s="988" t="s">
        <v>1819</v>
      </c>
      <c r="T40" s="988" t="s">
        <v>1820</v>
      </c>
      <c r="U40" s="52" t="s">
        <v>275</v>
      </c>
      <c r="V40" s="52" t="s">
        <v>335</v>
      </c>
      <c r="W40" s="52" t="s">
        <v>338</v>
      </c>
    </row>
    <row r="41" spans="1:23" ht="24" customHeight="1">
      <c r="A41" s="994"/>
      <c r="B41" s="990"/>
      <c r="C41" s="990"/>
      <c r="D41" s="988" t="s">
        <v>1780</v>
      </c>
      <c r="E41" s="988"/>
      <c r="F41" s="998"/>
      <c r="G41" s="14" t="s">
        <v>1482</v>
      </c>
      <c r="H41" s="15" t="s">
        <v>1821</v>
      </c>
      <c r="I41" s="15" t="s">
        <v>1822</v>
      </c>
      <c r="J41" s="15" t="s">
        <v>1821</v>
      </c>
      <c r="K41" s="15" t="s">
        <v>1822</v>
      </c>
      <c r="L41" s="15" t="s">
        <v>1823</v>
      </c>
      <c r="M41" s="15" t="s">
        <v>1823</v>
      </c>
      <c r="N41" s="15" t="s">
        <v>1823</v>
      </c>
      <c r="O41" s="15" t="s">
        <v>1824</v>
      </c>
      <c r="P41" s="15"/>
      <c r="Q41" s="988"/>
      <c r="R41" s="988"/>
      <c r="S41" s="988"/>
      <c r="T41" s="988"/>
      <c r="U41" s="15" t="s">
        <v>1823</v>
      </c>
      <c r="V41" s="93" t="s">
        <v>336</v>
      </c>
      <c r="W41" s="93" t="s">
        <v>231</v>
      </c>
    </row>
    <row r="42" spans="1:23" ht="24.75" customHeight="1">
      <c r="A42" s="994"/>
      <c r="B42" s="990"/>
      <c r="C42" s="990"/>
      <c r="D42" s="14" t="s">
        <v>235</v>
      </c>
      <c r="E42" s="14" t="s">
        <v>1092</v>
      </c>
      <c r="F42" s="998"/>
      <c r="G42" s="16"/>
      <c r="H42" s="15"/>
      <c r="I42" s="15"/>
      <c r="J42" s="15"/>
      <c r="K42" s="15"/>
      <c r="L42" s="15"/>
      <c r="M42" s="15"/>
      <c r="N42" s="15"/>
      <c r="O42" s="15"/>
      <c r="P42" s="15"/>
      <c r="Q42" s="988"/>
      <c r="R42" s="988"/>
      <c r="S42" s="988"/>
      <c r="T42" s="988"/>
      <c r="U42" s="15"/>
      <c r="V42" s="15"/>
      <c r="W42" s="94"/>
    </row>
    <row r="43" spans="1:23" ht="24" customHeight="1">
      <c r="A43" s="53" t="s">
        <v>62</v>
      </c>
      <c r="B43" s="54"/>
      <c r="C43" s="54" t="s">
        <v>299</v>
      </c>
      <c r="D43" s="54"/>
      <c r="E43" s="54"/>
      <c r="F43" s="54"/>
      <c r="G43" s="54"/>
      <c r="H43" s="54"/>
      <c r="I43" s="54"/>
      <c r="J43" s="54"/>
      <c r="K43" s="54"/>
      <c r="L43" s="54"/>
      <c r="M43" s="54"/>
      <c r="N43" s="54"/>
      <c r="O43" s="54"/>
      <c r="P43" s="54"/>
      <c r="Q43" s="54"/>
      <c r="R43" s="54"/>
      <c r="S43" s="54"/>
      <c r="T43" s="54"/>
      <c r="U43" s="54"/>
      <c r="V43" s="54"/>
      <c r="W43" s="95"/>
    </row>
    <row r="44" spans="1:23" ht="24" customHeight="1">
      <c r="A44" s="55">
        <v>1</v>
      </c>
      <c r="B44" s="56"/>
      <c r="C44" s="56" t="s">
        <v>1825</v>
      </c>
      <c r="D44" s="104">
        <v>4.99</v>
      </c>
      <c r="E44" s="104">
        <v>4.01</v>
      </c>
      <c r="F44" s="104">
        <f>2.38+0.02</f>
        <v>2.4</v>
      </c>
      <c r="G44" s="104">
        <v>1</v>
      </c>
      <c r="H44" s="104">
        <v>0</v>
      </c>
      <c r="I44" s="104">
        <v>0</v>
      </c>
      <c r="J44" s="56"/>
      <c r="K44" s="56"/>
      <c r="L44" s="104">
        <v>1.05</v>
      </c>
      <c r="M44" s="104">
        <v>1.1499999999999999</v>
      </c>
      <c r="N44" s="104"/>
      <c r="O44" s="104">
        <f>1.39</f>
        <v>1.39</v>
      </c>
      <c r="P44" s="56"/>
      <c r="Q44" s="56"/>
      <c r="R44" s="96">
        <f>D44*1.8+D45*1.8-$H$6*G44*1.8-(1.8-0.9)*H44+(H44+(1.8-0.9)*2)*0.1</f>
        <v>10.090800000000002</v>
      </c>
      <c r="S44" s="97">
        <f>D44*F44+D45*F45-$H$7*G44-H44*I44+(H44+I44)*2*0.1</f>
        <v>13.186432000000002</v>
      </c>
      <c r="T44" s="97">
        <f>E44+(D44+D45-$H$6)*0.15</f>
        <v>4.8358999999999996</v>
      </c>
      <c r="U44" s="56"/>
      <c r="V44" s="56">
        <f>0.25*0.12*2.4</f>
        <v>7.1999999999999995E-2</v>
      </c>
      <c r="W44" s="98">
        <f>0.56*2.4</f>
        <v>1.3440000000000001</v>
      </c>
    </row>
    <row r="45" spans="1:23" ht="24" customHeight="1">
      <c r="A45" s="55"/>
      <c r="B45" s="56"/>
      <c r="C45" s="56"/>
      <c r="D45" s="104">
        <v>1.36</v>
      </c>
      <c r="E45" s="56"/>
      <c r="F45" s="104">
        <f>2.28+0.02</f>
        <v>2.2999999999999998</v>
      </c>
      <c r="G45" s="56"/>
      <c r="H45" s="56"/>
      <c r="I45" s="56"/>
      <c r="J45" s="56"/>
      <c r="K45" s="56"/>
      <c r="L45" s="56"/>
      <c r="M45" s="56"/>
      <c r="N45" s="56"/>
      <c r="O45" s="56"/>
      <c r="P45" s="56"/>
      <c r="Q45" s="56"/>
      <c r="R45" s="96"/>
      <c r="S45" s="96"/>
      <c r="T45" s="96"/>
      <c r="U45" s="56"/>
      <c r="V45" s="56"/>
      <c r="W45" s="98"/>
    </row>
    <row r="46" spans="1:23" ht="24" customHeight="1">
      <c r="A46" s="55">
        <v>2</v>
      </c>
      <c r="B46" s="56"/>
      <c r="C46" s="56" t="s">
        <v>1826</v>
      </c>
      <c r="D46" s="30"/>
      <c r="E46" s="30"/>
      <c r="F46" s="30"/>
      <c r="G46" s="30"/>
      <c r="H46" s="30"/>
      <c r="I46" s="30"/>
      <c r="J46" s="30"/>
      <c r="K46" s="30"/>
      <c r="L46" s="30"/>
      <c r="M46" s="30"/>
      <c r="N46" s="30"/>
      <c r="O46" s="30"/>
      <c r="P46" s="30"/>
      <c r="Q46" s="56"/>
      <c r="R46" s="96">
        <f>(D46*1.8-$H$6*G46*1.8-(1.8-0.9)*H46+(H46+(1.8-0.9)*2)*0.1)*$J$3</f>
        <v>0</v>
      </c>
      <c r="S46" s="96">
        <f>D46*F46-$H$7*G46-H46*I46+(H46+I46)*2*0.1</f>
        <v>0</v>
      </c>
      <c r="T46" s="96">
        <f>(E46+(D46-$H$6)*0.15)*$J$3</f>
        <v>0</v>
      </c>
      <c r="U46" s="56"/>
      <c r="V46" s="56"/>
      <c r="W46" s="98"/>
    </row>
    <row r="47" spans="1:23" ht="24" customHeight="1">
      <c r="A47" s="55"/>
      <c r="B47" s="56"/>
      <c r="C47" s="56"/>
      <c r="D47" s="30"/>
      <c r="E47" s="30"/>
      <c r="F47" s="30"/>
      <c r="G47" s="30"/>
      <c r="H47" s="30"/>
      <c r="I47" s="30"/>
      <c r="J47" s="30"/>
      <c r="K47" s="30"/>
      <c r="L47" s="30"/>
      <c r="M47" s="30"/>
      <c r="N47" s="30"/>
      <c r="O47" s="30"/>
      <c r="P47" s="30"/>
      <c r="Q47" s="56"/>
      <c r="R47" s="96"/>
      <c r="S47" s="96"/>
      <c r="T47" s="96"/>
      <c r="U47" s="56"/>
      <c r="V47" s="56"/>
      <c r="W47" s="98"/>
    </row>
    <row r="48" spans="1:23" ht="24" customHeight="1">
      <c r="A48" s="46">
        <v>3</v>
      </c>
      <c r="B48" s="47"/>
      <c r="C48" s="34" t="s">
        <v>1827</v>
      </c>
      <c r="D48" s="47"/>
      <c r="E48" s="35">
        <f>E44+E46</f>
        <v>4.01</v>
      </c>
      <c r="F48" s="35"/>
      <c r="G48" s="35"/>
      <c r="H48" s="35"/>
      <c r="I48" s="35"/>
      <c r="J48" s="35"/>
      <c r="K48" s="35"/>
      <c r="L48" s="35">
        <f t="shared" ref="L48" si="1">SUM(L44:L46)</f>
        <v>1.05</v>
      </c>
      <c r="M48" s="35">
        <f t="shared" ref="M48:W48" si="2">SUM(M44:M46)</f>
        <v>1.1499999999999999</v>
      </c>
      <c r="N48" s="35">
        <f t="shared" si="2"/>
        <v>0</v>
      </c>
      <c r="O48" s="35">
        <f t="shared" si="2"/>
        <v>1.39</v>
      </c>
      <c r="P48" s="35">
        <f t="shared" si="2"/>
        <v>0</v>
      </c>
      <c r="Q48" s="35">
        <f t="shared" si="2"/>
        <v>0</v>
      </c>
      <c r="R48" s="35">
        <f t="shared" si="2"/>
        <v>10.090800000000002</v>
      </c>
      <c r="S48" s="35">
        <f t="shared" si="2"/>
        <v>13.186432000000002</v>
      </c>
      <c r="T48" s="35">
        <f t="shared" si="2"/>
        <v>4.8358999999999996</v>
      </c>
      <c r="U48" s="35">
        <f t="shared" si="2"/>
        <v>0</v>
      </c>
      <c r="V48" s="35">
        <f t="shared" si="2"/>
        <v>7.1999999999999995E-2</v>
      </c>
      <c r="W48" s="35">
        <f t="shared" si="2"/>
        <v>1.3440000000000001</v>
      </c>
    </row>
    <row r="49" spans="1:23" ht="24" customHeight="1">
      <c r="A49" s="57"/>
      <c r="B49" s="58"/>
      <c r="C49" s="59"/>
      <c r="D49" s="58"/>
      <c r="E49" s="60"/>
      <c r="F49" s="60"/>
      <c r="G49" s="60"/>
      <c r="H49" s="60"/>
      <c r="I49" s="60"/>
      <c r="J49" s="60"/>
      <c r="K49" s="60"/>
      <c r="L49" s="60"/>
      <c r="M49" s="60"/>
      <c r="N49" s="60"/>
      <c r="O49" s="60"/>
      <c r="P49" s="60"/>
      <c r="Q49" s="60"/>
      <c r="R49" s="60"/>
      <c r="S49" s="60"/>
      <c r="T49" s="60"/>
      <c r="U49" s="60"/>
      <c r="V49" s="60"/>
      <c r="W49" s="99"/>
    </row>
    <row r="50" spans="1:23" ht="30" customHeight="1">
      <c r="A50" s="994" t="s">
        <v>54</v>
      </c>
      <c r="B50" s="990" t="s">
        <v>1758</v>
      </c>
      <c r="C50" s="990" t="s">
        <v>1767</v>
      </c>
      <c r="D50" s="14" t="s">
        <v>1768</v>
      </c>
      <c r="E50" s="14" t="s">
        <v>1769</v>
      </c>
      <c r="F50" s="998" t="s">
        <v>1813</v>
      </c>
      <c r="G50" s="61" t="s">
        <v>1771</v>
      </c>
      <c r="H50" s="62"/>
      <c r="I50" s="996" t="s">
        <v>1828</v>
      </c>
      <c r="J50" s="997"/>
      <c r="K50" s="988" t="s">
        <v>1829</v>
      </c>
      <c r="L50" s="988"/>
      <c r="M50" s="1003" t="s">
        <v>375</v>
      </c>
      <c r="N50" s="988" t="s">
        <v>1818</v>
      </c>
      <c r="O50" s="988" t="s">
        <v>1819</v>
      </c>
      <c r="P50" s="988" t="s">
        <v>1830</v>
      </c>
      <c r="Q50" s="988" t="s">
        <v>1831</v>
      </c>
      <c r="R50" s="988" t="s">
        <v>1832</v>
      </c>
      <c r="S50" s="988"/>
      <c r="T50" s="988"/>
      <c r="U50" s="15"/>
      <c r="V50" s="15"/>
      <c r="W50" s="82"/>
    </row>
    <row r="51" spans="1:23" ht="35.25" customHeight="1">
      <c r="A51" s="994"/>
      <c r="B51" s="990"/>
      <c r="C51" s="990"/>
      <c r="D51" s="988" t="s">
        <v>1780</v>
      </c>
      <c r="E51" s="988"/>
      <c r="F51" s="998"/>
      <c r="G51" s="14" t="s">
        <v>1782</v>
      </c>
      <c r="H51" s="14" t="s">
        <v>1783</v>
      </c>
      <c r="I51" s="14" t="s">
        <v>1833</v>
      </c>
      <c r="J51" s="15" t="s">
        <v>1834</v>
      </c>
      <c r="K51" s="14" t="s">
        <v>1833</v>
      </c>
      <c r="L51" s="15" t="s">
        <v>1834</v>
      </c>
      <c r="M51" s="1004"/>
      <c r="N51" s="988"/>
      <c r="O51" s="988"/>
      <c r="P51" s="988"/>
      <c r="Q51" s="988"/>
      <c r="R51" s="988"/>
      <c r="S51" s="988"/>
      <c r="T51" s="988"/>
      <c r="U51" s="15"/>
      <c r="V51" s="15"/>
      <c r="W51" s="15"/>
    </row>
    <row r="52" spans="1:23" ht="24.75" customHeight="1">
      <c r="A52" s="994"/>
      <c r="B52" s="990"/>
      <c r="C52" s="990"/>
      <c r="D52" s="14" t="s">
        <v>235</v>
      </c>
      <c r="E52" s="14" t="s">
        <v>1092</v>
      </c>
      <c r="F52" s="998"/>
      <c r="G52" s="16"/>
      <c r="H52" s="15"/>
      <c r="I52" s="15" t="s">
        <v>1823</v>
      </c>
      <c r="J52" s="15" t="s">
        <v>1823</v>
      </c>
      <c r="K52" s="15" t="s">
        <v>1823</v>
      </c>
      <c r="L52" s="15" t="s">
        <v>1823</v>
      </c>
      <c r="M52" s="17" t="s">
        <v>1092</v>
      </c>
      <c r="N52" s="988"/>
      <c r="O52" s="988"/>
      <c r="P52" s="15" t="s">
        <v>1835</v>
      </c>
      <c r="Q52" s="15" t="s">
        <v>1835</v>
      </c>
      <c r="R52" s="15" t="s">
        <v>1835</v>
      </c>
      <c r="S52" s="988"/>
      <c r="T52" s="988"/>
      <c r="U52" s="15"/>
      <c r="V52" s="15"/>
      <c r="W52" s="94"/>
    </row>
    <row r="53" spans="1:23" ht="24" customHeight="1">
      <c r="A53" s="53" t="s">
        <v>64</v>
      </c>
      <c r="B53" s="54"/>
      <c r="C53" s="54" t="s">
        <v>1354</v>
      </c>
      <c r="D53" s="54"/>
      <c r="E53" s="54"/>
      <c r="F53" s="54"/>
      <c r="G53" s="54"/>
      <c r="H53" s="54"/>
      <c r="I53" s="54"/>
      <c r="J53" s="54"/>
      <c r="K53" s="54"/>
      <c r="L53" s="54"/>
      <c r="M53" s="54"/>
      <c r="N53" s="54"/>
      <c r="O53" s="54"/>
      <c r="P53" s="54"/>
      <c r="Q53" s="54"/>
      <c r="R53" s="54"/>
      <c r="S53" s="54"/>
      <c r="T53" s="54"/>
      <c r="U53" s="54"/>
      <c r="V53" s="54"/>
      <c r="W53" s="95"/>
    </row>
    <row r="54" spans="1:23" ht="15.75" customHeight="1">
      <c r="A54" s="63" t="s">
        <v>1836</v>
      </c>
      <c r="B54" s="64" t="s">
        <v>133</v>
      </c>
      <c r="C54" s="64" t="s">
        <v>1837</v>
      </c>
      <c r="D54" s="109">
        <v>7.07</v>
      </c>
      <c r="E54" s="109">
        <v>5.62</v>
      </c>
      <c r="F54" s="109">
        <f>2.4</f>
        <v>2.4</v>
      </c>
      <c r="G54" s="109">
        <f>I16</f>
        <v>0</v>
      </c>
      <c r="H54" s="109">
        <f>J17</f>
        <v>0</v>
      </c>
      <c r="I54" s="111">
        <v>0</v>
      </c>
      <c r="J54" s="111">
        <v>0</v>
      </c>
      <c r="K54" s="111">
        <v>0</v>
      </c>
      <c r="L54" s="111">
        <v>0</v>
      </c>
      <c r="M54" s="109">
        <f>2.218*0.82</f>
        <v>1.8187599999999999</v>
      </c>
      <c r="N54" s="83">
        <f>(D54-I6*G54-J6*H54-I54-K54)*1</f>
        <v>7.07</v>
      </c>
      <c r="O54" s="84">
        <f>D54*F54-I7*G54-J7*H54-I54*2.24-J54*1.19-K54*2.24-L54*1.32-M54+(2.24+I54+J54+1.19+J54)*0.1*P54+(2.24*2+K54)*0.1*Q54+(1.32*2+L54*2)*0.1*R54</f>
        <v>15.149240000000001</v>
      </c>
      <c r="P54" s="111">
        <v>0</v>
      </c>
      <c r="Q54" s="111">
        <v>0</v>
      </c>
      <c r="R54" s="109">
        <v>0</v>
      </c>
      <c r="S54" s="64"/>
      <c r="T54" s="64"/>
      <c r="U54" s="64"/>
      <c r="V54" s="64"/>
      <c r="W54" s="100"/>
    </row>
    <row r="55" spans="1:23" ht="30" customHeight="1">
      <c r="A55" s="41"/>
      <c r="B55" s="15"/>
      <c r="C55" s="52" t="s">
        <v>1838</v>
      </c>
      <c r="D55" s="15"/>
      <c r="E55" s="104">
        <v>0.87</v>
      </c>
      <c r="F55" s="15"/>
      <c r="G55" s="15"/>
      <c r="H55" s="15"/>
      <c r="I55" s="15"/>
      <c r="J55" s="15"/>
      <c r="K55" s="15"/>
      <c r="L55" s="15"/>
      <c r="M55" s="15"/>
      <c r="N55" s="15"/>
      <c r="O55" s="15"/>
      <c r="P55" s="15"/>
      <c r="Q55" s="15"/>
      <c r="R55" s="15"/>
      <c r="S55" s="15"/>
      <c r="T55" s="15"/>
      <c r="U55" s="15"/>
      <c r="V55" s="15"/>
      <c r="W55" s="101"/>
    </row>
    <row r="56" spans="1:23" ht="22.5" customHeight="1">
      <c r="A56" s="66"/>
      <c r="B56" s="67"/>
      <c r="C56" s="68" t="s">
        <v>1839</v>
      </c>
      <c r="D56" s="67"/>
      <c r="E56" s="69">
        <f>E54-E55</f>
        <v>4.75</v>
      </c>
      <c r="F56" s="70"/>
      <c r="G56" s="70"/>
      <c r="H56" s="70"/>
      <c r="I56" s="70"/>
      <c r="J56" s="70"/>
      <c r="K56" s="70"/>
      <c r="L56" s="70"/>
      <c r="M56" s="70"/>
      <c r="N56" s="70"/>
      <c r="O56" s="70"/>
      <c r="P56" s="70"/>
      <c r="Q56" s="70"/>
      <c r="R56" s="70"/>
      <c r="S56" s="70"/>
      <c r="T56" s="67"/>
      <c r="U56" s="67"/>
      <c r="V56" s="67"/>
      <c r="W56" s="67"/>
    </row>
    <row r="57" spans="1:23" ht="22.5" customHeight="1">
      <c r="A57" s="71"/>
      <c r="B57" s="72"/>
      <c r="C57" s="73"/>
      <c r="D57" s="72"/>
      <c r="E57" s="74"/>
      <c r="F57" s="75"/>
      <c r="G57" s="76"/>
      <c r="H57" s="77"/>
      <c r="I57" s="76"/>
      <c r="J57" s="77"/>
      <c r="K57" s="75"/>
      <c r="L57" s="75"/>
      <c r="M57" s="75"/>
      <c r="N57" s="75"/>
      <c r="O57" s="75"/>
      <c r="P57" s="75"/>
      <c r="Q57" s="75"/>
      <c r="R57" s="75"/>
      <c r="S57" s="75"/>
      <c r="T57" s="72"/>
      <c r="U57" s="72"/>
      <c r="V57" s="72"/>
      <c r="W57" s="72"/>
    </row>
    <row r="58" spans="1:23" ht="19.5" customHeight="1">
      <c r="A58" s="3" t="s">
        <v>1840</v>
      </c>
      <c r="E58" s="4"/>
      <c r="F58" s="4"/>
      <c r="G58" s="4"/>
      <c r="H58" s="4"/>
      <c r="I58" s="4"/>
      <c r="J58" s="4"/>
      <c r="K58" s="4"/>
      <c r="L58" s="4"/>
      <c r="M58" s="4"/>
      <c r="N58" s="4"/>
      <c r="O58" s="4"/>
      <c r="P58" s="4"/>
      <c r="Q58" s="4"/>
      <c r="R58" s="4"/>
      <c r="S58" s="4"/>
    </row>
    <row r="59" spans="1:23" ht="19.5" customHeight="1">
      <c r="A59" s="3"/>
      <c r="E59" s="4"/>
      <c r="F59" s="4"/>
      <c r="G59" s="4"/>
      <c r="H59" s="4"/>
      <c r="I59" s="4"/>
      <c r="J59" s="4"/>
      <c r="K59" s="4"/>
      <c r="L59" s="4"/>
      <c r="M59" s="4"/>
      <c r="N59" s="4"/>
      <c r="O59" s="4"/>
      <c r="P59" s="4"/>
      <c r="Q59" s="4"/>
      <c r="R59" s="4"/>
      <c r="S59" s="4"/>
    </row>
  </sheetData>
  <mergeCells count="40">
    <mergeCell ref="T4:T7"/>
    <mergeCell ref="T40:T42"/>
    <mergeCell ref="T50:T52"/>
    <mergeCell ref="W4:W7"/>
    <mergeCell ref="M4:N5"/>
    <mergeCell ref="O4:P5"/>
    <mergeCell ref="U4:V5"/>
    <mergeCell ref="R4:R7"/>
    <mergeCell ref="R40:R42"/>
    <mergeCell ref="R50:R51"/>
    <mergeCell ref="S4:S7"/>
    <mergeCell ref="S40:S42"/>
    <mergeCell ref="S50:S52"/>
    <mergeCell ref="M50:M51"/>
    <mergeCell ref="N50:N52"/>
    <mergeCell ref="O50:O52"/>
    <mergeCell ref="F4:F7"/>
    <mergeCell ref="F40:F42"/>
    <mergeCell ref="F50:F52"/>
    <mergeCell ref="G4:K4"/>
    <mergeCell ref="D5:E5"/>
    <mergeCell ref="H40:I40"/>
    <mergeCell ref="J40:K40"/>
    <mergeCell ref="D41:E41"/>
    <mergeCell ref="D51:E51"/>
    <mergeCell ref="P50:P51"/>
    <mergeCell ref="Q4:Q7"/>
    <mergeCell ref="Q40:Q42"/>
    <mergeCell ref="Q50:Q51"/>
    <mergeCell ref="I50:J50"/>
    <mergeCell ref="K50:L50"/>
    <mergeCell ref="C4:C7"/>
    <mergeCell ref="C40:C42"/>
    <mergeCell ref="C50:C52"/>
    <mergeCell ref="A4:A7"/>
    <mergeCell ref="A40:A42"/>
    <mergeCell ref="A50:A52"/>
    <mergeCell ref="B4:B7"/>
    <mergeCell ref="B40:B42"/>
    <mergeCell ref="B50:B52"/>
  </mergeCells>
  <phoneticPr fontId="7" type="noConversion"/>
  <printOptions horizontalCentered="1"/>
  <pageMargins left="0.43307086614173229" right="0.23622047244094491" top="0.74803149606299213" bottom="0.74803149606299213" header="0.31496062992125984" footer="0.31496062992125984"/>
  <pageSetup paperSize="9" scale="85" orientation="portrait" blackAndWhite="1" r:id="rId1"/>
  <headerFooter alignWithMargins="0">
    <oddFooter>&amp;C第 &amp;P 页，共 &amp;N 页</oddFooter>
  </headerFooter>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indexed="60"/>
  </sheetPr>
  <dimension ref="A1:W59"/>
  <sheetViews>
    <sheetView zoomScale="93" zoomScaleNormal="93" workbookViewId="0">
      <pane xSplit="5" ySplit="7" topLeftCell="F8" activePane="bottomRight" state="frozen"/>
      <selection activeCell="J6" sqref="J6"/>
      <selection pane="topRight" activeCell="J6" sqref="J6"/>
      <selection pane="bottomLeft" activeCell="J6" sqref="J6"/>
      <selection pane="bottomRight" activeCell="J6" sqref="J6"/>
    </sheetView>
  </sheetViews>
  <sheetFormatPr defaultColWidth="9.125" defaultRowHeight="14.25"/>
  <cols>
    <col min="1" max="1" width="6.875" customWidth="1"/>
    <col min="2" max="2" width="11.75" customWidth="1"/>
    <col min="3" max="3" width="28" customWidth="1"/>
    <col min="4" max="4" width="9.25" customWidth="1"/>
    <col min="5" max="5" width="11.75" customWidth="1"/>
    <col min="6" max="11" width="9.25" customWidth="1"/>
    <col min="12" max="12" width="10.25" customWidth="1"/>
    <col min="13" max="18" width="9.25" customWidth="1"/>
    <col min="19" max="19" width="9.75" customWidth="1"/>
    <col min="20" max="21" width="9.25" customWidth="1"/>
    <col min="22" max="22" width="9.375" customWidth="1"/>
  </cols>
  <sheetData>
    <row r="1" spans="1:23" ht="21" customHeight="1">
      <c r="A1" s="3"/>
      <c r="C1" s="1" t="s">
        <v>1755</v>
      </c>
      <c r="E1" s="4"/>
      <c r="F1" s="4"/>
      <c r="G1" s="4"/>
      <c r="H1" s="4"/>
      <c r="I1" s="4"/>
      <c r="J1" s="4"/>
      <c r="K1" s="4"/>
      <c r="L1" s="4"/>
      <c r="M1" s="4"/>
      <c r="N1" s="4"/>
      <c r="O1" s="4"/>
      <c r="P1" s="4"/>
      <c r="Q1" s="4"/>
      <c r="R1" s="4"/>
      <c r="S1" s="4"/>
    </row>
    <row r="2" spans="1:23" ht="21" customHeight="1">
      <c r="A2" s="5" t="s">
        <v>1756</v>
      </c>
      <c r="B2" s="6" t="s">
        <v>131</v>
      </c>
      <c r="C2" s="7"/>
      <c r="D2" s="8" t="s">
        <v>1758</v>
      </c>
      <c r="E2" s="6" t="s">
        <v>1842</v>
      </c>
      <c r="F2" s="9"/>
      <c r="G2" s="8" t="s">
        <v>1760</v>
      </c>
      <c r="H2" s="6">
        <v>2</v>
      </c>
      <c r="I2" s="9" t="s">
        <v>1761</v>
      </c>
      <c r="J2" s="9"/>
      <c r="K2" s="9"/>
      <c r="L2" s="9"/>
      <c r="M2" s="9"/>
      <c r="N2" s="9"/>
      <c r="O2" s="9"/>
      <c r="P2" s="9"/>
      <c r="Q2" s="9"/>
      <c r="R2" s="9"/>
      <c r="S2" s="9"/>
    </row>
    <row r="3" spans="1:23" ht="21" customHeight="1">
      <c r="A3" s="10" t="s">
        <v>120</v>
      </c>
      <c r="B3" s="11" t="s">
        <v>246</v>
      </c>
      <c r="C3" s="7"/>
      <c r="D3" s="7"/>
      <c r="F3" s="9"/>
      <c r="G3" s="12" t="s">
        <v>1763</v>
      </c>
      <c r="H3" s="11">
        <v>2</v>
      </c>
      <c r="I3" s="9" t="s">
        <v>1764</v>
      </c>
      <c r="J3" s="9">
        <v>1</v>
      </c>
      <c r="K3" s="9" t="s">
        <v>1765</v>
      </c>
      <c r="L3" s="9">
        <v>0</v>
      </c>
      <c r="M3" s="9"/>
      <c r="N3" s="9"/>
      <c r="O3" s="9"/>
      <c r="P3" s="9"/>
      <c r="Q3" s="9"/>
      <c r="R3" s="9"/>
      <c r="S3" s="9"/>
    </row>
    <row r="4" spans="1:23" ht="35.25" customHeight="1">
      <c r="A4" s="991" t="s">
        <v>54</v>
      </c>
      <c r="B4" s="987" t="s">
        <v>1766</v>
      </c>
      <c r="C4" s="987" t="s">
        <v>1767</v>
      </c>
      <c r="D4" s="13" t="s">
        <v>1768</v>
      </c>
      <c r="E4" s="13" t="s">
        <v>1769</v>
      </c>
      <c r="F4" s="987" t="s">
        <v>1770</v>
      </c>
      <c r="G4" s="987" t="s">
        <v>1771</v>
      </c>
      <c r="H4" s="987"/>
      <c r="I4" s="987"/>
      <c r="J4" s="987"/>
      <c r="K4" s="987"/>
      <c r="L4" s="78" t="s">
        <v>1772</v>
      </c>
      <c r="M4" s="987" t="s">
        <v>1773</v>
      </c>
      <c r="N4" s="987"/>
      <c r="O4" s="987" t="s">
        <v>1774</v>
      </c>
      <c r="P4" s="987"/>
      <c r="Q4" s="987" t="s">
        <v>1775</v>
      </c>
      <c r="R4" s="987" t="s">
        <v>1776</v>
      </c>
      <c r="S4" s="987" t="s">
        <v>1777</v>
      </c>
      <c r="T4" s="987" t="s">
        <v>1778</v>
      </c>
      <c r="U4" s="987" t="s">
        <v>1574</v>
      </c>
      <c r="V4" s="987"/>
      <c r="W4" s="1000" t="s">
        <v>1779</v>
      </c>
    </row>
    <row r="5" spans="1:23" ht="24" customHeight="1">
      <c r="A5" s="992"/>
      <c r="B5" s="988"/>
      <c r="C5" s="988"/>
      <c r="D5" s="988" t="s">
        <v>1780</v>
      </c>
      <c r="E5" s="988"/>
      <c r="F5" s="988"/>
      <c r="G5" s="14" t="s">
        <v>1781</v>
      </c>
      <c r="H5" s="14" t="s">
        <v>1482</v>
      </c>
      <c r="I5" s="14" t="s">
        <v>1782</v>
      </c>
      <c r="J5" s="14" t="s">
        <v>1783</v>
      </c>
      <c r="K5" s="14" t="s">
        <v>1418</v>
      </c>
      <c r="L5" s="14" t="s">
        <v>1784</v>
      </c>
      <c r="M5" s="988"/>
      <c r="N5" s="988"/>
      <c r="O5" s="988"/>
      <c r="P5" s="988"/>
      <c r="Q5" s="988"/>
      <c r="R5" s="988"/>
      <c r="S5" s="988"/>
      <c r="T5" s="988"/>
      <c r="U5" s="988"/>
      <c r="V5" s="988"/>
      <c r="W5" s="1001"/>
    </row>
    <row r="6" spans="1:23" ht="27" customHeight="1">
      <c r="A6" s="992"/>
      <c r="B6" s="988"/>
      <c r="C6" s="988"/>
      <c r="D6" s="14"/>
      <c r="E6" s="15"/>
      <c r="F6" s="988"/>
      <c r="G6" s="16">
        <v>0.99399999999999999</v>
      </c>
      <c r="H6" s="16">
        <v>0.84399999999999997</v>
      </c>
      <c r="I6" s="16">
        <v>0.9</v>
      </c>
      <c r="J6" s="16">
        <v>1.65</v>
      </c>
      <c r="K6" s="16">
        <v>1.1599999999999999</v>
      </c>
      <c r="L6" s="79"/>
      <c r="M6" s="14" t="s">
        <v>1785</v>
      </c>
      <c r="N6" s="15" t="s">
        <v>1786</v>
      </c>
      <c r="O6" s="14" t="s">
        <v>1785</v>
      </c>
      <c r="P6" s="15" t="s">
        <v>1786</v>
      </c>
      <c r="Q6" s="988"/>
      <c r="R6" s="988"/>
      <c r="S6" s="988"/>
      <c r="T6" s="988"/>
      <c r="U6" s="14" t="s">
        <v>1787</v>
      </c>
      <c r="V6" s="14" t="s">
        <v>1788</v>
      </c>
      <c r="W6" s="1001"/>
    </row>
    <row r="7" spans="1:23" ht="24.75" customHeight="1">
      <c r="A7" s="993"/>
      <c r="B7" s="989"/>
      <c r="C7" s="989"/>
      <c r="D7" s="17" t="s">
        <v>235</v>
      </c>
      <c r="E7" s="17" t="s">
        <v>1092</v>
      </c>
      <c r="F7" s="989"/>
      <c r="G7" s="18">
        <f>0.994*2.272</f>
        <v>2.2583679999999999</v>
      </c>
      <c r="H7" s="18">
        <f>0.844*2.272</f>
        <v>1.9175679999999997</v>
      </c>
      <c r="I7" s="18">
        <f>0.9*2.19</f>
        <v>1.9710000000000001</v>
      </c>
      <c r="J7" s="18">
        <f>1.65*2.14</f>
        <v>3.5310000000000001</v>
      </c>
      <c r="K7" s="18">
        <f>1.16*2.18</f>
        <v>2.5287999999999999</v>
      </c>
      <c r="L7" s="18">
        <v>2.27</v>
      </c>
      <c r="M7" s="80"/>
      <c r="N7" s="80"/>
      <c r="O7" s="80"/>
      <c r="P7" s="80"/>
      <c r="Q7" s="995"/>
      <c r="R7" s="989"/>
      <c r="S7" s="989"/>
      <c r="T7" s="989"/>
      <c r="U7" s="80" t="s">
        <v>1789</v>
      </c>
      <c r="V7" s="80" t="s">
        <v>1790</v>
      </c>
      <c r="W7" s="1002"/>
    </row>
    <row r="8" spans="1:23" ht="24.75" customHeight="1">
      <c r="A8" s="19" t="s">
        <v>58</v>
      </c>
      <c r="B8" s="20"/>
      <c r="C8" s="21" t="s">
        <v>1406</v>
      </c>
      <c r="D8" s="20"/>
      <c r="E8" s="20"/>
      <c r="F8" s="20"/>
      <c r="G8" s="22"/>
      <c r="H8" s="22"/>
      <c r="I8" s="22"/>
      <c r="J8" s="22"/>
      <c r="K8" s="22"/>
      <c r="L8" s="22"/>
      <c r="M8" s="22"/>
      <c r="N8" s="22"/>
      <c r="O8" s="22"/>
      <c r="P8" s="22"/>
      <c r="Q8" s="22"/>
      <c r="R8" s="20"/>
      <c r="S8" s="20"/>
      <c r="T8" s="20"/>
      <c r="U8" s="22"/>
      <c r="V8" s="22"/>
      <c r="W8" s="85"/>
    </row>
    <row r="9" spans="1:23" ht="24.75" customHeight="1">
      <c r="A9" s="23">
        <v>1</v>
      </c>
      <c r="B9" s="24"/>
      <c r="C9" s="25" t="s">
        <v>237</v>
      </c>
      <c r="D9" s="26">
        <v>0</v>
      </c>
      <c r="E9" s="27"/>
      <c r="F9" s="28"/>
      <c r="G9" s="29"/>
      <c r="H9" s="29"/>
      <c r="I9" s="29"/>
      <c r="J9" s="29"/>
      <c r="K9" s="29"/>
      <c r="L9" s="29"/>
      <c r="M9" s="29"/>
      <c r="N9" s="29"/>
      <c r="O9" s="29"/>
      <c r="P9" s="29"/>
      <c r="Q9" s="29"/>
      <c r="R9" s="28"/>
      <c r="S9" s="28"/>
      <c r="T9" s="28"/>
      <c r="U9" s="29"/>
      <c r="V9" s="29"/>
      <c r="W9" s="86"/>
    </row>
    <row r="10" spans="1:23" ht="24.75" customHeight="1">
      <c r="A10" s="23">
        <v>2</v>
      </c>
      <c r="B10" s="24"/>
      <c r="C10" s="25" t="s">
        <v>241</v>
      </c>
      <c r="D10" s="26"/>
      <c r="E10" s="27"/>
      <c r="F10" s="28"/>
      <c r="G10" s="29"/>
      <c r="H10" s="29"/>
      <c r="I10" s="29"/>
      <c r="J10" s="29"/>
      <c r="K10" s="29"/>
      <c r="L10" s="29"/>
      <c r="M10" s="29"/>
      <c r="N10" s="29"/>
      <c r="O10" s="29"/>
      <c r="P10" s="29"/>
      <c r="Q10" s="29"/>
      <c r="R10" s="28"/>
      <c r="S10" s="28"/>
      <c r="T10" s="28"/>
      <c r="U10" s="29"/>
      <c r="V10" s="29"/>
      <c r="W10" s="86"/>
    </row>
    <row r="11" spans="1:23" ht="24.75" customHeight="1">
      <c r="A11" s="23">
        <v>3</v>
      </c>
      <c r="B11" s="15"/>
      <c r="C11" s="15" t="s">
        <v>1791</v>
      </c>
      <c r="D11" s="26">
        <v>23.42</v>
      </c>
      <c r="E11" s="30">
        <v>27.52</v>
      </c>
      <c r="F11" s="29"/>
      <c r="G11" s="29"/>
      <c r="H11" s="29"/>
      <c r="I11" s="29"/>
      <c r="J11" s="29"/>
      <c r="K11" s="29"/>
      <c r="L11" s="29"/>
      <c r="M11" s="29"/>
      <c r="N11" s="29"/>
      <c r="O11" s="29"/>
      <c r="P11" s="29"/>
      <c r="Q11" s="29"/>
      <c r="R11" s="29"/>
      <c r="S11" s="15"/>
      <c r="T11" s="29"/>
      <c r="U11" s="29"/>
      <c r="V11" s="29"/>
      <c r="W11" s="87"/>
    </row>
    <row r="12" spans="1:23" ht="15.75" customHeight="1">
      <c r="A12" s="23">
        <v>4</v>
      </c>
      <c r="B12" s="15"/>
      <c r="C12" s="15" t="s">
        <v>1792</v>
      </c>
      <c r="D12" s="30">
        <v>0</v>
      </c>
      <c r="E12" s="30">
        <v>0</v>
      </c>
      <c r="F12" s="15">
        <f>3-0.5-0.065-0.1-0.012</f>
        <v>2.323</v>
      </c>
      <c r="G12" s="29"/>
      <c r="H12" s="29"/>
      <c r="I12" s="29"/>
      <c r="J12" s="29"/>
      <c r="K12" s="29"/>
      <c r="L12" s="29"/>
      <c r="M12" s="29"/>
      <c r="N12" s="29"/>
      <c r="O12" s="29"/>
      <c r="P12" s="29"/>
      <c r="Q12" s="29"/>
      <c r="R12" s="29"/>
      <c r="S12" s="32">
        <f>D12*F12</f>
        <v>0</v>
      </c>
      <c r="T12" s="29"/>
      <c r="U12" s="29"/>
      <c r="V12" s="29"/>
      <c r="W12" s="87"/>
    </row>
    <row r="13" spans="1:23" ht="15.75" customHeight="1">
      <c r="A13" s="23">
        <v>5</v>
      </c>
      <c r="B13" s="15"/>
      <c r="C13" s="15" t="s">
        <v>1793</v>
      </c>
      <c r="D13" s="30">
        <v>0</v>
      </c>
      <c r="E13" s="31">
        <v>0</v>
      </c>
      <c r="F13" s="29"/>
      <c r="G13" s="29"/>
      <c r="H13" s="29"/>
      <c r="I13" s="29"/>
      <c r="J13" s="29"/>
      <c r="K13" s="29"/>
      <c r="L13" s="29"/>
      <c r="M13" s="29"/>
      <c r="N13" s="29"/>
      <c r="O13" s="29"/>
      <c r="P13" s="29"/>
      <c r="Q13" s="29"/>
      <c r="R13" s="29"/>
      <c r="S13" s="43"/>
      <c r="T13" s="29"/>
      <c r="U13" s="29"/>
      <c r="V13" s="29"/>
      <c r="W13" s="87"/>
    </row>
    <row r="14" spans="1:23" ht="15.75" customHeight="1">
      <c r="A14" s="23">
        <v>6</v>
      </c>
      <c r="B14" s="15"/>
      <c r="C14" s="15" t="s">
        <v>1794</v>
      </c>
      <c r="D14" s="30">
        <v>0</v>
      </c>
      <c r="E14" s="30">
        <v>0</v>
      </c>
      <c r="F14" s="15">
        <f>3-0.5-0.065-0.1-0.012</f>
        <v>2.323</v>
      </c>
      <c r="G14" s="29"/>
      <c r="H14" s="29"/>
      <c r="I14" s="29"/>
      <c r="J14" s="29"/>
      <c r="K14" s="29"/>
      <c r="L14" s="29"/>
      <c r="M14" s="29"/>
      <c r="N14" s="29"/>
      <c r="O14" s="29"/>
      <c r="P14" s="29"/>
      <c r="Q14" s="29"/>
      <c r="R14" s="29"/>
      <c r="S14" s="32">
        <f>D14*F14</f>
        <v>0</v>
      </c>
      <c r="T14" s="29"/>
      <c r="U14" s="29"/>
      <c r="V14" s="29"/>
      <c r="W14" s="87"/>
    </row>
    <row r="15" spans="1:23" ht="15.75" customHeight="1">
      <c r="A15" s="23">
        <v>7</v>
      </c>
      <c r="B15" s="15"/>
      <c r="C15" s="15" t="s">
        <v>1795</v>
      </c>
      <c r="D15" s="30">
        <v>0</v>
      </c>
      <c r="E15" s="30"/>
      <c r="F15" s="32">
        <f>D15*E15</f>
        <v>0</v>
      </c>
      <c r="G15" s="29"/>
      <c r="H15" s="29"/>
      <c r="I15" s="29"/>
      <c r="J15" s="29"/>
      <c r="K15" s="29"/>
      <c r="L15" s="29"/>
      <c r="M15" s="29"/>
      <c r="N15" s="29"/>
      <c r="O15" s="29"/>
      <c r="P15" s="29"/>
      <c r="Q15" s="29"/>
      <c r="R15" s="29"/>
      <c r="S15" s="43"/>
      <c r="T15" s="29"/>
      <c r="U15" s="29"/>
      <c r="V15" s="29"/>
      <c r="W15" s="87"/>
    </row>
    <row r="16" spans="1:23" ht="15.75" customHeight="1">
      <c r="A16" s="23">
        <v>8</v>
      </c>
      <c r="B16" s="15"/>
      <c r="C16" s="15" t="s">
        <v>1796</v>
      </c>
      <c r="D16" s="30">
        <v>2.96</v>
      </c>
      <c r="E16" s="33"/>
      <c r="F16" s="30">
        <f>3-0.1-0.012-0.135-0.065-0.1</f>
        <v>2.5880000000000001</v>
      </c>
      <c r="G16" s="29"/>
      <c r="H16" s="29"/>
      <c r="I16" s="29"/>
      <c r="J16" s="29"/>
      <c r="K16" s="29"/>
      <c r="L16" s="29"/>
      <c r="M16" s="29"/>
      <c r="N16" s="29"/>
      <c r="O16" s="29"/>
      <c r="P16" s="29"/>
      <c r="Q16" s="29"/>
      <c r="R16" s="29"/>
      <c r="S16" s="32">
        <f>(D16-0.2)*(F16-0.1)</f>
        <v>6.8668799999999992</v>
      </c>
      <c r="T16" s="29"/>
      <c r="U16" s="29"/>
      <c r="V16" s="29"/>
      <c r="W16" s="87"/>
    </row>
    <row r="17" spans="1:23" ht="15.75" customHeight="1">
      <c r="A17" s="23">
        <v>9</v>
      </c>
      <c r="B17" s="15"/>
      <c r="C17" s="15" t="s">
        <v>1797</v>
      </c>
      <c r="D17" s="32">
        <f>D11-D12-D14-D16</f>
        <v>20.46</v>
      </c>
      <c r="E17" s="29"/>
      <c r="F17" s="15">
        <f>3-0.1-0.012-0.135-0.065-0.1</f>
        <v>2.5880000000000001</v>
      </c>
      <c r="G17" s="15">
        <v>2</v>
      </c>
      <c r="H17" s="15">
        <v>1</v>
      </c>
      <c r="I17" s="15">
        <v>0</v>
      </c>
      <c r="J17" s="15">
        <v>0</v>
      </c>
      <c r="K17" s="15">
        <v>1</v>
      </c>
      <c r="L17" s="30">
        <v>2.6</v>
      </c>
      <c r="M17" s="30">
        <v>0</v>
      </c>
      <c r="N17" s="30">
        <v>0</v>
      </c>
      <c r="O17" s="30">
        <v>0</v>
      </c>
      <c r="P17" s="30">
        <v>0</v>
      </c>
      <c r="Q17" s="30">
        <f>2.1*(0.4-0.1-0.135)+1.1*(0.5-0.1-0.135)+(L7*2+L17)*0.07</f>
        <v>1.1378000000000001</v>
      </c>
      <c r="R17" s="15">
        <v>0</v>
      </c>
      <c r="S17" s="32">
        <f>D17*F17-(G17*$G$7+H17*$H$7+I17*$I$7+J17*$J$7+K17*$K$7+L17*$L$7)-M17*N17-P17*O17+Q17+R17</f>
        <v>39.223176000000009</v>
      </c>
      <c r="T17" s="29"/>
      <c r="U17" s="29"/>
      <c r="V17" s="29"/>
      <c r="W17" s="87"/>
    </row>
    <row r="18" spans="1:23" ht="15.75" customHeight="1">
      <c r="A18" s="23">
        <v>10</v>
      </c>
      <c r="B18" s="34"/>
      <c r="C18" s="34" t="s">
        <v>1798</v>
      </c>
      <c r="D18" s="34"/>
      <c r="E18" s="35">
        <f>E11</f>
        <v>27.52</v>
      </c>
      <c r="F18" s="36"/>
      <c r="G18" s="36"/>
      <c r="H18" s="36"/>
      <c r="I18" s="36"/>
      <c r="J18" s="36"/>
      <c r="K18" s="36"/>
      <c r="L18" s="36"/>
      <c r="M18" s="36"/>
      <c r="N18" s="36"/>
      <c r="O18" s="36"/>
      <c r="P18" s="36"/>
      <c r="Q18" s="36"/>
      <c r="R18" s="36"/>
      <c r="S18" s="35">
        <f>S12+S14+S17</f>
        <v>39.223176000000009</v>
      </c>
      <c r="T18" s="35">
        <f>D11-($G$6*G17+$H$6*H17+$I$6*I17+$J$6*J17+$K$6*K17+L17)</f>
        <v>16.828000000000003</v>
      </c>
      <c r="U18" s="35">
        <f>M17*0.12</f>
        <v>0</v>
      </c>
      <c r="V18" s="35">
        <f>O17*0.7</f>
        <v>0</v>
      </c>
      <c r="W18" s="88">
        <v>0</v>
      </c>
    </row>
    <row r="19" spans="1:23" ht="24.75" customHeight="1">
      <c r="A19" s="37" t="s">
        <v>60</v>
      </c>
      <c r="B19" s="38"/>
      <c r="C19" s="39" t="s">
        <v>1799</v>
      </c>
      <c r="D19" s="38"/>
      <c r="E19" s="38"/>
      <c r="F19" s="38"/>
      <c r="G19" s="40"/>
      <c r="H19" s="40"/>
      <c r="I19" s="40"/>
      <c r="J19" s="40"/>
      <c r="K19" s="40"/>
      <c r="L19" s="40"/>
      <c r="M19" s="40"/>
      <c r="N19" s="40"/>
      <c r="O19" s="40"/>
      <c r="P19" s="40"/>
      <c r="Q19" s="40"/>
      <c r="R19" s="38"/>
      <c r="S19" s="38"/>
      <c r="T19" s="38"/>
      <c r="U19" s="40"/>
      <c r="V19" s="40"/>
      <c r="W19" s="89"/>
    </row>
    <row r="20" spans="1:23" ht="15.75" customHeight="1">
      <c r="A20" s="41">
        <v>1</v>
      </c>
      <c r="B20" s="15" t="s">
        <v>1374</v>
      </c>
      <c r="C20" s="15" t="s">
        <v>1800</v>
      </c>
      <c r="D20" s="30">
        <v>19.47</v>
      </c>
      <c r="E20" s="30">
        <v>19.649999999999999</v>
      </c>
      <c r="F20" s="15"/>
      <c r="G20" s="29"/>
      <c r="H20" s="29"/>
      <c r="I20" s="29"/>
      <c r="J20" s="29"/>
      <c r="K20" s="29"/>
      <c r="L20" s="29"/>
      <c r="M20" s="29"/>
      <c r="N20" s="29"/>
      <c r="O20" s="29"/>
      <c r="P20" s="29"/>
      <c r="Q20" s="29"/>
      <c r="R20" s="29"/>
      <c r="S20" s="29"/>
      <c r="T20" s="29"/>
      <c r="U20" s="29"/>
      <c r="V20" s="29"/>
      <c r="W20" s="90"/>
    </row>
    <row r="21" spans="1:23" ht="15.75" customHeight="1">
      <c r="A21" s="41">
        <v>2</v>
      </c>
      <c r="B21" s="15"/>
      <c r="C21" s="15" t="s">
        <v>1794</v>
      </c>
      <c r="D21" s="30">
        <v>3.5</v>
      </c>
      <c r="E21" s="30">
        <v>1.32</v>
      </c>
      <c r="F21" s="15"/>
      <c r="G21" s="29"/>
      <c r="H21" s="29"/>
      <c r="I21" s="29"/>
      <c r="J21" s="29"/>
      <c r="K21" s="29"/>
      <c r="L21" s="29"/>
      <c r="M21" s="29"/>
      <c r="N21" s="29"/>
      <c r="O21" s="29"/>
      <c r="P21" s="29"/>
      <c r="Q21" s="29"/>
      <c r="R21" s="29"/>
      <c r="S21" s="16">
        <f>D21*F21</f>
        <v>0</v>
      </c>
      <c r="T21" s="29"/>
      <c r="U21" s="29"/>
      <c r="V21" s="29"/>
      <c r="W21" s="87"/>
    </row>
    <row r="22" spans="1:23" ht="15.75" customHeight="1">
      <c r="A22" s="41">
        <v>3</v>
      </c>
      <c r="B22" s="15"/>
      <c r="C22" s="15" t="s">
        <v>1801</v>
      </c>
      <c r="D22" s="32">
        <f>D20-D21</f>
        <v>15.969999999999999</v>
      </c>
      <c r="E22" s="32">
        <f>E20-E21</f>
        <v>18.329999999999998</v>
      </c>
      <c r="F22" s="15">
        <f>3-0.1-0.012-0.1-0.065-0.1</f>
        <v>2.6229999999999998</v>
      </c>
      <c r="G22" s="30">
        <v>1</v>
      </c>
      <c r="H22" s="15">
        <v>1</v>
      </c>
      <c r="I22" s="29"/>
      <c r="J22" s="29"/>
      <c r="K22" s="29"/>
      <c r="L22" s="30">
        <v>2.6</v>
      </c>
      <c r="M22" s="30">
        <v>0</v>
      </c>
      <c r="N22" s="30">
        <v>0</v>
      </c>
      <c r="O22" s="30">
        <v>0</v>
      </c>
      <c r="P22" s="30">
        <v>0</v>
      </c>
      <c r="Q22" s="30">
        <f>4.45*(0.5-0.1-0.135)+(L7*2+L22)*0.07</f>
        <v>1.6790500000000002</v>
      </c>
      <c r="R22" s="30">
        <v>0</v>
      </c>
      <c r="S22" s="16">
        <f>D22*F22-(G22*$G$7+H22*$H$7+I22*$I$7+J22*$J$7+K22*$K$7+L22*$L$7)-M22*N22-O22*P22+Q22+R22</f>
        <v>33.49042399999999</v>
      </c>
      <c r="T22" s="29"/>
      <c r="U22" s="29"/>
      <c r="V22" s="29"/>
      <c r="W22" s="87"/>
    </row>
    <row r="23" spans="1:23" ht="15.75" customHeight="1">
      <c r="A23" s="41"/>
      <c r="B23" s="15"/>
      <c r="C23" s="15" t="s">
        <v>240</v>
      </c>
      <c r="D23" s="42">
        <v>0</v>
      </c>
      <c r="E23" s="43"/>
      <c r="F23" s="29"/>
      <c r="G23" s="29"/>
      <c r="H23" s="29"/>
      <c r="I23" s="29"/>
      <c r="J23" s="29"/>
      <c r="K23" s="29"/>
      <c r="L23" s="29"/>
      <c r="M23" s="29"/>
      <c r="N23" s="29"/>
      <c r="O23" s="29"/>
      <c r="P23" s="29"/>
      <c r="Q23" s="29"/>
      <c r="R23" s="29"/>
      <c r="S23" s="91"/>
      <c r="T23" s="29"/>
      <c r="U23" s="29"/>
      <c r="V23" s="29"/>
      <c r="W23" s="87"/>
    </row>
    <row r="24" spans="1:23" ht="15.75" customHeight="1">
      <c r="A24" s="41"/>
      <c r="B24" s="15"/>
      <c r="C24" s="44" t="s">
        <v>285</v>
      </c>
      <c r="D24" s="42">
        <v>16.41</v>
      </c>
      <c r="E24" s="43"/>
      <c r="F24" s="29"/>
      <c r="G24" s="29"/>
      <c r="H24" s="29"/>
      <c r="I24" s="29"/>
      <c r="J24" s="29"/>
      <c r="K24" s="29"/>
      <c r="L24" s="29"/>
      <c r="M24" s="29"/>
      <c r="N24" s="29"/>
      <c r="O24" s="29"/>
      <c r="P24" s="29"/>
      <c r="Q24" s="29"/>
      <c r="R24" s="29"/>
      <c r="S24" s="91"/>
      <c r="T24" s="29"/>
      <c r="U24" s="29"/>
      <c r="V24" s="29"/>
      <c r="W24" s="87"/>
    </row>
    <row r="25" spans="1:23" ht="15.75" customHeight="1">
      <c r="A25" s="45">
        <v>4</v>
      </c>
      <c r="B25" s="34" t="s">
        <v>133</v>
      </c>
      <c r="C25" s="34" t="s">
        <v>1802</v>
      </c>
      <c r="D25" s="34"/>
      <c r="E25" s="34">
        <f>E20</f>
        <v>19.649999999999999</v>
      </c>
      <c r="F25" s="36"/>
      <c r="G25" s="36"/>
      <c r="H25" s="36"/>
      <c r="I25" s="36"/>
      <c r="J25" s="36"/>
      <c r="K25" s="36"/>
      <c r="L25" s="36"/>
      <c r="M25" s="36"/>
      <c r="N25" s="36"/>
      <c r="O25" s="36"/>
      <c r="P25" s="36"/>
      <c r="Q25" s="36"/>
      <c r="R25" s="36"/>
      <c r="S25" s="35">
        <f>SUM(S21:S22)</f>
        <v>33.49042399999999</v>
      </c>
      <c r="T25" s="35">
        <f>D20-($G$6*G22+$H$6*H22)</f>
        <v>17.631999999999998</v>
      </c>
      <c r="U25" s="35">
        <f>M22*0.12</f>
        <v>0</v>
      </c>
      <c r="V25" s="35">
        <f>O22*0.7</f>
        <v>0</v>
      </c>
      <c r="W25" s="88">
        <v>0</v>
      </c>
    </row>
    <row r="26" spans="1:23" ht="15.75" customHeight="1">
      <c r="A26" s="41">
        <v>5</v>
      </c>
      <c r="B26" s="15" t="s">
        <v>1803</v>
      </c>
      <c r="C26" s="15" t="s">
        <v>1804</v>
      </c>
      <c r="D26" s="30">
        <v>15.55</v>
      </c>
      <c r="E26" s="30">
        <v>14.54</v>
      </c>
      <c r="F26" s="15"/>
      <c r="G26" s="29"/>
      <c r="H26" s="29"/>
      <c r="I26" s="29"/>
      <c r="J26" s="29"/>
      <c r="K26" s="29"/>
      <c r="L26" s="29"/>
      <c r="M26" s="29"/>
      <c r="N26" s="29"/>
      <c r="O26" s="29"/>
      <c r="P26" s="29"/>
      <c r="Q26" s="29"/>
      <c r="R26" s="29"/>
      <c r="S26" s="29"/>
      <c r="T26" s="29"/>
      <c r="U26" s="29"/>
      <c r="V26" s="29"/>
      <c r="W26" s="90"/>
    </row>
    <row r="27" spans="1:23" ht="15.75" customHeight="1">
      <c r="A27" s="41">
        <v>6</v>
      </c>
      <c r="B27" s="15"/>
      <c r="C27" s="15" t="s">
        <v>1794</v>
      </c>
      <c r="D27" s="30">
        <v>0</v>
      </c>
      <c r="E27" s="30">
        <v>0</v>
      </c>
      <c r="F27" s="15">
        <f>3-0.1-0.012-0.1-0.065-0.1</f>
        <v>2.6229999999999998</v>
      </c>
      <c r="G27" s="29"/>
      <c r="H27" s="29"/>
      <c r="I27" s="29"/>
      <c r="J27" s="29"/>
      <c r="K27" s="29"/>
      <c r="L27" s="29"/>
      <c r="M27" s="29"/>
      <c r="N27" s="29"/>
      <c r="O27" s="29"/>
      <c r="P27" s="29"/>
      <c r="Q27" s="29"/>
      <c r="R27" s="29"/>
      <c r="S27" s="16">
        <f>D27*F27</f>
        <v>0</v>
      </c>
      <c r="T27" s="29"/>
      <c r="U27" s="29"/>
      <c r="V27" s="29"/>
      <c r="W27" s="87"/>
    </row>
    <row r="28" spans="1:23" ht="15.75" customHeight="1">
      <c r="A28" s="41">
        <v>7</v>
      </c>
      <c r="B28" s="15"/>
      <c r="C28" s="15" t="s">
        <v>1805</v>
      </c>
      <c r="D28" s="32">
        <f>D26-D27</f>
        <v>15.55</v>
      </c>
      <c r="E28" s="32">
        <f>E26-E27</f>
        <v>14.54</v>
      </c>
      <c r="F28" s="15">
        <f>3-0.1-0.012-0.1-0.065-0.1</f>
        <v>2.6229999999999998</v>
      </c>
      <c r="G28" s="30">
        <v>1</v>
      </c>
      <c r="H28" s="15">
        <v>0</v>
      </c>
      <c r="I28" s="29"/>
      <c r="J28" s="29"/>
      <c r="K28" s="29"/>
      <c r="L28" s="30">
        <v>2.6</v>
      </c>
      <c r="M28" s="30">
        <v>0</v>
      </c>
      <c r="N28" s="30">
        <v>0</v>
      </c>
      <c r="O28" s="30">
        <v>0</v>
      </c>
      <c r="P28" s="30">
        <v>0</v>
      </c>
      <c r="Q28" s="30">
        <v>0</v>
      </c>
      <c r="R28" s="30">
        <v>0</v>
      </c>
      <c r="S28" s="16">
        <f>D28*F28-(G28*$G$7+H28*$H$7+I28*$I$7+J28*$J$7+K28*$K$7+L28*$L$7)-M28*N28-O28*P28+Q28+R28</f>
        <v>32.627282000000001</v>
      </c>
      <c r="T28" s="29"/>
      <c r="U28" s="29"/>
      <c r="V28" s="29"/>
      <c r="W28" s="87"/>
    </row>
    <row r="29" spans="1:23" ht="15.75" customHeight="1">
      <c r="A29" s="41"/>
      <c r="B29" s="15"/>
      <c r="C29" s="44" t="s">
        <v>285</v>
      </c>
      <c r="D29" s="42">
        <v>15.49</v>
      </c>
      <c r="E29" s="43"/>
      <c r="F29" s="29"/>
      <c r="G29" s="29"/>
      <c r="H29" s="29"/>
      <c r="I29" s="29"/>
      <c r="J29" s="29"/>
      <c r="K29" s="29"/>
      <c r="L29" s="29"/>
      <c r="M29" s="29"/>
      <c r="N29" s="29"/>
      <c r="O29" s="29"/>
      <c r="P29" s="29"/>
      <c r="Q29" s="29"/>
      <c r="R29" s="29"/>
      <c r="S29" s="91"/>
      <c r="T29" s="29"/>
      <c r="U29" s="29"/>
      <c r="V29" s="29"/>
      <c r="W29" s="87"/>
    </row>
    <row r="30" spans="1:23" ht="15.75" customHeight="1">
      <c r="A30" s="46">
        <v>8</v>
      </c>
      <c r="B30" s="47" t="s">
        <v>246</v>
      </c>
      <c r="C30" s="34" t="s">
        <v>1806</v>
      </c>
      <c r="D30" s="34"/>
      <c r="E30" s="34">
        <f>E26</f>
        <v>14.54</v>
      </c>
      <c r="F30" s="36"/>
      <c r="G30" s="36"/>
      <c r="H30" s="36"/>
      <c r="I30" s="36"/>
      <c r="J30" s="36"/>
      <c r="K30" s="36"/>
      <c r="L30" s="36"/>
      <c r="M30" s="36"/>
      <c r="N30" s="36"/>
      <c r="O30" s="36"/>
      <c r="P30" s="36"/>
      <c r="Q30" s="36"/>
      <c r="R30" s="36"/>
      <c r="S30" s="35">
        <f>SUM(S27:S28)</f>
        <v>32.627282000000001</v>
      </c>
      <c r="T30" s="35">
        <f>D26-($G$6*G28+$H$6*H28)</f>
        <v>14.556000000000001</v>
      </c>
      <c r="U30" s="35">
        <f>M28*0.12</f>
        <v>0</v>
      </c>
      <c r="V30" s="35">
        <f>O28*0.7</f>
        <v>0</v>
      </c>
      <c r="W30" s="88">
        <v>0</v>
      </c>
    </row>
    <row r="31" spans="1:23" ht="15.75" customHeight="1">
      <c r="A31" s="41">
        <v>9</v>
      </c>
      <c r="B31" s="15" t="s">
        <v>1807</v>
      </c>
      <c r="C31" s="15" t="s">
        <v>1808</v>
      </c>
      <c r="D31" s="30">
        <v>0</v>
      </c>
      <c r="E31" s="30">
        <v>0</v>
      </c>
      <c r="F31" s="15">
        <v>0</v>
      </c>
      <c r="G31" s="29"/>
      <c r="H31" s="29"/>
      <c r="I31" s="29"/>
      <c r="J31" s="29"/>
      <c r="K31" s="29"/>
      <c r="L31" s="29"/>
      <c r="M31" s="29"/>
      <c r="N31" s="29"/>
      <c r="O31" s="29"/>
      <c r="P31" s="29"/>
      <c r="Q31" s="29"/>
      <c r="R31" s="29"/>
      <c r="S31" s="29"/>
      <c r="T31" s="29"/>
      <c r="U31" s="29"/>
      <c r="V31" s="29"/>
      <c r="W31" s="90"/>
    </row>
    <row r="32" spans="1:23" ht="15.75" customHeight="1">
      <c r="A32" s="41">
        <v>10</v>
      </c>
      <c r="B32" s="15"/>
      <c r="C32" s="15" t="s">
        <v>1794</v>
      </c>
      <c r="D32" s="30">
        <v>0</v>
      </c>
      <c r="E32" s="30">
        <v>0</v>
      </c>
      <c r="F32" s="15">
        <v>0</v>
      </c>
      <c r="G32" s="29"/>
      <c r="H32" s="29"/>
      <c r="I32" s="29"/>
      <c r="J32" s="29"/>
      <c r="K32" s="29"/>
      <c r="L32" s="29"/>
      <c r="M32" s="29"/>
      <c r="N32" s="29"/>
      <c r="O32" s="29"/>
      <c r="P32" s="29"/>
      <c r="Q32" s="29"/>
      <c r="R32" s="29"/>
      <c r="S32" s="16">
        <f>D32*F32</f>
        <v>0</v>
      </c>
      <c r="T32" s="29"/>
      <c r="U32" s="29"/>
      <c r="V32" s="29"/>
      <c r="W32" s="87"/>
    </row>
    <row r="33" spans="1:23" ht="15.75" customHeight="1">
      <c r="A33" s="41">
        <v>11</v>
      </c>
      <c r="B33" s="15"/>
      <c r="C33" s="15" t="s">
        <v>1809</v>
      </c>
      <c r="D33" s="32">
        <f>D31-D32</f>
        <v>0</v>
      </c>
      <c r="E33" s="32">
        <f>E31-E32</f>
        <v>0</v>
      </c>
      <c r="F33" s="15">
        <v>0</v>
      </c>
      <c r="G33" s="30">
        <v>0</v>
      </c>
      <c r="H33" s="15"/>
      <c r="I33" s="29"/>
      <c r="J33" s="29"/>
      <c r="K33" s="29"/>
      <c r="L33" s="29"/>
      <c r="M33" s="30">
        <v>0</v>
      </c>
      <c r="N33" s="30">
        <v>0</v>
      </c>
      <c r="O33" s="30">
        <v>0</v>
      </c>
      <c r="P33" s="30">
        <v>0</v>
      </c>
      <c r="Q33" s="30">
        <v>0</v>
      </c>
      <c r="R33" s="30">
        <v>0</v>
      </c>
      <c r="S33" s="16">
        <f>D33*F33-(G33*$G$7+H33*$H$7+I33*$I$7+J33*$J$7+K33*$K$7+L33*$L$7)-M33*N33-O33*P33+Q33+R33</f>
        <v>0</v>
      </c>
      <c r="T33" s="29"/>
      <c r="U33" s="29"/>
      <c r="V33" s="29"/>
      <c r="W33" s="87"/>
    </row>
    <row r="34" spans="1:23" ht="15.75" customHeight="1">
      <c r="A34" s="41"/>
      <c r="B34" s="15"/>
      <c r="C34" s="44" t="s">
        <v>285</v>
      </c>
      <c r="D34" s="42">
        <v>0</v>
      </c>
      <c r="E34" s="43"/>
      <c r="F34" s="29"/>
      <c r="G34" s="29"/>
      <c r="H34" s="29"/>
      <c r="I34" s="29"/>
      <c r="J34" s="29"/>
      <c r="K34" s="29"/>
      <c r="L34" s="29"/>
      <c r="M34" s="29"/>
      <c r="N34" s="29"/>
      <c r="O34" s="29"/>
      <c r="P34" s="29"/>
      <c r="Q34" s="29"/>
      <c r="R34" s="29"/>
      <c r="S34" s="91"/>
      <c r="T34" s="29"/>
      <c r="U34" s="29"/>
      <c r="V34" s="29"/>
      <c r="W34" s="87"/>
    </row>
    <row r="35" spans="1:23" ht="15.75" customHeight="1">
      <c r="A35" s="46">
        <v>12</v>
      </c>
      <c r="B35" s="47" t="s">
        <v>136</v>
      </c>
      <c r="C35" s="34" t="s">
        <v>1810</v>
      </c>
      <c r="D35" s="34"/>
      <c r="E35" s="34">
        <f>E31</f>
        <v>0</v>
      </c>
      <c r="F35" s="36"/>
      <c r="G35" s="36"/>
      <c r="H35" s="36"/>
      <c r="I35" s="36"/>
      <c r="J35" s="36"/>
      <c r="K35" s="36"/>
      <c r="L35" s="36"/>
      <c r="M35" s="36"/>
      <c r="N35" s="36"/>
      <c r="O35" s="36"/>
      <c r="P35" s="36"/>
      <c r="Q35" s="36"/>
      <c r="R35" s="36"/>
      <c r="S35" s="35">
        <f>SUM(S32:S33)</f>
        <v>0</v>
      </c>
      <c r="T35" s="35">
        <f>D31-($G$6*G33+$H$6*H33)</f>
        <v>0</v>
      </c>
      <c r="U35" s="35">
        <f>M33*0.12</f>
        <v>0</v>
      </c>
      <c r="V35" s="35">
        <f>O33*0.7</f>
        <v>0</v>
      </c>
      <c r="W35" s="88">
        <v>0</v>
      </c>
    </row>
    <row r="36" spans="1:23" ht="15.75" customHeight="1">
      <c r="A36" s="46">
        <v>13</v>
      </c>
      <c r="B36" s="47"/>
      <c r="C36" s="34" t="s">
        <v>1811</v>
      </c>
      <c r="D36" s="47"/>
      <c r="E36" s="35">
        <f>E25+E30+E35</f>
        <v>34.19</v>
      </c>
      <c r="F36" s="47"/>
      <c r="G36" s="47"/>
      <c r="H36" s="47"/>
      <c r="I36" s="47"/>
      <c r="J36" s="47"/>
      <c r="K36" s="47"/>
      <c r="L36" s="47"/>
      <c r="M36" s="47"/>
      <c r="N36" s="47"/>
      <c r="O36" s="47"/>
      <c r="P36" s="47"/>
      <c r="Q36" s="47"/>
      <c r="R36" s="47"/>
      <c r="S36" s="35">
        <f t="shared" ref="S36" si="0">S25+S30+S35</f>
        <v>66.117705999999998</v>
      </c>
      <c r="T36" s="35">
        <f>T25+T30+T35</f>
        <v>32.188000000000002</v>
      </c>
      <c r="U36" s="35">
        <f>U25+U30+U35</f>
        <v>0</v>
      </c>
      <c r="V36" s="35">
        <f>V25+V30+V35</f>
        <v>0</v>
      </c>
      <c r="W36" s="35">
        <f>W25+W30+W35</f>
        <v>0</v>
      </c>
    </row>
    <row r="37" spans="1:23" ht="24.75" customHeight="1">
      <c r="A37" s="37" t="s">
        <v>60</v>
      </c>
      <c r="B37" s="38"/>
      <c r="C37" s="39" t="s">
        <v>1812</v>
      </c>
      <c r="D37" s="38"/>
      <c r="E37" s="38"/>
      <c r="F37" s="38"/>
      <c r="G37" s="40"/>
      <c r="H37" s="40"/>
      <c r="I37" s="40"/>
      <c r="J37" s="40"/>
      <c r="K37" s="40"/>
      <c r="L37" s="40"/>
      <c r="M37" s="40"/>
      <c r="N37" s="40"/>
      <c r="O37" s="40"/>
      <c r="P37" s="40"/>
      <c r="Q37" s="40"/>
      <c r="R37" s="38"/>
      <c r="S37" s="38">
        <v>0</v>
      </c>
      <c r="T37" s="38"/>
      <c r="U37" s="40"/>
      <c r="V37" s="40"/>
      <c r="W37" s="89"/>
    </row>
    <row r="38" spans="1:23" ht="15.75" customHeight="1">
      <c r="A38" s="48">
        <v>7</v>
      </c>
      <c r="B38" s="49"/>
      <c r="C38" s="49" t="s">
        <v>634</v>
      </c>
      <c r="D38" s="32">
        <v>0</v>
      </c>
      <c r="E38" s="32">
        <v>0</v>
      </c>
      <c r="F38" s="49">
        <v>2.73</v>
      </c>
      <c r="G38" s="49">
        <v>1</v>
      </c>
      <c r="H38" s="49"/>
      <c r="I38" s="81"/>
      <c r="J38" s="81"/>
      <c r="K38" s="81"/>
      <c r="L38" s="81"/>
      <c r="M38" s="81"/>
      <c r="N38" s="81"/>
      <c r="O38" s="81"/>
      <c r="P38" s="81"/>
      <c r="Q38" s="81"/>
      <c r="R38" s="81"/>
      <c r="S38" s="32">
        <f>(D38*F38-G7*G38-H7*H38)*S37</f>
        <v>0</v>
      </c>
      <c r="T38" s="43">
        <f>(D38-G6)*S37</f>
        <v>0</v>
      </c>
      <c r="U38" s="81"/>
      <c r="V38" s="81"/>
      <c r="W38" s="92"/>
    </row>
    <row r="39" spans="1:23" ht="33.75" customHeight="1">
      <c r="A39" s="50"/>
      <c r="B39" s="51"/>
      <c r="C39" s="51"/>
      <c r="D39" s="51"/>
      <c r="E39" s="51"/>
      <c r="F39" s="51"/>
      <c r="G39" s="51"/>
      <c r="H39" s="51"/>
      <c r="I39" s="51"/>
      <c r="J39" s="51"/>
      <c r="K39" s="51"/>
      <c r="L39" s="51"/>
      <c r="M39" s="51"/>
      <c r="N39" s="51"/>
      <c r="O39" s="51"/>
      <c r="P39" s="51"/>
      <c r="Q39" s="51"/>
      <c r="R39" s="51"/>
      <c r="S39" s="51"/>
      <c r="T39" s="51"/>
      <c r="U39" s="51"/>
      <c r="V39" s="51"/>
    </row>
    <row r="40" spans="1:23" ht="22.5" customHeight="1">
      <c r="A40" s="994" t="s">
        <v>54</v>
      </c>
      <c r="B40" s="990" t="s">
        <v>1758</v>
      </c>
      <c r="C40" s="990" t="s">
        <v>1767</v>
      </c>
      <c r="D40" s="14" t="s">
        <v>1768</v>
      </c>
      <c r="E40" s="14" t="s">
        <v>1769</v>
      </c>
      <c r="F40" s="998" t="s">
        <v>1813</v>
      </c>
      <c r="G40" s="15" t="s">
        <v>1771</v>
      </c>
      <c r="H40" s="999" t="s">
        <v>1773</v>
      </c>
      <c r="I40" s="999"/>
      <c r="J40" s="999" t="s">
        <v>1774</v>
      </c>
      <c r="K40" s="999"/>
      <c r="L40" s="15" t="s">
        <v>315</v>
      </c>
      <c r="M40" s="15" t="s">
        <v>1814</v>
      </c>
      <c r="N40" s="82" t="s">
        <v>1815</v>
      </c>
      <c r="O40" s="15" t="s">
        <v>1816</v>
      </c>
      <c r="P40" s="15"/>
      <c r="Q40" s="988" t="s">
        <v>1817</v>
      </c>
      <c r="R40" s="988" t="s">
        <v>1818</v>
      </c>
      <c r="S40" s="988" t="s">
        <v>1819</v>
      </c>
      <c r="T40" s="988" t="s">
        <v>1820</v>
      </c>
      <c r="U40" s="52" t="s">
        <v>275</v>
      </c>
      <c r="V40" s="52" t="s">
        <v>335</v>
      </c>
      <c r="W40" s="52" t="s">
        <v>338</v>
      </c>
    </row>
    <row r="41" spans="1:23" ht="24" customHeight="1">
      <c r="A41" s="994"/>
      <c r="B41" s="990"/>
      <c r="C41" s="990"/>
      <c r="D41" s="988" t="s">
        <v>1780</v>
      </c>
      <c r="E41" s="988"/>
      <c r="F41" s="998"/>
      <c r="G41" s="14" t="s">
        <v>1482</v>
      </c>
      <c r="H41" s="15" t="s">
        <v>1821</v>
      </c>
      <c r="I41" s="15" t="s">
        <v>1822</v>
      </c>
      <c r="J41" s="15" t="s">
        <v>1821</v>
      </c>
      <c r="K41" s="15" t="s">
        <v>1822</v>
      </c>
      <c r="L41" s="15" t="s">
        <v>1823</v>
      </c>
      <c r="M41" s="15" t="s">
        <v>1823</v>
      </c>
      <c r="N41" s="15" t="s">
        <v>1823</v>
      </c>
      <c r="O41" s="15" t="s">
        <v>1824</v>
      </c>
      <c r="P41" s="15"/>
      <c r="Q41" s="988"/>
      <c r="R41" s="988"/>
      <c r="S41" s="988"/>
      <c r="T41" s="988"/>
      <c r="U41" s="15" t="s">
        <v>1823</v>
      </c>
      <c r="V41" s="93" t="s">
        <v>336</v>
      </c>
      <c r="W41" s="93" t="s">
        <v>231</v>
      </c>
    </row>
    <row r="42" spans="1:23" ht="24.75" customHeight="1">
      <c r="A42" s="994"/>
      <c r="B42" s="990"/>
      <c r="C42" s="990"/>
      <c r="D42" s="14" t="s">
        <v>235</v>
      </c>
      <c r="E42" s="14" t="s">
        <v>1092</v>
      </c>
      <c r="F42" s="998"/>
      <c r="G42" s="16"/>
      <c r="H42" s="15"/>
      <c r="I42" s="15"/>
      <c r="J42" s="15"/>
      <c r="K42" s="15"/>
      <c r="L42" s="15"/>
      <c r="M42" s="15"/>
      <c r="N42" s="15"/>
      <c r="O42" s="15"/>
      <c r="P42" s="15"/>
      <c r="Q42" s="988"/>
      <c r="R42" s="988"/>
      <c r="S42" s="988"/>
      <c r="T42" s="988"/>
      <c r="U42" s="15"/>
      <c r="V42" s="15"/>
      <c r="W42" s="94"/>
    </row>
    <row r="43" spans="1:23" ht="24" customHeight="1">
      <c r="A43" s="53" t="s">
        <v>62</v>
      </c>
      <c r="B43" s="54"/>
      <c r="C43" s="54" t="s">
        <v>299</v>
      </c>
      <c r="D43" s="54"/>
      <c r="E43" s="54"/>
      <c r="F43" s="54"/>
      <c r="G43" s="54"/>
      <c r="H43" s="54"/>
      <c r="I43" s="54"/>
      <c r="J43" s="54"/>
      <c r="K43" s="54"/>
      <c r="L43" s="54"/>
      <c r="M43" s="54"/>
      <c r="N43" s="54"/>
      <c r="O43" s="54"/>
      <c r="P43" s="54"/>
      <c r="Q43" s="54"/>
      <c r="R43" s="54"/>
      <c r="S43" s="54"/>
      <c r="T43" s="54"/>
      <c r="U43" s="54"/>
      <c r="V43" s="54"/>
      <c r="W43" s="95"/>
    </row>
    <row r="44" spans="1:23" ht="24" customHeight="1">
      <c r="A44" s="55">
        <v>1</v>
      </c>
      <c r="B44" s="56"/>
      <c r="C44" s="56" t="s">
        <v>1825</v>
      </c>
      <c r="D44" s="30">
        <v>8.83</v>
      </c>
      <c r="E44" s="30">
        <v>4.22</v>
      </c>
      <c r="F44" s="30">
        <f>2.33+0.02</f>
        <v>2.35</v>
      </c>
      <c r="G44" s="30">
        <v>1</v>
      </c>
      <c r="H44" s="30">
        <v>0</v>
      </c>
      <c r="I44" s="30">
        <v>0</v>
      </c>
      <c r="J44" s="30">
        <v>0</v>
      </c>
      <c r="K44" s="30">
        <v>0</v>
      </c>
      <c r="L44" s="30">
        <v>0.82</v>
      </c>
      <c r="M44" s="30">
        <v>0.91</v>
      </c>
      <c r="N44" s="30">
        <v>0</v>
      </c>
      <c r="O44" s="30">
        <v>1.55</v>
      </c>
      <c r="P44" s="30"/>
      <c r="Q44" s="56"/>
      <c r="R44" s="96">
        <f>D44*1.8+D45*1.8-$H$6*G44*1.8-(1.8-0.9)*H44+(H44+(1.8-0.9)*2)*0.1</f>
        <v>14.5548</v>
      </c>
      <c r="S44" s="97">
        <f>D44*F44+D45*F45-$H$7*G44-H44*I44+(H44+I44)*2*0.1</f>
        <v>18.832932000000003</v>
      </c>
      <c r="T44" s="97">
        <f>E44+(D44+D45-$H$6)*0.15</f>
        <v>5.4178999999999995</v>
      </c>
      <c r="U44" s="56"/>
      <c r="V44" s="56"/>
      <c r="W44" s="98"/>
    </row>
    <row r="45" spans="1:23" ht="24" customHeight="1">
      <c r="A45" s="55"/>
      <c r="B45" s="56"/>
      <c r="C45" s="56"/>
      <c r="D45" s="30"/>
      <c r="E45" s="30"/>
      <c r="F45" s="30"/>
      <c r="G45" s="30"/>
      <c r="H45" s="30"/>
      <c r="I45" s="30"/>
      <c r="J45" s="30"/>
      <c r="K45" s="30"/>
      <c r="L45" s="30"/>
      <c r="M45" s="30"/>
      <c r="N45" s="30"/>
      <c r="O45" s="30"/>
      <c r="P45" s="30"/>
      <c r="Q45" s="56"/>
      <c r="R45" s="96"/>
      <c r="S45" s="96"/>
      <c r="T45" s="96"/>
      <c r="U45" s="56"/>
      <c r="V45" s="56"/>
      <c r="W45" s="98"/>
    </row>
    <row r="46" spans="1:23" ht="24" customHeight="1">
      <c r="A46" s="55">
        <v>2</v>
      </c>
      <c r="B46" s="56"/>
      <c r="C46" s="56" t="s">
        <v>1826</v>
      </c>
      <c r="D46" s="30">
        <v>8.8800000000000008</v>
      </c>
      <c r="E46" s="30">
        <v>4.6500000000000004</v>
      </c>
      <c r="F46" s="30">
        <v>2.35</v>
      </c>
      <c r="G46" s="30">
        <v>1</v>
      </c>
      <c r="H46" s="30">
        <v>0.65</v>
      </c>
      <c r="I46" s="30">
        <v>1.39</v>
      </c>
      <c r="J46" s="30">
        <v>0</v>
      </c>
      <c r="K46" s="30">
        <v>0</v>
      </c>
      <c r="L46" s="30">
        <v>1.37</v>
      </c>
      <c r="M46" s="30">
        <v>1.46</v>
      </c>
      <c r="N46" s="30">
        <v>0</v>
      </c>
      <c r="O46" s="30">
        <v>1.63</v>
      </c>
      <c r="P46" s="30"/>
      <c r="Q46" s="56"/>
      <c r="R46" s="96">
        <f>D46*1.8+D47*1.8-$H$6*G46*1.8-(1.8-0.9)*H46+(H46+(1.8-0.9)*2)*0.1</f>
        <v>14.1248</v>
      </c>
      <c r="S46" s="97">
        <f>D46*F46+D47*F47-$H$7*G46-H46*I46+(H46+I46)*2*0.1</f>
        <v>18.454932000000003</v>
      </c>
      <c r="T46" s="97">
        <f>E46+(D46+D47-$H$6)*0.15</f>
        <v>5.8554000000000004</v>
      </c>
      <c r="U46" s="56"/>
      <c r="V46" s="56">
        <f>0.06*0.25*2.35</f>
        <v>3.5249999999999997E-2</v>
      </c>
      <c r="W46" s="98">
        <f>(0.06+0.25*2)*2.35</f>
        <v>1.3160000000000003</v>
      </c>
    </row>
    <row r="47" spans="1:23" ht="24" customHeight="1">
      <c r="A47" s="55"/>
      <c r="B47" s="56"/>
      <c r="C47" s="56"/>
      <c r="D47" s="30"/>
      <c r="E47" s="30"/>
      <c r="F47" s="30"/>
      <c r="G47" s="30"/>
      <c r="H47" s="30"/>
      <c r="I47" s="30"/>
      <c r="J47" s="30"/>
      <c r="K47" s="30"/>
      <c r="L47" s="30"/>
      <c r="M47" s="30"/>
      <c r="N47" s="30"/>
      <c r="O47" s="30"/>
      <c r="P47" s="30"/>
      <c r="Q47" s="56"/>
      <c r="R47" s="96"/>
      <c r="S47" s="96"/>
      <c r="T47" s="96"/>
      <c r="U47" s="56"/>
      <c r="V47" s="56"/>
      <c r="W47" s="98"/>
    </row>
    <row r="48" spans="1:23" ht="24" customHeight="1">
      <c r="A48" s="46">
        <v>3</v>
      </c>
      <c r="B48" s="47"/>
      <c r="C48" s="34" t="s">
        <v>1827</v>
      </c>
      <c r="D48" s="47"/>
      <c r="E48" s="35">
        <f>E44+E46</f>
        <v>8.870000000000001</v>
      </c>
      <c r="F48" s="35"/>
      <c r="G48" s="35"/>
      <c r="H48" s="35"/>
      <c r="I48" s="35"/>
      <c r="J48" s="35"/>
      <c r="K48" s="35"/>
      <c r="L48" s="35">
        <f t="shared" ref="L48" si="1">SUM(L44:L46)</f>
        <v>2.19</v>
      </c>
      <c r="M48" s="35">
        <f t="shared" ref="M48:W48" si="2">SUM(M44:M46)</f>
        <v>2.37</v>
      </c>
      <c r="N48" s="35">
        <f t="shared" si="2"/>
        <v>0</v>
      </c>
      <c r="O48" s="35">
        <f t="shared" si="2"/>
        <v>3.1799999999999997</v>
      </c>
      <c r="P48" s="35">
        <f t="shared" si="2"/>
        <v>0</v>
      </c>
      <c r="Q48" s="35">
        <f t="shared" si="2"/>
        <v>0</v>
      </c>
      <c r="R48" s="35">
        <f t="shared" si="2"/>
        <v>28.679600000000001</v>
      </c>
      <c r="S48" s="35">
        <f t="shared" si="2"/>
        <v>37.287864000000006</v>
      </c>
      <c r="T48" s="35">
        <f t="shared" si="2"/>
        <v>11.273299999999999</v>
      </c>
      <c r="U48" s="35">
        <f t="shared" si="2"/>
        <v>0</v>
      </c>
      <c r="V48" s="35">
        <f t="shared" si="2"/>
        <v>3.5249999999999997E-2</v>
      </c>
      <c r="W48" s="35">
        <f t="shared" si="2"/>
        <v>1.3160000000000003</v>
      </c>
    </row>
    <row r="49" spans="1:23" ht="24" customHeight="1">
      <c r="A49" s="57"/>
      <c r="B49" s="58"/>
      <c r="C49" s="59"/>
      <c r="D49" s="58"/>
      <c r="E49" s="60"/>
      <c r="F49" s="60"/>
      <c r="G49" s="60"/>
      <c r="H49" s="60"/>
      <c r="I49" s="60"/>
      <c r="J49" s="60"/>
      <c r="K49" s="60"/>
      <c r="L49" s="60"/>
      <c r="M49" s="60"/>
      <c r="N49" s="60"/>
      <c r="O49" s="60"/>
      <c r="P49" s="60"/>
      <c r="Q49" s="60"/>
      <c r="R49" s="60"/>
      <c r="S49" s="60"/>
      <c r="T49" s="60"/>
      <c r="U49" s="60"/>
      <c r="V49" s="60"/>
      <c r="W49" s="99"/>
    </row>
    <row r="50" spans="1:23" ht="30" customHeight="1">
      <c r="A50" s="994" t="s">
        <v>54</v>
      </c>
      <c r="B50" s="990" t="s">
        <v>1758</v>
      </c>
      <c r="C50" s="990" t="s">
        <v>1767</v>
      </c>
      <c r="D50" s="14" t="s">
        <v>1768</v>
      </c>
      <c r="E50" s="14" t="s">
        <v>1769</v>
      </c>
      <c r="F50" s="998" t="s">
        <v>1813</v>
      </c>
      <c r="G50" s="61" t="s">
        <v>1771</v>
      </c>
      <c r="H50" s="62"/>
      <c r="I50" s="996" t="s">
        <v>1828</v>
      </c>
      <c r="J50" s="997"/>
      <c r="K50" s="988" t="s">
        <v>1829</v>
      </c>
      <c r="L50" s="988"/>
      <c r="M50" s="1003" t="s">
        <v>375</v>
      </c>
      <c r="N50" s="988" t="s">
        <v>1818</v>
      </c>
      <c r="O50" s="988" t="s">
        <v>1819</v>
      </c>
      <c r="P50" s="988" t="s">
        <v>1830</v>
      </c>
      <c r="Q50" s="988" t="s">
        <v>1831</v>
      </c>
      <c r="R50" s="988" t="s">
        <v>1832</v>
      </c>
      <c r="S50" s="102" t="s">
        <v>1418</v>
      </c>
      <c r="T50" s="102" t="s">
        <v>1482</v>
      </c>
      <c r="U50" s="15"/>
      <c r="V50" s="15"/>
      <c r="W50" s="82"/>
    </row>
    <row r="51" spans="1:23" ht="35.25" customHeight="1">
      <c r="A51" s="994"/>
      <c r="B51" s="990"/>
      <c r="C51" s="990"/>
      <c r="D51" s="988" t="s">
        <v>1780</v>
      </c>
      <c r="E51" s="988"/>
      <c r="F51" s="998"/>
      <c r="G51" s="14" t="s">
        <v>1782</v>
      </c>
      <c r="H51" s="14" t="s">
        <v>1783</v>
      </c>
      <c r="I51" s="14" t="s">
        <v>1833</v>
      </c>
      <c r="J51" s="15" t="s">
        <v>1834</v>
      </c>
      <c r="K51" s="14" t="s">
        <v>1833</v>
      </c>
      <c r="L51" s="15" t="s">
        <v>1834</v>
      </c>
      <c r="M51" s="1004"/>
      <c r="N51" s="988"/>
      <c r="O51" s="988"/>
      <c r="P51" s="988"/>
      <c r="Q51" s="988"/>
      <c r="R51" s="988"/>
      <c r="S51" s="16">
        <v>1.1599999999999999</v>
      </c>
      <c r="T51" s="16">
        <v>0.79</v>
      </c>
      <c r="U51" s="15"/>
      <c r="V51" s="15"/>
      <c r="W51" s="15"/>
    </row>
    <row r="52" spans="1:23" ht="24.75" customHeight="1">
      <c r="A52" s="994"/>
      <c r="B52" s="990"/>
      <c r="C52" s="990"/>
      <c r="D52" s="14" t="s">
        <v>235</v>
      </c>
      <c r="E52" s="14" t="s">
        <v>1092</v>
      </c>
      <c r="F52" s="998"/>
      <c r="G52" s="16"/>
      <c r="H52" s="15"/>
      <c r="I52" s="15" t="s">
        <v>1823</v>
      </c>
      <c r="J52" s="15" t="s">
        <v>1823</v>
      </c>
      <c r="K52" s="15" t="s">
        <v>1823</v>
      </c>
      <c r="L52" s="15" t="s">
        <v>1823</v>
      </c>
      <c r="M52" s="17" t="s">
        <v>1092</v>
      </c>
      <c r="N52" s="988"/>
      <c r="O52" s="988"/>
      <c r="P52" s="15" t="s">
        <v>1835</v>
      </c>
      <c r="Q52" s="15" t="s">
        <v>1835</v>
      </c>
      <c r="R52" s="15" t="s">
        <v>1835</v>
      </c>
      <c r="S52" s="18">
        <f>1.16*2.18</f>
        <v>2.5287999999999999</v>
      </c>
      <c r="T52" s="18">
        <f>0.79*2.17</f>
        <v>1.7142999999999999</v>
      </c>
      <c r="U52" s="15"/>
      <c r="V52" s="15"/>
      <c r="W52" s="94"/>
    </row>
    <row r="53" spans="1:23" ht="24" customHeight="1">
      <c r="A53" s="53" t="s">
        <v>64</v>
      </c>
      <c r="B53" s="54"/>
      <c r="C53" s="54" t="s">
        <v>1354</v>
      </c>
      <c r="D53" s="54"/>
      <c r="E53" s="54"/>
      <c r="F53" s="54"/>
      <c r="G53" s="54"/>
      <c r="H53" s="54"/>
      <c r="I53" s="54"/>
      <c r="J53" s="54"/>
      <c r="K53" s="54"/>
      <c r="L53" s="54"/>
      <c r="M53" s="54"/>
      <c r="N53" s="54"/>
      <c r="O53" s="54"/>
      <c r="P53" s="54"/>
      <c r="Q53" s="54"/>
      <c r="R53" s="54"/>
      <c r="S53" s="54"/>
      <c r="T53" s="54"/>
      <c r="U53" s="54"/>
      <c r="V53" s="54"/>
      <c r="W53" s="95"/>
    </row>
    <row r="54" spans="1:23" ht="19.5" customHeight="1">
      <c r="A54" s="63" t="s">
        <v>1836</v>
      </c>
      <c r="B54" s="64" t="s">
        <v>133</v>
      </c>
      <c r="C54" s="64" t="s">
        <v>1837</v>
      </c>
      <c r="D54" s="65">
        <v>10.68</v>
      </c>
      <c r="E54" s="65">
        <v>5.72</v>
      </c>
      <c r="F54" s="65">
        <f>2.4</f>
        <v>2.4</v>
      </c>
      <c r="G54" s="65">
        <v>0</v>
      </c>
      <c r="H54" s="65">
        <v>0</v>
      </c>
      <c r="I54" s="65">
        <v>0</v>
      </c>
      <c r="J54" s="65">
        <v>0</v>
      </c>
      <c r="K54" s="65">
        <v>0</v>
      </c>
      <c r="L54" s="65">
        <v>0</v>
      </c>
      <c r="M54" s="65">
        <f>2.66*0.82</f>
        <v>2.1812</v>
      </c>
      <c r="N54" s="83">
        <f>(D54-I6*G54-J6*H54-I54-K54-S51*S54-T51*T54)*1</f>
        <v>9.52</v>
      </c>
      <c r="O54" s="84">
        <f>D54*F54-I7*G54-J7*H54-I54*2.24-J54*1.19-K54*2.24-L54*1.32-M54+(2.24+I54+J54+1.19+J54)*0.1*P54+(2.24*2+K54)*0.1*Q54+(1.32*2+L54*2)*0.1*R54-S52*S54-T52*T54</f>
        <v>20.921999999999997</v>
      </c>
      <c r="P54" s="64">
        <v>0</v>
      </c>
      <c r="Q54" s="64">
        <v>0</v>
      </c>
      <c r="R54" s="64">
        <v>0</v>
      </c>
      <c r="S54" s="64">
        <v>1</v>
      </c>
      <c r="T54" s="64">
        <v>0</v>
      </c>
      <c r="U54" s="64"/>
      <c r="V54" s="64"/>
      <c r="W54" s="100"/>
    </row>
    <row r="55" spans="1:23" ht="30" customHeight="1">
      <c r="A55" s="41"/>
      <c r="B55" s="15"/>
      <c r="C55" s="52" t="s">
        <v>1838</v>
      </c>
      <c r="D55" s="15"/>
      <c r="E55" s="30">
        <v>1.35</v>
      </c>
      <c r="F55" s="15"/>
      <c r="G55" s="15"/>
      <c r="H55" s="15"/>
      <c r="I55" s="15"/>
      <c r="J55" s="15"/>
      <c r="K55" s="15"/>
      <c r="L55" s="15"/>
      <c r="M55" s="15"/>
      <c r="N55" s="15"/>
      <c r="O55" s="15"/>
      <c r="P55" s="15"/>
      <c r="Q55" s="15"/>
      <c r="R55" s="15"/>
      <c r="S55" s="15"/>
      <c r="T55" s="15"/>
      <c r="U55" s="15"/>
      <c r="V55" s="15"/>
      <c r="W55" s="101"/>
    </row>
    <row r="56" spans="1:23" ht="22.5" customHeight="1">
      <c r="A56" s="66"/>
      <c r="B56" s="67"/>
      <c r="C56" s="68" t="s">
        <v>1839</v>
      </c>
      <c r="D56" s="67"/>
      <c r="E56" s="69">
        <f>E54-E55</f>
        <v>4.3699999999999992</v>
      </c>
      <c r="F56" s="70"/>
      <c r="G56" s="70"/>
      <c r="H56" s="70"/>
      <c r="I56" s="70"/>
      <c r="J56" s="70"/>
      <c r="K56" s="70"/>
      <c r="L56" s="70"/>
      <c r="M56" s="70"/>
      <c r="N56" s="70"/>
      <c r="O56" s="70"/>
      <c r="P56" s="70"/>
      <c r="Q56" s="70"/>
      <c r="R56" s="70"/>
      <c r="S56" s="70"/>
      <c r="T56" s="67"/>
      <c r="U56" s="67"/>
      <c r="V56" s="67"/>
      <c r="W56" s="67"/>
    </row>
    <row r="57" spans="1:23" ht="22.5" customHeight="1">
      <c r="A57" s="71"/>
      <c r="B57" s="72"/>
      <c r="C57" s="73"/>
      <c r="D57" s="72"/>
      <c r="E57" s="74"/>
      <c r="F57" s="75"/>
      <c r="G57" s="76"/>
      <c r="H57" s="77"/>
      <c r="I57" s="76"/>
      <c r="J57" s="77"/>
      <c r="K57" s="75"/>
      <c r="L57" s="75"/>
      <c r="M57" s="75"/>
      <c r="N57" s="75"/>
      <c r="O57" s="75"/>
      <c r="P57" s="75"/>
      <c r="Q57" s="75"/>
      <c r="R57" s="75"/>
      <c r="S57" s="75"/>
      <c r="T57" s="72"/>
      <c r="U57" s="72"/>
      <c r="V57" s="72"/>
      <c r="W57" s="72"/>
    </row>
    <row r="58" spans="1:23" ht="19.5" customHeight="1">
      <c r="A58" s="3" t="s">
        <v>1840</v>
      </c>
      <c r="E58" s="4"/>
      <c r="F58" s="4"/>
      <c r="G58" s="4"/>
      <c r="H58" s="4"/>
      <c r="I58" s="4"/>
      <c r="J58" s="4"/>
      <c r="K58" s="4"/>
      <c r="L58" s="4"/>
      <c r="M58" s="4"/>
      <c r="N58" s="4"/>
      <c r="O58" s="4"/>
      <c r="P58" s="4"/>
      <c r="Q58" s="4"/>
      <c r="R58" s="4"/>
      <c r="S58" s="4"/>
    </row>
    <row r="59" spans="1:23" ht="19.5" customHeight="1">
      <c r="A59" s="3"/>
      <c r="E59" s="4"/>
      <c r="F59" s="4"/>
      <c r="G59" s="4"/>
      <c r="H59" s="4"/>
      <c r="I59" s="4"/>
      <c r="J59" s="4"/>
      <c r="K59" s="4"/>
      <c r="L59" s="4"/>
      <c r="M59" s="4"/>
      <c r="N59" s="4"/>
      <c r="O59" s="4"/>
      <c r="P59" s="4"/>
      <c r="Q59" s="4"/>
      <c r="R59" s="4"/>
      <c r="S59" s="4"/>
    </row>
  </sheetData>
  <mergeCells count="38">
    <mergeCell ref="T4:T7"/>
    <mergeCell ref="T40:T42"/>
    <mergeCell ref="W4:W7"/>
    <mergeCell ref="M4:N5"/>
    <mergeCell ref="O4:P5"/>
    <mergeCell ref="U4:V5"/>
    <mergeCell ref="R4:R7"/>
    <mergeCell ref="R40:R42"/>
    <mergeCell ref="R50:R51"/>
    <mergeCell ref="S4:S7"/>
    <mergeCell ref="S40:S42"/>
    <mergeCell ref="M50:M51"/>
    <mergeCell ref="N50:N52"/>
    <mergeCell ref="O50:O52"/>
    <mergeCell ref="P50:P51"/>
    <mergeCell ref="Q4:Q7"/>
    <mergeCell ref="Q40:Q42"/>
    <mergeCell ref="Q50:Q51"/>
    <mergeCell ref="C4:C7"/>
    <mergeCell ref="C40:C42"/>
    <mergeCell ref="C50:C52"/>
    <mergeCell ref="D5:E5"/>
    <mergeCell ref="F4:F7"/>
    <mergeCell ref="F40:F42"/>
    <mergeCell ref="F50:F52"/>
    <mergeCell ref="D51:E51"/>
    <mergeCell ref="A4:A7"/>
    <mergeCell ref="A40:A42"/>
    <mergeCell ref="A50:A52"/>
    <mergeCell ref="B4:B7"/>
    <mergeCell ref="B40:B42"/>
    <mergeCell ref="B50:B52"/>
    <mergeCell ref="G4:K4"/>
    <mergeCell ref="H40:I40"/>
    <mergeCell ref="J40:K40"/>
    <mergeCell ref="D41:E41"/>
    <mergeCell ref="I50:J50"/>
    <mergeCell ref="K50:L50"/>
  </mergeCells>
  <phoneticPr fontId="7" type="noConversion"/>
  <printOptions horizontalCentered="1"/>
  <pageMargins left="0.43307086614173229" right="0.23622047244094491" top="0.74803149606299213" bottom="0.74803149606299213" header="0.31496062992125984" footer="0.31496062992125984"/>
  <pageSetup paperSize="9" scale="85" orientation="portrait" blackAndWhite="1" r:id="rId1"/>
  <headerFooter alignWithMargins="0">
    <oddFooter>&amp;C第 &amp;P 页，共 &amp;N 页</oddFooter>
  </headerFooter>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W59"/>
  <sheetViews>
    <sheetView zoomScale="93" zoomScaleNormal="93" workbookViewId="0">
      <pane xSplit="5" ySplit="7" topLeftCell="F14" activePane="bottomRight" state="frozen"/>
      <selection activeCell="J6" sqref="J6"/>
      <selection pane="topRight" activeCell="J6" sqref="J6"/>
      <selection pane="bottomLeft" activeCell="J6" sqref="J6"/>
      <selection pane="bottomRight" activeCell="J6" sqref="J6"/>
    </sheetView>
  </sheetViews>
  <sheetFormatPr defaultColWidth="9.125" defaultRowHeight="14.25"/>
  <cols>
    <col min="1" max="1" width="6.875" customWidth="1"/>
    <col min="2" max="2" width="11.75" customWidth="1"/>
    <col min="3" max="3" width="28" customWidth="1"/>
    <col min="4" max="4" width="9.25" customWidth="1"/>
    <col min="5" max="5" width="11.75" customWidth="1"/>
    <col min="6" max="11" width="9.25" customWidth="1"/>
    <col min="12" max="12" width="10.25" customWidth="1"/>
    <col min="13" max="18" width="9.25" customWidth="1"/>
    <col min="19" max="19" width="9.75" customWidth="1"/>
    <col min="20" max="21" width="9.25" customWidth="1"/>
    <col min="22" max="22" width="9.375" customWidth="1"/>
  </cols>
  <sheetData>
    <row r="1" spans="1:23" ht="21" customHeight="1">
      <c r="A1" s="3"/>
      <c r="C1" s="1" t="s">
        <v>1755</v>
      </c>
      <c r="E1" s="4"/>
      <c r="F1" s="4"/>
      <c r="G1" s="4"/>
      <c r="H1" s="4"/>
      <c r="I1" s="4"/>
      <c r="J1" s="4"/>
      <c r="K1" s="4"/>
      <c r="L1" s="4"/>
      <c r="M1" s="4"/>
      <c r="N1" s="4"/>
      <c r="O1" s="4"/>
      <c r="P1" s="4"/>
      <c r="Q1" s="4"/>
      <c r="R1" s="4"/>
      <c r="S1" s="4"/>
    </row>
    <row r="2" spans="1:23" ht="21" customHeight="1">
      <c r="A2" s="5" t="s">
        <v>1756</v>
      </c>
      <c r="B2" s="6" t="s">
        <v>131</v>
      </c>
      <c r="C2" s="7"/>
      <c r="D2" s="8" t="s">
        <v>1758</v>
      </c>
      <c r="E2" s="6" t="s">
        <v>1842</v>
      </c>
      <c r="F2" s="9"/>
      <c r="G2" s="8" t="s">
        <v>1760</v>
      </c>
      <c r="H2" s="6">
        <v>3</v>
      </c>
      <c r="I2" s="9" t="s">
        <v>1761</v>
      </c>
      <c r="J2" s="9"/>
      <c r="K2" s="9"/>
      <c r="L2" s="9"/>
      <c r="M2" s="9"/>
      <c r="N2" s="9"/>
      <c r="O2" s="9"/>
      <c r="P2" s="9"/>
      <c r="Q2" s="9"/>
      <c r="R2" s="9"/>
      <c r="S2" s="9"/>
    </row>
    <row r="3" spans="1:23" ht="21" customHeight="1">
      <c r="A3" s="10" t="s">
        <v>120</v>
      </c>
      <c r="B3" s="11" t="s">
        <v>246</v>
      </c>
      <c r="C3" s="7"/>
      <c r="D3" s="7"/>
      <c r="F3" s="9"/>
      <c r="G3" s="12" t="s">
        <v>1763</v>
      </c>
      <c r="H3" s="11">
        <v>2</v>
      </c>
      <c r="I3" s="9" t="s">
        <v>1764</v>
      </c>
      <c r="J3" s="9">
        <v>1</v>
      </c>
      <c r="K3" s="9" t="s">
        <v>1765</v>
      </c>
      <c r="L3" s="9">
        <v>0</v>
      </c>
      <c r="M3" s="9"/>
      <c r="N3" s="9"/>
      <c r="O3" s="9"/>
      <c r="P3" s="9"/>
      <c r="Q3" s="9"/>
      <c r="R3" s="9"/>
      <c r="S3" s="9"/>
    </row>
    <row r="4" spans="1:23" ht="35.25" customHeight="1">
      <c r="A4" s="991" t="s">
        <v>54</v>
      </c>
      <c r="B4" s="987" t="s">
        <v>1766</v>
      </c>
      <c r="C4" s="987" t="s">
        <v>1767</v>
      </c>
      <c r="D4" s="13" t="s">
        <v>1768</v>
      </c>
      <c r="E4" s="13" t="s">
        <v>1769</v>
      </c>
      <c r="F4" s="987" t="s">
        <v>1770</v>
      </c>
      <c r="G4" s="987" t="s">
        <v>1771</v>
      </c>
      <c r="H4" s="987"/>
      <c r="I4" s="987"/>
      <c r="J4" s="987"/>
      <c r="K4" s="987"/>
      <c r="L4" s="78" t="s">
        <v>1772</v>
      </c>
      <c r="M4" s="987" t="s">
        <v>1773</v>
      </c>
      <c r="N4" s="987"/>
      <c r="O4" s="987" t="s">
        <v>1774</v>
      </c>
      <c r="P4" s="987"/>
      <c r="Q4" s="987" t="s">
        <v>1775</v>
      </c>
      <c r="R4" s="987" t="s">
        <v>1776</v>
      </c>
      <c r="S4" s="987" t="s">
        <v>1777</v>
      </c>
      <c r="T4" s="987" t="s">
        <v>1778</v>
      </c>
      <c r="U4" s="987" t="s">
        <v>1574</v>
      </c>
      <c r="V4" s="987"/>
      <c r="W4" s="1000" t="s">
        <v>1779</v>
      </c>
    </row>
    <row r="5" spans="1:23" ht="24" customHeight="1">
      <c r="A5" s="992"/>
      <c r="B5" s="988"/>
      <c r="C5" s="988"/>
      <c r="D5" s="988" t="s">
        <v>1780</v>
      </c>
      <c r="E5" s="988"/>
      <c r="F5" s="988"/>
      <c r="G5" s="14" t="s">
        <v>1781</v>
      </c>
      <c r="H5" s="14" t="s">
        <v>1482</v>
      </c>
      <c r="I5" s="14" t="s">
        <v>1782</v>
      </c>
      <c r="J5" s="14" t="s">
        <v>1783</v>
      </c>
      <c r="K5" s="14" t="s">
        <v>1418</v>
      </c>
      <c r="L5" s="14" t="s">
        <v>1784</v>
      </c>
      <c r="M5" s="988"/>
      <c r="N5" s="988"/>
      <c r="O5" s="988"/>
      <c r="P5" s="988"/>
      <c r="Q5" s="988"/>
      <c r="R5" s="988"/>
      <c r="S5" s="988"/>
      <c r="T5" s="988"/>
      <c r="U5" s="988"/>
      <c r="V5" s="988"/>
      <c r="W5" s="1001"/>
    </row>
    <row r="6" spans="1:23" ht="27" customHeight="1">
      <c r="A6" s="992"/>
      <c r="B6" s="988"/>
      <c r="C6" s="988"/>
      <c r="D6" s="14"/>
      <c r="E6" s="15"/>
      <c r="F6" s="988"/>
      <c r="G6" s="16">
        <v>0.99399999999999999</v>
      </c>
      <c r="H6" s="16">
        <v>0.84399999999999997</v>
      </c>
      <c r="I6" s="16">
        <v>0.9</v>
      </c>
      <c r="J6" s="16">
        <v>1.65</v>
      </c>
      <c r="K6" s="16">
        <v>1.4</v>
      </c>
      <c r="L6" s="79"/>
      <c r="M6" s="14" t="s">
        <v>1785</v>
      </c>
      <c r="N6" s="15" t="s">
        <v>1786</v>
      </c>
      <c r="O6" s="14" t="s">
        <v>1785</v>
      </c>
      <c r="P6" s="15" t="s">
        <v>1786</v>
      </c>
      <c r="Q6" s="988"/>
      <c r="R6" s="988"/>
      <c r="S6" s="988"/>
      <c r="T6" s="988"/>
      <c r="U6" s="14" t="s">
        <v>1787</v>
      </c>
      <c r="V6" s="14" t="s">
        <v>1788</v>
      </c>
      <c r="W6" s="1001"/>
    </row>
    <row r="7" spans="1:23" ht="24.75" customHeight="1">
      <c r="A7" s="993"/>
      <c r="B7" s="989"/>
      <c r="C7" s="989"/>
      <c r="D7" s="17" t="s">
        <v>235</v>
      </c>
      <c r="E7" s="17" t="s">
        <v>1092</v>
      </c>
      <c r="F7" s="989"/>
      <c r="G7" s="18">
        <f>0.994*2.272</f>
        <v>2.2583679999999999</v>
      </c>
      <c r="H7" s="18">
        <f>0.844*2.272</f>
        <v>1.9175679999999997</v>
      </c>
      <c r="I7" s="18">
        <f>0.9*2.19</f>
        <v>1.9710000000000001</v>
      </c>
      <c r="J7" s="18">
        <f>1.65*2.14</f>
        <v>3.5310000000000001</v>
      </c>
      <c r="K7" s="18">
        <f>1.16*2.18</f>
        <v>2.5287999999999999</v>
      </c>
      <c r="L7" s="18">
        <v>2.27</v>
      </c>
      <c r="M7" s="80"/>
      <c r="N7" s="80"/>
      <c r="O7" s="80"/>
      <c r="P7" s="80"/>
      <c r="Q7" s="995"/>
      <c r="R7" s="989"/>
      <c r="S7" s="989"/>
      <c r="T7" s="989"/>
      <c r="U7" s="80" t="s">
        <v>1789</v>
      </c>
      <c r="V7" s="80" t="s">
        <v>1790</v>
      </c>
      <c r="W7" s="1002"/>
    </row>
    <row r="8" spans="1:23" ht="24.75" customHeight="1">
      <c r="A8" s="19" t="s">
        <v>58</v>
      </c>
      <c r="B8" s="20"/>
      <c r="C8" s="21" t="s">
        <v>1406</v>
      </c>
      <c r="D8" s="20"/>
      <c r="E8" s="20"/>
      <c r="F8" s="20"/>
      <c r="G8" s="22"/>
      <c r="H8" s="22"/>
      <c r="I8" s="22"/>
      <c r="J8" s="22"/>
      <c r="K8" s="22"/>
      <c r="L8" s="22"/>
      <c r="M8" s="22"/>
      <c r="N8" s="22"/>
      <c r="O8" s="22"/>
      <c r="P8" s="22"/>
      <c r="Q8" s="22"/>
      <c r="R8" s="20"/>
      <c r="S8" s="20"/>
      <c r="T8" s="20"/>
      <c r="U8" s="22"/>
      <c r="V8" s="22"/>
      <c r="W8" s="85"/>
    </row>
    <row r="9" spans="1:23" ht="24.75" customHeight="1">
      <c r="A9" s="23">
        <v>1</v>
      </c>
      <c r="B9" s="24"/>
      <c r="C9" s="25" t="s">
        <v>237</v>
      </c>
      <c r="D9" s="26">
        <v>0</v>
      </c>
      <c r="E9" s="27"/>
      <c r="F9" s="28"/>
      <c r="G9" s="29"/>
      <c r="H9" s="29"/>
      <c r="I9" s="29"/>
      <c r="J9" s="29"/>
      <c r="K9" s="29"/>
      <c r="L9" s="29"/>
      <c r="M9" s="29"/>
      <c r="N9" s="29"/>
      <c r="O9" s="29"/>
      <c r="P9" s="29"/>
      <c r="Q9" s="29"/>
      <c r="R9" s="28"/>
      <c r="S9" s="28"/>
      <c r="T9" s="28"/>
      <c r="U9" s="29"/>
      <c r="V9" s="29"/>
      <c r="W9" s="86"/>
    </row>
    <row r="10" spans="1:23" ht="24.75" customHeight="1">
      <c r="A10" s="23">
        <v>2</v>
      </c>
      <c r="B10" s="24"/>
      <c r="C10" s="25" t="s">
        <v>241</v>
      </c>
      <c r="D10" s="26"/>
      <c r="E10" s="27"/>
      <c r="F10" s="28"/>
      <c r="G10" s="29"/>
      <c r="H10" s="29"/>
      <c r="I10" s="29"/>
      <c r="J10" s="29"/>
      <c r="K10" s="29"/>
      <c r="L10" s="29"/>
      <c r="M10" s="29"/>
      <c r="N10" s="29"/>
      <c r="O10" s="29"/>
      <c r="P10" s="29"/>
      <c r="Q10" s="29"/>
      <c r="R10" s="28"/>
      <c r="S10" s="28"/>
      <c r="T10" s="28"/>
      <c r="U10" s="29"/>
      <c r="V10" s="29"/>
      <c r="W10" s="86"/>
    </row>
    <row r="11" spans="1:23" ht="24.75" customHeight="1">
      <c r="A11" s="23">
        <v>3</v>
      </c>
      <c r="B11" s="15"/>
      <c r="C11" s="15" t="s">
        <v>1791</v>
      </c>
      <c r="D11" s="26">
        <v>36.22</v>
      </c>
      <c r="E11" s="30">
        <v>36.79</v>
      </c>
      <c r="F11" s="29"/>
      <c r="G11" s="29"/>
      <c r="H11" s="29"/>
      <c r="I11" s="29"/>
      <c r="J11" s="29"/>
      <c r="K11" s="29"/>
      <c r="L11" s="29"/>
      <c r="M11" s="29"/>
      <c r="N11" s="29"/>
      <c r="O11" s="29"/>
      <c r="P11" s="29"/>
      <c r="Q11" s="29"/>
      <c r="R11" s="29"/>
      <c r="S11" s="15"/>
      <c r="T11" s="29"/>
      <c r="U11" s="29"/>
      <c r="V11" s="29"/>
      <c r="W11" s="87"/>
    </row>
    <row r="12" spans="1:23" ht="15.75" customHeight="1">
      <c r="A12" s="23">
        <v>4</v>
      </c>
      <c r="B12" s="15"/>
      <c r="C12" s="15" t="s">
        <v>1792</v>
      </c>
      <c r="D12" s="30">
        <v>6.22</v>
      </c>
      <c r="E12" s="30">
        <v>5.6</v>
      </c>
      <c r="F12" s="15">
        <f>3-0.5-0.065-0.1-0.012</f>
        <v>2.323</v>
      </c>
      <c r="G12" s="29"/>
      <c r="H12" s="29"/>
      <c r="I12" s="29"/>
      <c r="J12" s="29"/>
      <c r="K12" s="29"/>
      <c r="L12" s="29"/>
      <c r="M12" s="29"/>
      <c r="N12" s="29"/>
      <c r="O12" s="29"/>
      <c r="P12" s="29"/>
      <c r="Q12" s="29"/>
      <c r="R12" s="29"/>
      <c r="S12" s="32">
        <f>D12*F12</f>
        <v>14.449059999999999</v>
      </c>
      <c r="T12" s="29"/>
      <c r="U12" s="29"/>
      <c r="V12" s="29"/>
      <c r="W12" s="87"/>
    </row>
    <row r="13" spans="1:23" ht="15.75" customHeight="1">
      <c r="A13" s="23">
        <v>5</v>
      </c>
      <c r="B13" s="15"/>
      <c r="C13" s="15" t="s">
        <v>1793</v>
      </c>
      <c r="D13" s="30">
        <v>0</v>
      </c>
      <c r="E13" s="31">
        <v>0</v>
      </c>
      <c r="F13" s="29"/>
      <c r="G13" s="29"/>
      <c r="H13" s="29"/>
      <c r="I13" s="29"/>
      <c r="J13" s="29"/>
      <c r="K13" s="29"/>
      <c r="L13" s="29"/>
      <c r="M13" s="29"/>
      <c r="N13" s="29"/>
      <c r="O13" s="29"/>
      <c r="P13" s="29"/>
      <c r="Q13" s="29"/>
      <c r="R13" s="29"/>
      <c r="S13" s="43"/>
      <c r="T13" s="29"/>
      <c r="U13" s="29"/>
      <c r="V13" s="29"/>
      <c r="W13" s="87"/>
    </row>
    <row r="14" spans="1:23" ht="15.75" customHeight="1">
      <c r="A14" s="23">
        <v>6</v>
      </c>
      <c r="B14" s="15"/>
      <c r="C14" s="15" t="s">
        <v>1794</v>
      </c>
      <c r="D14" s="30">
        <v>4.45</v>
      </c>
      <c r="E14" s="30">
        <v>1.93</v>
      </c>
      <c r="F14" s="15">
        <f>3-0.5-0.065-0.1-0.012</f>
        <v>2.323</v>
      </c>
      <c r="G14" s="29"/>
      <c r="H14" s="29"/>
      <c r="I14" s="29"/>
      <c r="J14" s="29"/>
      <c r="K14" s="29"/>
      <c r="L14" s="29"/>
      <c r="M14" s="29"/>
      <c r="N14" s="29"/>
      <c r="O14" s="29"/>
      <c r="P14" s="29"/>
      <c r="Q14" s="29"/>
      <c r="R14" s="29"/>
      <c r="S14" s="32">
        <f>D14*F14</f>
        <v>10.337350000000001</v>
      </c>
      <c r="T14" s="29"/>
      <c r="U14" s="29"/>
      <c r="V14" s="29"/>
      <c r="W14" s="87"/>
    </row>
    <row r="15" spans="1:23" ht="15.75" customHeight="1">
      <c r="A15" s="23">
        <v>7</v>
      </c>
      <c r="B15" s="15"/>
      <c r="C15" s="15" t="s">
        <v>1795</v>
      </c>
      <c r="D15" s="30">
        <v>1.2</v>
      </c>
      <c r="E15" s="30"/>
      <c r="F15" s="32">
        <f>D15*E15</f>
        <v>0</v>
      </c>
      <c r="G15" s="29"/>
      <c r="H15" s="29"/>
      <c r="I15" s="29"/>
      <c r="J15" s="29"/>
      <c r="K15" s="29"/>
      <c r="L15" s="29"/>
      <c r="M15" s="29"/>
      <c r="N15" s="29"/>
      <c r="O15" s="29"/>
      <c r="P15" s="29"/>
      <c r="Q15" s="29"/>
      <c r="R15" s="29"/>
      <c r="S15" s="43"/>
      <c r="T15" s="29"/>
      <c r="U15" s="29"/>
      <c r="V15" s="29"/>
      <c r="W15" s="87"/>
    </row>
    <row r="16" spans="1:23" ht="15.75" customHeight="1">
      <c r="A16" s="23">
        <v>8</v>
      </c>
      <c r="B16" s="15"/>
      <c r="C16" s="15" t="s">
        <v>1796</v>
      </c>
      <c r="D16" s="30">
        <v>2.96</v>
      </c>
      <c r="E16" s="33"/>
      <c r="F16" s="30">
        <f>3-0.1-0.012-0.135-0.065-0.1</f>
        <v>2.5880000000000001</v>
      </c>
      <c r="G16" s="29"/>
      <c r="H16" s="29"/>
      <c r="I16" s="29"/>
      <c r="J16" s="29"/>
      <c r="K16" s="29"/>
      <c r="L16" s="29"/>
      <c r="M16" s="29"/>
      <c r="N16" s="29"/>
      <c r="O16" s="29"/>
      <c r="P16" s="29"/>
      <c r="Q16" s="29"/>
      <c r="R16" s="29"/>
      <c r="S16" s="32">
        <f>(D16-0.2)*(F16-0.1)</f>
        <v>6.8668799999999992</v>
      </c>
      <c r="T16" s="29"/>
      <c r="U16" s="29"/>
      <c r="V16" s="29"/>
      <c r="W16" s="87"/>
    </row>
    <row r="17" spans="1:23" ht="15.75" customHeight="1">
      <c r="A17" s="23">
        <v>9</v>
      </c>
      <c r="B17" s="15"/>
      <c r="C17" s="15" t="s">
        <v>1797</v>
      </c>
      <c r="D17" s="32">
        <f>D11-D12-D14-D16</f>
        <v>22.59</v>
      </c>
      <c r="E17" s="29"/>
      <c r="F17" s="15">
        <f>3-0.1-0.012-0.135-0.065-0.1</f>
        <v>2.5880000000000001</v>
      </c>
      <c r="G17" s="15">
        <v>3</v>
      </c>
      <c r="H17" s="15">
        <v>1</v>
      </c>
      <c r="I17" s="15">
        <v>0</v>
      </c>
      <c r="J17" s="15">
        <v>1</v>
      </c>
      <c r="K17" s="15">
        <v>1</v>
      </c>
      <c r="L17" s="30">
        <v>2.6</v>
      </c>
      <c r="M17" s="30">
        <v>1.8</v>
      </c>
      <c r="N17" s="30">
        <v>1.458</v>
      </c>
      <c r="O17" s="30">
        <v>0</v>
      </c>
      <c r="P17" s="30">
        <v>0</v>
      </c>
      <c r="Q17" s="30">
        <f>D15*(0.4-0.1-0.135)+1.1*(0.5-0.1-0.135)+(L7*2+L17)*0.07</f>
        <v>0.98930000000000007</v>
      </c>
      <c r="R17" s="15">
        <v>0</v>
      </c>
      <c r="S17" s="32">
        <f>D17*F17-(G17*$G$7+H17*$H$7+I17*$I$7+J17*$J$7+K17*$K$7+L17*$L$7)-M17*N17-P17*O17+Q17+R17</f>
        <v>36.173347999999997</v>
      </c>
      <c r="T17" s="29"/>
      <c r="U17" s="29"/>
      <c r="V17" s="29"/>
      <c r="W17" s="87"/>
    </row>
    <row r="18" spans="1:23" ht="15.75" customHeight="1">
      <c r="A18" s="23">
        <v>10</v>
      </c>
      <c r="B18" s="34"/>
      <c r="C18" s="34" t="s">
        <v>1798</v>
      </c>
      <c r="D18" s="34"/>
      <c r="E18" s="35">
        <f>E11</f>
        <v>36.79</v>
      </c>
      <c r="F18" s="36"/>
      <c r="G18" s="36"/>
      <c r="H18" s="36"/>
      <c r="I18" s="36"/>
      <c r="J18" s="36"/>
      <c r="K18" s="36"/>
      <c r="L18" s="36"/>
      <c r="M18" s="36"/>
      <c r="N18" s="36"/>
      <c r="O18" s="36"/>
      <c r="P18" s="36"/>
      <c r="Q18" s="36"/>
      <c r="R18" s="36"/>
      <c r="S18" s="35">
        <f>S12+S14+S17</f>
        <v>60.959757999999994</v>
      </c>
      <c r="T18" s="35">
        <f>D11-($G$6*G17+$H$6*H17+$I$6*I17+$J$6*J17+$K$6*K17+L17)</f>
        <v>26.744</v>
      </c>
      <c r="U18" s="35">
        <f>M17*0.12</f>
        <v>0.216</v>
      </c>
      <c r="V18" s="35">
        <f>O17*0.7</f>
        <v>0</v>
      </c>
      <c r="W18" s="88">
        <v>0</v>
      </c>
    </row>
    <row r="19" spans="1:23" ht="24.75" customHeight="1">
      <c r="A19" s="37" t="s">
        <v>60</v>
      </c>
      <c r="B19" s="38"/>
      <c r="C19" s="39" t="s">
        <v>1799</v>
      </c>
      <c r="D19" s="38"/>
      <c r="E19" s="38"/>
      <c r="F19" s="38"/>
      <c r="G19" s="40"/>
      <c r="H19" s="40"/>
      <c r="I19" s="40"/>
      <c r="J19" s="40"/>
      <c r="K19" s="40"/>
      <c r="L19" s="40"/>
      <c r="M19" s="40"/>
      <c r="N19" s="40"/>
      <c r="O19" s="40"/>
      <c r="P19" s="40"/>
      <c r="Q19" s="40"/>
      <c r="R19" s="38"/>
      <c r="S19" s="38"/>
      <c r="T19" s="38"/>
      <c r="U19" s="40"/>
      <c r="V19" s="40"/>
      <c r="W19" s="89"/>
    </row>
    <row r="20" spans="1:23" ht="15.75" customHeight="1">
      <c r="A20" s="41">
        <v>1</v>
      </c>
      <c r="B20" s="15" t="s">
        <v>1374</v>
      </c>
      <c r="C20" s="15" t="s">
        <v>1800</v>
      </c>
      <c r="D20" s="30">
        <v>23.34</v>
      </c>
      <c r="E20" s="30">
        <v>27.49</v>
      </c>
      <c r="F20" s="15"/>
      <c r="G20" s="29"/>
      <c r="H20" s="29"/>
      <c r="I20" s="29"/>
      <c r="J20" s="29"/>
      <c r="K20" s="29"/>
      <c r="L20" s="29"/>
      <c r="M20" s="29"/>
      <c r="N20" s="29"/>
      <c r="O20" s="29"/>
      <c r="P20" s="29"/>
      <c r="Q20" s="29"/>
      <c r="R20" s="29"/>
      <c r="S20" s="29"/>
      <c r="T20" s="29"/>
      <c r="U20" s="29"/>
      <c r="V20" s="29"/>
      <c r="W20" s="90"/>
    </row>
    <row r="21" spans="1:23" ht="15.75" customHeight="1">
      <c r="A21" s="41">
        <v>2</v>
      </c>
      <c r="B21" s="15"/>
      <c r="C21" s="15" t="s">
        <v>1794</v>
      </c>
      <c r="D21" s="30">
        <v>3.33</v>
      </c>
      <c r="E21" s="30">
        <v>1.38</v>
      </c>
      <c r="F21" s="15"/>
      <c r="G21" s="29"/>
      <c r="H21" s="29"/>
      <c r="I21" s="29"/>
      <c r="J21" s="29"/>
      <c r="K21" s="29"/>
      <c r="L21" s="29"/>
      <c r="M21" s="29"/>
      <c r="N21" s="29"/>
      <c r="O21" s="29"/>
      <c r="P21" s="29"/>
      <c r="Q21" s="29"/>
      <c r="R21" s="29"/>
      <c r="S21" s="16">
        <f>D21*F21</f>
        <v>0</v>
      </c>
      <c r="T21" s="29"/>
      <c r="U21" s="29"/>
      <c r="V21" s="29"/>
      <c r="W21" s="87"/>
    </row>
    <row r="22" spans="1:23" ht="15.75" customHeight="1">
      <c r="A22" s="41">
        <v>3</v>
      </c>
      <c r="B22" s="15"/>
      <c r="C22" s="15" t="s">
        <v>1801</v>
      </c>
      <c r="D22" s="32">
        <f>D20-D21</f>
        <v>20.009999999999998</v>
      </c>
      <c r="E22" s="32">
        <f>E20-E21</f>
        <v>26.11</v>
      </c>
      <c r="F22" s="15">
        <f>3-0.1-0.012-0.1-0.065-0.1</f>
        <v>2.6229999999999998</v>
      </c>
      <c r="G22" s="30">
        <v>1</v>
      </c>
      <c r="H22" s="15">
        <v>1</v>
      </c>
      <c r="I22" s="29"/>
      <c r="J22" s="29"/>
      <c r="K22" s="29"/>
      <c r="L22" s="30">
        <v>2.6</v>
      </c>
      <c r="M22" s="30">
        <v>1.175</v>
      </c>
      <c r="N22" s="30">
        <v>1.4</v>
      </c>
      <c r="O22" s="30">
        <v>0</v>
      </c>
      <c r="P22" s="30">
        <v>0</v>
      </c>
      <c r="Q22" s="30"/>
      <c r="R22" s="30"/>
      <c r="S22" s="16">
        <f>D22*F22-(G22*$G$7+H22*$H$7+I22*$I$7+J22*$J$7+K22*$K$7+L22*$L$7)-M22*N22-O22*P22+Q22+R22</f>
        <v>40.763293999999988</v>
      </c>
      <c r="T22" s="29"/>
      <c r="U22" s="29"/>
      <c r="V22" s="29"/>
      <c r="W22" s="87"/>
    </row>
    <row r="23" spans="1:23" ht="15.75" customHeight="1">
      <c r="A23" s="41"/>
      <c r="B23" s="15"/>
      <c r="C23" s="15" t="s">
        <v>240</v>
      </c>
      <c r="D23" s="42">
        <v>0</v>
      </c>
      <c r="E23" s="43"/>
      <c r="F23" s="29"/>
      <c r="G23" s="29"/>
      <c r="H23" s="29"/>
      <c r="I23" s="29"/>
      <c r="J23" s="29"/>
      <c r="K23" s="29"/>
      <c r="L23" s="29"/>
      <c r="M23" s="29"/>
      <c r="N23" s="29"/>
      <c r="O23" s="29"/>
      <c r="P23" s="29"/>
      <c r="Q23" s="29"/>
      <c r="R23" s="29"/>
      <c r="S23" s="91"/>
      <c r="T23" s="29"/>
      <c r="U23" s="29"/>
      <c r="V23" s="29"/>
      <c r="W23" s="87"/>
    </row>
    <row r="24" spans="1:23" ht="15.75" customHeight="1">
      <c r="A24" s="41"/>
      <c r="B24" s="15"/>
      <c r="C24" s="44" t="s">
        <v>285</v>
      </c>
      <c r="D24" s="42">
        <v>19.64</v>
      </c>
      <c r="E24" s="43"/>
      <c r="F24" s="29"/>
      <c r="G24" s="29"/>
      <c r="H24" s="29"/>
      <c r="I24" s="29"/>
      <c r="J24" s="29"/>
      <c r="K24" s="29"/>
      <c r="L24" s="29"/>
      <c r="M24" s="29"/>
      <c r="N24" s="29"/>
      <c r="O24" s="29"/>
      <c r="P24" s="29"/>
      <c r="Q24" s="29"/>
      <c r="R24" s="29"/>
      <c r="S24" s="91"/>
      <c r="T24" s="29"/>
      <c r="U24" s="29"/>
      <c r="V24" s="29"/>
      <c r="W24" s="87"/>
    </row>
    <row r="25" spans="1:23" ht="15.75" customHeight="1">
      <c r="A25" s="45">
        <v>4</v>
      </c>
      <c r="B25" s="34" t="s">
        <v>133</v>
      </c>
      <c r="C25" s="34" t="s">
        <v>1802</v>
      </c>
      <c r="D25" s="34"/>
      <c r="E25" s="34">
        <f>E20</f>
        <v>27.49</v>
      </c>
      <c r="F25" s="36"/>
      <c r="G25" s="36"/>
      <c r="H25" s="36"/>
      <c r="I25" s="36"/>
      <c r="J25" s="36"/>
      <c r="K25" s="36"/>
      <c r="L25" s="36"/>
      <c r="M25" s="36"/>
      <c r="N25" s="36"/>
      <c r="O25" s="36"/>
      <c r="P25" s="36"/>
      <c r="Q25" s="36"/>
      <c r="R25" s="36"/>
      <c r="S25" s="35">
        <f>SUM(S21:S22)</f>
        <v>40.763293999999988</v>
      </c>
      <c r="T25" s="35">
        <f>D20-($G$6*G22+$H$6*H22)</f>
        <v>21.501999999999999</v>
      </c>
      <c r="U25" s="35">
        <f>M22*0.12</f>
        <v>0.14099999999999999</v>
      </c>
      <c r="V25" s="35">
        <f>O22*0.7</f>
        <v>0</v>
      </c>
      <c r="W25" s="88">
        <v>0</v>
      </c>
    </row>
    <row r="26" spans="1:23" ht="15.75" customHeight="1">
      <c r="A26" s="41">
        <v>5</v>
      </c>
      <c r="B26" s="15" t="s">
        <v>1803</v>
      </c>
      <c r="C26" s="15" t="s">
        <v>1804</v>
      </c>
      <c r="D26" s="30">
        <v>15.68</v>
      </c>
      <c r="E26" s="30">
        <v>14.42</v>
      </c>
      <c r="F26" s="15"/>
      <c r="G26" s="29"/>
      <c r="H26" s="29"/>
      <c r="I26" s="29"/>
      <c r="J26" s="29"/>
      <c r="K26" s="29"/>
      <c r="L26" s="29"/>
      <c r="M26" s="29"/>
      <c r="N26" s="29"/>
      <c r="O26" s="29"/>
      <c r="P26" s="29"/>
      <c r="Q26" s="29"/>
      <c r="R26" s="29"/>
      <c r="S26" s="29"/>
      <c r="T26" s="29"/>
      <c r="U26" s="29"/>
      <c r="V26" s="29"/>
      <c r="W26" s="90"/>
    </row>
    <row r="27" spans="1:23" ht="15.75" customHeight="1">
      <c r="A27" s="41">
        <v>6</v>
      </c>
      <c r="B27" s="15"/>
      <c r="C27" s="15" t="s">
        <v>1794</v>
      </c>
      <c r="D27" s="30">
        <v>0</v>
      </c>
      <c r="E27" s="30">
        <v>0</v>
      </c>
      <c r="F27" s="15"/>
      <c r="G27" s="29"/>
      <c r="H27" s="29"/>
      <c r="I27" s="29"/>
      <c r="J27" s="29"/>
      <c r="K27" s="29"/>
      <c r="L27" s="29"/>
      <c r="M27" s="29"/>
      <c r="N27" s="29"/>
      <c r="O27" s="29"/>
      <c r="P27" s="29"/>
      <c r="Q27" s="29"/>
      <c r="R27" s="29"/>
      <c r="S27" s="16">
        <f>D27*F27</f>
        <v>0</v>
      </c>
      <c r="T27" s="29"/>
      <c r="U27" s="29"/>
      <c r="V27" s="29"/>
      <c r="W27" s="87"/>
    </row>
    <row r="28" spans="1:23" ht="15.75" customHeight="1">
      <c r="A28" s="41">
        <v>7</v>
      </c>
      <c r="B28" s="15"/>
      <c r="C28" s="15" t="s">
        <v>1805</v>
      </c>
      <c r="D28" s="32">
        <f>D26-D27</f>
        <v>15.68</v>
      </c>
      <c r="E28" s="32">
        <f>E26-E27</f>
        <v>14.42</v>
      </c>
      <c r="F28" s="15">
        <f t="shared" ref="F28" si="0">3-0.1-0.012-0.1-0.065-0.1</f>
        <v>2.6229999999999998</v>
      </c>
      <c r="G28" s="30">
        <v>1</v>
      </c>
      <c r="H28" s="15">
        <v>0</v>
      </c>
      <c r="I28" s="29"/>
      <c r="J28" s="29"/>
      <c r="K28" s="29"/>
      <c r="L28" s="30">
        <v>2.6</v>
      </c>
      <c r="M28" s="30">
        <v>0</v>
      </c>
      <c r="N28" s="30">
        <v>0</v>
      </c>
      <c r="O28" s="30">
        <v>0</v>
      </c>
      <c r="P28" s="30">
        <v>0</v>
      </c>
      <c r="Q28" s="30"/>
      <c r="R28" s="30"/>
      <c r="S28" s="16">
        <f>D28*F28-(G28*$G$7+H28*$H$7+I28*$I$7+J28*$J$7+K28*$K$7+L28*$L$7)-M28*N28-O28*P28+Q28+R28</f>
        <v>32.968271999999999</v>
      </c>
      <c r="T28" s="29"/>
      <c r="U28" s="29"/>
      <c r="V28" s="29"/>
      <c r="W28" s="87"/>
    </row>
    <row r="29" spans="1:23" ht="15.75" customHeight="1">
      <c r="A29" s="41"/>
      <c r="B29" s="15"/>
      <c r="C29" s="44" t="s">
        <v>285</v>
      </c>
      <c r="D29" s="42">
        <v>14.85</v>
      </c>
      <c r="E29" s="43"/>
      <c r="F29" s="29"/>
      <c r="G29" s="29"/>
      <c r="H29" s="29"/>
      <c r="I29" s="29"/>
      <c r="J29" s="29"/>
      <c r="K29" s="29"/>
      <c r="L29" s="29"/>
      <c r="M29" s="29"/>
      <c r="N29" s="29"/>
      <c r="O29" s="29"/>
      <c r="P29" s="29"/>
      <c r="Q29" s="29"/>
      <c r="R29" s="29"/>
      <c r="S29" s="91"/>
      <c r="T29" s="29"/>
      <c r="U29" s="29"/>
      <c r="V29" s="29"/>
      <c r="W29" s="87"/>
    </row>
    <row r="30" spans="1:23" ht="15.75" customHeight="1">
      <c r="A30" s="46">
        <v>8</v>
      </c>
      <c r="B30" s="47" t="s">
        <v>246</v>
      </c>
      <c r="C30" s="34" t="s">
        <v>1806</v>
      </c>
      <c r="D30" s="34"/>
      <c r="E30" s="34">
        <f>E26</f>
        <v>14.42</v>
      </c>
      <c r="F30" s="36"/>
      <c r="G30" s="36"/>
      <c r="H30" s="36"/>
      <c r="I30" s="36"/>
      <c r="J30" s="36"/>
      <c r="K30" s="36"/>
      <c r="L30" s="36"/>
      <c r="M30" s="36"/>
      <c r="N30" s="36"/>
      <c r="O30" s="36"/>
      <c r="P30" s="36"/>
      <c r="Q30" s="36"/>
      <c r="R30" s="36"/>
      <c r="S30" s="35">
        <f>SUM(S27:S28)</f>
        <v>32.968271999999999</v>
      </c>
      <c r="T30" s="35">
        <f>D26-($G$6*G28+$H$6*H28)</f>
        <v>14.686</v>
      </c>
      <c r="U30" s="35">
        <f>M28*0.12</f>
        <v>0</v>
      </c>
      <c r="V30" s="35">
        <f>O28*0.7</f>
        <v>0</v>
      </c>
      <c r="W30" s="88">
        <v>0</v>
      </c>
    </row>
    <row r="31" spans="1:23" ht="15.75" customHeight="1">
      <c r="A31" s="41">
        <v>9</v>
      </c>
      <c r="B31" s="15" t="s">
        <v>1807</v>
      </c>
      <c r="C31" s="15" t="s">
        <v>1808</v>
      </c>
      <c r="D31" s="30">
        <v>12.8</v>
      </c>
      <c r="E31" s="30">
        <v>10.19</v>
      </c>
      <c r="F31" s="15">
        <f>3-0.1-0.012-0.1-0.065-0.1</f>
        <v>2.6229999999999998</v>
      </c>
      <c r="G31" s="29"/>
      <c r="H31" s="29"/>
      <c r="I31" s="29"/>
      <c r="J31" s="29"/>
      <c r="K31" s="29"/>
      <c r="L31" s="29"/>
      <c r="M31" s="29"/>
      <c r="N31" s="29"/>
      <c r="O31" s="29"/>
      <c r="P31" s="29"/>
      <c r="Q31" s="29"/>
      <c r="R31" s="29"/>
      <c r="S31" s="29"/>
      <c r="T31" s="29"/>
      <c r="U31" s="29"/>
      <c r="V31" s="29"/>
      <c r="W31" s="90"/>
    </row>
    <row r="32" spans="1:23" ht="15.75" customHeight="1">
      <c r="A32" s="41">
        <v>10</v>
      </c>
      <c r="B32" s="15"/>
      <c r="C32" s="15" t="s">
        <v>1794</v>
      </c>
      <c r="D32" s="30">
        <v>0</v>
      </c>
      <c r="E32" s="30">
        <v>0</v>
      </c>
      <c r="F32" s="15">
        <v>0</v>
      </c>
      <c r="G32" s="29"/>
      <c r="H32" s="29"/>
      <c r="I32" s="29"/>
      <c r="J32" s="29"/>
      <c r="K32" s="29"/>
      <c r="L32" s="29"/>
      <c r="M32" s="29"/>
      <c r="N32" s="29"/>
      <c r="O32" s="29"/>
      <c r="P32" s="29"/>
      <c r="Q32" s="29"/>
      <c r="R32" s="29"/>
      <c r="S32" s="16">
        <f>D32*F32</f>
        <v>0</v>
      </c>
      <c r="T32" s="29"/>
      <c r="U32" s="29"/>
      <c r="V32" s="29"/>
      <c r="W32" s="87"/>
    </row>
    <row r="33" spans="1:23" ht="15.75" customHeight="1">
      <c r="A33" s="41">
        <v>11</v>
      </c>
      <c r="B33" s="15"/>
      <c r="C33" s="15" t="s">
        <v>1809</v>
      </c>
      <c r="D33" s="32">
        <f>D31-D32</f>
        <v>12.8</v>
      </c>
      <c r="E33" s="32">
        <f>E31-E32</f>
        <v>10.19</v>
      </c>
      <c r="F33" s="15">
        <f>3-0.1-0.012-0.1-0.065-0.1</f>
        <v>2.6229999999999998</v>
      </c>
      <c r="G33" s="30">
        <v>1</v>
      </c>
      <c r="H33" s="15"/>
      <c r="I33" s="29"/>
      <c r="J33" s="29"/>
      <c r="K33" s="29"/>
      <c r="L33" s="30">
        <v>1.72</v>
      </c>
      <c r="M33" s="30">
        <v>0</v>
      </c>
      <c r="N33" s="30">
        <v>0</v>
      </c>
      <c r="O33" s="30">
        <v>0</v>
      </c>
      <c r="P33" s="30">
        <v>0</v>
      </c>
      <c r="Q33" s="30"/>
      <c r="R33" s="30"/>
      <c r="S33" s="16">
        <f>D33*F33-(G33*$G$7+H33*$H$7+I33*$I$7+J33*$J$7+K33*$K$7+L33*$L$7)-M33*N33-O33*P33+Q33+R33</f>
        <v>27.411631999999997</v>
      </c>
      <c r="T33" s="29"/>
      <c r="U33" s="29"/>
      <c r="V33" s="29"/>
      <c r="W33" s="87"/>
    </row>
    <row r="34" spans="1:23" ht="15.75" customHeight="1">
      <c r="A34" s="41"/>
      <c r="B34" s="15"/>
      <c r="C34" s="44" t="s">
        <v>285</v>
      </c>
      <c r="D34" s="42">
        <v>12.6</v>
      </c>
      <c r="E34" s="43"/>
      <c r="F34" s="29"/>
      <c r="G34" s="29"/>
      <c r="H34" s="29"/>
      <c r="I34" s="29"/>
      <c r="J34" s="29"/>
      <c r="K34" s="29"/>
      <c r="L34" s="29"/>
      <c r="M34" s="29"/>
      <c r="N34" s="29"/>
      <c r="O34" s="29"/>
      <c r="P34" s="29"/>
      <c r="Q34" s="29"/>
      <c r="R34" s="29"/>
      <c r="S34" s="91"/>
      <c r="T34" s="29"/>
      <c r="U34" s="29"/>
      <c r="V34" s="29"/>
      <c r="W34" s="87"/>
    </row>
    <row r="35" spans="1:23" ht="15.75" customHeight="1">
      <c r="A35" s="46">
        <v>12</v>
      </c>
      <c r="B35" s="47" t="s">
        <v>136</v>
      </c>
      <c r="C35" s="34" t="s">
        <v>1810</v>
      </c>
      <c r="D35" s="34"/>
      <c r="E35" s="34">
        <f>E31</f>
        <v>10.19</v>
      </c>
      <c r="F35" s="36"/>
      <c r="G35" s="36"/>
      <c r="H35" s="36"/>
      <c r="I35" s="36"/>
      <c r="J35" s="36"/>
      <c r="K35" s="36"/>
      <c r="L35" s="36"/>
      <c r="M35" s="36"/>
      <c r="N35" s="36"/>
      <c r="O35" s="36"/>
      <c r="P35" s="36"/>
      <c r="Q35" s="36"/>
      <c r="R35" s="36"/>
      <c r="S35" s="35">
        <f>SUM(S32:S33)</f>
        <v>27.411631999999997</v>
      </c>
      <c r="T35" s="35">
        <f>D31-($G$6*G33+$H$6*H33)</f>
        <v>11.806000000000001</v>
      </c>
      <c r="U35" s="35">
        <f>M33*0.12</f>
        <v>0</v>
      </c>
      <c r="V35" s="35">
        <f>O33*0.7</f>
        <v>0</v>
      </c>
      <c r="W35" s="88">
        <v>0</v>
      </c>
    </row>
    <row r="36" spans="1:23" ht="15.75" customHeight="1">
      <c r="A36" s="46">
        <v>13</v>
      </c>
      <c r="B36" s="47"/>
      <c r="C36" s="34" t="s">
        <v>1811</v>
      </c>
      <c r="D36" s="47"/>
      <c r="E36" s="35">
        <f>E25+E30+E35</f>
        <v>52.099999999999994</v>
      </c>
      <c r="F36" s="47"/>
      <c r="G36" s="47"/>
      <c r="H36" s="47"/>
      <c r="I36" s="47"/>
      <c r="J36" s="47"/>
      <c r="K36" s="47"/>
      <c r="L36" s="47"/>
      <c r="M36" s="47"/>
      <c r="N36" s="47"/>
      <c r="O36" s="47"/>
      <c r="P36" s="47"/>
      <c r="Q36" s="47"/>
      <c r="R36" s="47"/>
      <c r="S36" s="35">
        <f t="shared" ref="S36" si="1">S25+S30+S35</f>
        <v>101.14319799999998</v>
      </c>
      <c r="T36" s="35">
        <f>T25+T30+T35</f>
        <v>47.994</v>
      </c>
      <c r="U36" s="35">
        <f>U25+U30+U35</f>
        <v>0.14099999999999999</v>
      </c>
      <c r="V36" s="35">
        <f>V25+V30+V35</f>
        <v>0</v>
      </c>
      <c r="W36" s="35">
        <f>W25+W30+W35</f>
        <v>0</v>
      </c>
    </row>
    <row r="37" spans="1:23" ht="24.75" customHeight="1">
      <c r="A37" s="37" t="s">
        <v>60</v>
      </c>
      <c r="B37" s="38"/>
      <c r="C37" s="39" t="s">
        <v>1812</v>
      </c>
      <c r="D37" s="38"/>
      <c r="E37" s="38"/>
      <c r="F37" s="38"/>
      <c r="G37" s="40"/>
      <c r="H37" s="40"/>
      <c r="I37" s="40"/>
      <c r="J37" s="40"/>
      <c r="K37" s="40"/>
      <c r="L37" s="40"/>
      <c r="M37" s="40"/>
      <c r="N37" s="40"/>
      <c r="O37" s="40"/>
      <c r="P37" s="40"/>
      <c r="Q37" s="40"/>
      <c r="R37" s="38"/>
      <c r="S37" s="38">
        <v>0</v>
      </c>
      <c r="T37" s="38"/>
      <c r="U37" s="40"/>
      <c r="V37" s="40"/>
      <c r="W37" s="89"/>
    </row>
    <row r="38" spans="1:23" ht="15.75" customHeight="1">
      <c r="A38" s="48">
        <v>7</v>
      </c>
      <c r="B38" s="49"/>
      <c r="C38" s="49" t="s">
        <v>634</v>
      </c>
      <c r="D38" s="32">
        <v>0</v>
      </c>
      <c r="E38" s="32">
        <v>0</v>
      </c>
      <c r="F38" s="49">
        <v>2.73</v>
      </c>
      <c r="G38" s="49">
        <v>1</v>
      </c>
      <c r="H38" s="49"/>
      <c r="I38" s="81"/>
      <c r="J38" s="81"/>
      <c r="K38" s="81"/>
      <c r="L38" s="81"/>
      <c r="M38" s="81"/>
      <c r="N38" s="81"/>
      <c r="O38" s="81"/>
      <c r="P38" s="81"/>
      <c r="Q38" s="81"/>
      <c r="R38" s="81"/>
      <c r="S38" s="32">
        <f>(D38*F38-G7*G38-H7*H38)*S37</f>
        <v>0</v>
      </c>
      <c r="T38" s="43">
        <f>(D38-G6)*S37</f>
        <v>0</v>
      </c>
      <c r="U38" s="81"/>
      <c r="V38" s="81"/>
      <c r="W38" s="92"/>
    </row>
    <row r="39" spans="1:23" ht="33.75" customHeight="1">
      <c r="A39" s="50"/>
      <c r="B39" s="51"/>
      <c r="C39" s="51"/>
      <c r="D39" s="51"/>
      <c r="E39" s="51"/>
      <c r="F39" s="51"/>
      <c r="G39" s="51"/>
      <c r="H39" s="51"/>
      <c r="I39" s="51"/>
      <c r="J39" s="51"/>
      <c r="K39" s="51"/>
      <c r="L39" s="51"/>
      <c r="M39" s="51"/>
      <c r="N39" s="51"/>
      <c r="O39" s="51"/>
      <c r="P39" s="51"/>
      <c r="Q39" s="51"/>
      <c r="R39" s="51"/>
      <c r="S39" s="51"/>
      <c r="T39" s="51"/>
      <c r="U39" s="51"/>
      <c r="V39" s="51"/>
    </row>
    <row r="40" spans="1:23" ht="22.5" customHeight="1">
      <c r="A40" s="994" t="s">
        <v>54</v>
      </c>
      <c r="B40" s="990" t="s">
        <v>1758</v>
      </c>
      <c r="C40" s="990" t="s">
        <v>1767</v>
      </c>
      <c r="D40" s="14" t="s">
        <v>1768</v>
      </c>
      <c r="E40" s="14" t="s">
        <v>1769</v>
      </c>
      <c r="F40" s="998" t="s">
        <v>1813</v>
      </c>
      <c r="G40" s="15" t="s">
        <v>1771</v>
      </c>
      <c r="H40" s="999" t="s">
        <v>1773</v>
      </c>
      <c r="I40" s="999"/>
      <c r="J40" s="999" t="s">
        <v>1774</v>
      </c>
      <c r="K40" s="999"/>
      <c r="L40" s="15" t="s">
        <v>315</v>
      </c>
      <c r="M40" s="15" t="s">
        <v>1814</v>
      </c>
      <c r="N40" s="82" t="s">
        <v>1815</v>
      </c>
      <c r="O40" s="15" t="s">
        <v>1816</v>
      </c>
      <c r="P40" s="15"/>
      <c r="Q40" s="988" t="s">
        <v>1817</v>
      </c>
      <c r="R40" s="988" t="s">
        <v>1818</v>
      </c>
      <c r="S40" s="988" t="s">
        <v>1819</v>
      </c>
      <c r="T40" s="988" t="s">
        <v>1820</v>
      </c>
      <c r="U40" s="52" t="s">
        <v>275</v>
      </c>
      <c r="V40" s="52" t="s">
        <v>335</v>
      </c>
      <c r="W40" s="52" t="s">
        <v>338</v>
      </c>
    </row>
    <row r="41" spans="1:23" ht="24" customHeight="1">
      <c r="A41" s="994"/>
      <c r="B41" s="990"/>
      <c r="C41" s="990"/>
      <c r="D41" s="988" t="s">
        <v>1780</v>
      </c>
      <c r="E41" s="988"/>
      <c r="F41" s="998"/>
      <c r="G41" s="14" t="s">
        <v>1482</v>
      </c>
      <c r="H41" s="15" t="s">
        <v>1821</v>
      </c>
      <c r="I41" s="15" t="s">
        <v>1822</v>
      </c>
      <c r="J41" s="15" t="s">
        <v>1821</v>
      </c>
      <c r="K41" s="15" t="s">
        <v>1822</v>
      </c>
      <c r="L41" s="15" t="s">
        <v>1823</v>
      </c>
      <c r="M41" s="15" t="s">
        <v>1823</v>
      </c>
      <c r="N41" s="15" t="s">
        <v>1823</v>
      </c>
      <c r="O41" s="15" t="s">
        <v>1824</v>
      </c>
      <c r="P41" s="15"/>
      <c r="Q41" s="988"/>
      <c r="R41" s="988"/>
      <c r="S41" s="988"/>
      <c r="T41" s="988"/>
      <c r="U41" s="15" t="s">
        <v>1823</v>
      </c>
      <c r="V41" s="93" t="s">
        <v>336</v>
      </c>
      <c r="W41" s="93" t="s">
        <v>231</v>
      </c>
    </row>
    <row r="42" spans="1:23" ht="24.75" customHeight="1">
      <c r="A42" s="994"/>
      <c r="B42" s="990"/>
      <c r="C42" s="990"/>
      <c r="D42" s="14" t="s">
        <v>235</v>
      </c>
      <c r="E42" s="14" t="s">
        <v>1092</v>
      </c>
      <c r="F42" s="998"/>
      <c r="G42" s="16"/>
      <c r="H42" s="15"/>
      <c r="I42" s="15"/>
      <c r="J42" s="15"/>
      <c r="K42" s="15"/>
      <c r="L42" s="15"/>
      <c r="M42" s="15"/>
      <c r="N42" s="15"/>
      <c r="O42" s="15"/>
      <c r="P42" s="15"/>
      <c r="Q42" s="988"/>
      <c r="R42" s="988"/>
      <c r="S42" s="988"/>
      <c r="T42" s="988"/>
      <c r="U42" s="15"/>
      <c r="V42" s="15"/>
      <c r="W42" s="94"/>
    </row>
    <row r="43" spans="1:23" ht="24" customHeight="1">
      <c r="A43" s="53" t="s">
        <v>62</v>
      </c>
      <c r="B43" s="54"/>
      <c r="C43" s="54" t="s">
        <v>299</v>
      </c>
      <c r="D43" s="54"/>
      <c r="E43" s="54"/>
      <c r="F43" s="54"/>
      <c r="G43" s="54"/>
      <c r="H43" s="54"/>
      <c r="I43" s="54"/>
      <c r="J43" s="54"/>
      <c r="K43" s="54"/>
      <c r="L43" s="54"/>
      <c r="M43" s="54"/>
      <c r="N43" s="54"/>
      <c r="O43" s="54"/>
      <c r="P43" s="54"/>
      <c r="Q43" s="54"/>
      <c r="R43" s="54"/>
      <c r="S43" s="54"/>
      <c r="T43" s="54"/>
      <c r="U43" s="54"/>
      <c r="V43" s="54"/>
      <c r="W43" s="95"/>
    </row>
    <row r="44" spans="1:23" ht="24" customHeight="1">
      <c r="A44" s="55">
        <v>1</v>
      </c>
      <c r="B44" s="56"/>
      <c r="C44" s="56" t="s">
        <v>1825</v>
      </c>
      <c r="D44" s="30">
        <v>5.51</v>
      </c>
      <c r="E44" s="30">
        <v>4.55</v>
      </c>
      <c r="F44" s="30">
        <f>2.38+0.02</f>
        <v>2.4</v>
      </c>
      <c r="G44" s="30">
        <v>1</v>
      </c>
      <c r="H44" s="30">
        <v>0</v>
      </c>
      <c r="I44" s="30">
        <v>0</v>
      </c>
      <c r="J44" s="30">
        <v>0</v>
      </c>
      <c r="K44" s="30">
        <v>0</v>
      </c>
      <c r="L44" s="30">
        <v>0.55000000000000004</v>
      </c>
      <c r="M44" s="30">
        <v>0.95</v>
      </c>
      <c r="N44" s="30">
        <v>0</v>
      </c>
      <c r="O44" s="30">
        <v>1.75</v>
      </c>
      <c r="P44" s="30"/>
      <c r="Q44" s="56"/>
      <c r="R44" s="96">
        <f>D44*1.8+D45*1.8-$H$6*G44*1.8-(1.8-0.9)*H44+(H44+(1.8-0.9)*2)*0.1</f>
        <v>14.1228</v>
      </c>
      <c r="S44" s="97">
        <f>D44*F44+D45*F45-$H$7*G44-H44*I44+(H44+I44)*2*0.1</f>
        <v>18.390432000000001</v>
      </c>
      <c r="T44" s="97">
        <f>E44+(D44+D45-$H$6)*0.15</f>
        <v>5.7119</v>
      </c>
      <c r="U44" s="56"/>
      <c r="V44" s="56">
        <v>0</v>
      </c>
      <c r="W44" s="98">
        <v>0</v>
      </c>
    </row>
    <row r="45" spans="1:23" ht="24" customHeight="1">
      <c r="A45" s="55"/>
      <c r="B45" s="56"/>
      <c r="C45" s="56"/>
      <c r="D45" s="30">
        <v>3.08</v>
      </c>
      <c r="E45" s="30"/>
      <c r="F45" s="30">
        <f>2.28+0.02</f>
        <v>2.2999999999999998</v>
      </c>
      <c r="G45" s="30"/>
      <c r="H45" s="30"/>
      <c r="I45" s="30"/>
      <c r="J45" s="30"/>
      <c r="K45" s="30"/>
      <c r="L45" s="30"/>
      <c r="M45" s="30"/>
      <c r="N45" s="30"/>
      <c r="O45" s="30"/>
      <c r="P45" s="30"/>
      <c r="Q45" s="56"/>
      <c r="R45" s="96"/>
      <c r="S45" s="96"/>
      <c r="T45" s="96"/>
      <c r="U45" s="56"/>
      <c r="V45" s="56"/>
      <c r="W45" s="98"/>
    </row>
    <row r="46" spans="1:23" ht="24" customHeight="1">
      <c r="A46" s="55">
        <v>2</v>
      </c>
      <c r="B46" s="56"/>
      <c r="C46" s="56" t="s">
        <v>1826</v>
      </c>
      <c r="D46" s="30">
        <v>5.85</v>
      </c>
      <c r="E46" s="30">
        <v>4.99</v>
      </c>
      <c r="F46" s="30">
        <f>2.38+0.02</f>
        <v>2.4</v>
      </c>
      <c r="G46" s="30">
        <v>1</v>
      </c>
      <c r="H46" s="30">
        <v>0</v>
      </c>
      <c r="I46" s="30">
        <v>0</v>
      </c>
      <c r="J46" s="30">
        <v>0</v>
      </c>
      <c r="K46" s="30">
        <v>0</v>
      </c>
      <c r="L46" s="30">
        <v>1.1399999999999999</v>
      </c>
      <c r="M46" s="30">
        <v>1.24</v>
      </c>
      <c r="N46" s="30">
        <v>0</v>
      </c>
      <c r="O46" s="30">
        <v>1.64</v>
      </c>
      <c r="P46" s="30"/>
      <c r="Q46" s="56"/>
      <c r="R46" s="96">
        <f>D46*1.8+D47*1.8-$H$6*G46*1.8-(1.8-0.9)*H46+(H46+(1.8-0.9)*2)*0.1</f>
        <v>15.5268</v>
      </c>
      <c r="S46" s="97">
        <f>D46*F46+D47*F47-$H$7*G46-H46*I46+(H46+I46)*2*0.1</f>
        <v>20.218432</v>
      </c>
      <c r="T46" s="97">
        <f>E46+(D46+D47-$H$6)*0.15</f>
        <v>6.2689000000000004</v>
      </c>
      <c r="U46" s="56"/>
      <c r="V46" s="56"/>
      <c r="W46" s="98"/>
    </row>
    <row r="47" spans="1:23" ht="24" customHeight="1">
      <c r="A47" s="55"/>
      <c r="B47" s="56"/>
      <c r="C47" s="56"/>
      <c r="D47" s="30">
        <v>3.52</v>
      </c>
      <c r="E47" s="30"/>
      <c r="F47" s="30">
        <f>2.28+0.02</f>
        <v>2.2999999999999998</v>
      </c>
      <c r="G47" s="30"/>
      <c r="H47" s="30"/>
      <c r="I47" s="30"/>
      <c r="J47" s="30"/>
      <c r="K47" s="30"/>
      <c r="L47" s="30"/>
      <c r="M47" s="30"/>
      <c r="N47" s="30"/>
      <c r="O47" s="30"/>
      <c r="P47" s="30"/>
      <c r="Q47" s="56"/>
      <c r="R47" s="96"/>
      <c r="S47" s="96"/>
      <c r="T47" s="96"/>
      <c r="U47" s="56"/>
      <c r="V47" s="56"/>
      <c r="W47" s="98"/>
    </row>
    <row r="48" spans="1:23" ht="24" customHeight="1">
      <c r="A48" s="46">
        <v>3</v>
      </c>
      <c r="B48" s="47"/>
      <c r="C48" s="34" t="s">
        <v>1827</v>
      </c>
      <c r="D48" s="47"/>
      <c r="E48" s="35">
        <f>E44+E46+E45+E47</f>
        <v>9.5399999999999991</v>
      </c>
      <c r="F48" s="35"/>
      <c r="G48" s="35"/>
      <c r="H48" s="35"/>
      <c r="I48" s="35"/>
      <c r="J48" s="35"/>
      <c r="K48" s="35"/>
      <c r="L48" s="35">
        <f t="shared" ref="L48" si="2">SUM(L44:L46)</f>
        <v>1.69</v>
      </c>
      <c r="M48" s="35">
        <f t="shared" ref="M48:W48" si="3">SUM(M44:M46)</f>
        <v>2.19</v>
      </c>
      <c r="N48" s="35">
        <f t="shared" si="3"/>
        <v>0</v>
      </c>
      <c r="O48" s="35">
        <f t="shared" si="3"/>
        <v>3.3899999999999997</v>
      </c>
      <c r="P48" s="35">
        <f t="shared" si="3"/>
        <v>0</v>
      </c>
      <c r="Q48" s="35">
        <f t="shared" si="3"/>
        <v>0</v>
      </c>
      <c r="R48" s="35">
        <f t="shared" si="3"/>
        <v>29.6496</v>
      </c>
      <c r="S48" s="35">
        <f t="shared" si="3"/>
        <v>38.608863999999997</v>
      </c>
      <c r="T48" s="35">
        <f t="shared" si="3"/>
        <v>11.9808</v>
      </c>
      <c r="U48" s="35">
        <f t="shared" si="3"/>
        <v>0</v>
      </c>
      <c r="V48" s="35">
        <f t="shared" si="3"/>
        <v>0</v>
      </c>
      <c r="W48" s="35">
        <f t="shared" si="3"/>
        <v>0</v>
      </c>
    </row>
    <row r="49" spans="1:23" ht="24" customHeight="1">
      <c r="A49" s="57"/>
      <c r="B49" s="58"/>
      <c r="C49" s="59"/>
      <c r="D49" s="58"/>
      <c r="E49" s="60"/>
      <c r="F49" s="60"/>
      <c r="G49" s="60"/>
      <c r="H49" s="60"/>
      <c r="I49" s="60"/>
      <c r="J49" s="60"/>
      <c r="K49" s="60"/>
      <c r="L49" s="60"/>
      <c r="M49" s="60"/>
      <c r="N49" s="60"/>
      <c r="O49" s="60"/>
      <c r="P49" s="60"/>
      <c r="Q49" s="60"/>
      <c r="R49" s="60"/>
      <c r="S49" s="60"/>
      <c r="T49" s="60"/>
      <c r="U49" s="60"/>
      <c r="V49" s="60"/>
      <c r="W49" s="99"/>
    </row>
    <row r="50" spans="1:23" ht="30" customHeight="1">
      <c r="A50" s="994" t="s">
        <v>54</v>
      </c>
      <c r="B50" s="990" t="s">
        <v>1758</v>
      </c>
      <c r="C50" s="990" t="s">
        <v>1767</v>
      </c>
      <c r="D50" s="14" t="s">
        <v>1768</v>
      </c>
      <c r="E50" s="14" t="s">
        <v>1769</v>
      </c>
      <c r="F50" s="998" t="s">
        <v>1813</v>
      </c>
      <c r="G50" s="61" t="s">
        <v>1771</v>
      </c>
      <c r="H50" s="62"/>
      <c r="I50" s="996" t="s">
        <v>1828</v>
      </c>
      <c r="J50" s="997"/>
      <c r="K50" s="988" t="s">
        <v>1829</v>
      </c>
      <c r="L50" s="988"/>
      <c r="M50" s="1003" t="s">
        <v>375</v>
      </c>
      <c r="N50" s="988" t="s">
        <v>1818</v>
      </c>
      <c r="O50" s="988" t="s">
        <v>1819</v>
      </c>
      <c r="P50" s="988" t="s">
        <v>1830</v>
      </c>
      <c r="Q50" s="988" t="s">
        <v>1831</v>
      </c>
      <c r="R50" s="988" t="s">
        <v>1832</v>
      </c>
      <c r="S50" s="102" t="s">
        <v>1418</v>
      </c>
      <c r="T50" s="102" t="s">
        <v>1482</v>
      </c>
      <c r="U50" s="15"/>
      <c r="V50" s="15"/>
      <c r="W50" s="82"/>
    </row>
    <row r="51" spans="1:23" ht="35.25" customHeight="1">
      <c r="A51" s="994"/>
      <c r="B51" s="990"/>
      <c r="C51" s="990"/>
      <c r="D51" s="988" t="s">
        <v>1780</v>
      </c>
      <c r="E51" s="988"/>
      <c r="F51" s="998"/>
      <c r="G51" s="14" t="s">
        <v>1782</v>
      </c>
      <c r="H51" s="14" t="s">
        <v>1783</v>
      </c>
      <c r="I51" s="14" t="s">
        <v>1833</v>
      </c>
      <c r="J51" s="15" t="s">
        <v>1834</v>
      </c>
      <c r="K51" s="14" t="s">
        <v>1833</v>
      </c>
      <c r="L51" s="15" t="s">
        <v>1834</v>
      </c>
      <c r="M51" s="1004"/>
      <c r="N51" s="988"/>
      <c r="O51" s="988"/>
      <c r="P51" s="988"/>
      <c r="Q51" s="988"/>
      <c r="R51" s="988"/>
      <c r="S51" s="16">
        <v>1.1599999999999999</v>
      </c>
      <c r="T51" s="16">
        <v>0.79</v>
      </c>
      <c r="U51" s="15"/>
      <c r="V51" s="15"/>
      <c r="W51" s="15"/>
    </row>
    <row r="52" spans="1:23" ht="24.75" customHeight="1">
      <c r="A52" s="994"/>
      <c r="B52" s="990"/>
      <c r="C52" s="990"/>
      <c r="D52" s="14" t="s">
        <v>235</v>
      </c>
      <c r="E52" s="14" t="s">
        <v>1092</v>
      </c>
      <c r="F52" s="998"/>
      <c r="G52" s="16"/>
      <c r="H52" s="15"/>
      <c r="I52" s="15" t="s">
        <v>1823</v>
      </c>
      <c r="J52" s="15" t="s">
        <v>1823</v>
      </c>
      <c r="K52" s="15" t="s">
        <v>1823</v>
      </c>
      <c r="L52" s="15" t="s">
        <v>1823</v>
      </c>
      <c r="M52" s="17" t="s">
        <v>1092</v>
      </c>
      <c r="N52" s="988"/>
      <c r="O52" s="988"/>
      <c r="P52" s="15" t="s">
        <v>1835</v>
      </c>
      <c r="Q52" s="15" t="s">
        <v>1835</v>
      </c>
      <c r="R52" s="15" t="s">
        <v>1835</v>
      </c>
      <c r="S52" s="18">
        <f>1.16*2.18</f>
        <v>2.5287999999999999</v>
      </c>
      <c r="T52" s="18">
        <f>0.79*2.17</f>
        <v>1.7142999999999999</v>
      </c>
      <c r="U52" s="15"/>
      <c r="V52" s="15"/>
      <c r="W52" s="94"/>
    </row>
    <row r="53" spans="1:23" ht="24" customHeight="1">
      <c r="A53" s="53" t="s">
        <v>64</v>
      </c>
      <c r="B53" s="54"/>
      <c r="C53" s="54" t="s">
        <v>1354</v>
      </c>
      <c r="D53" s="54"/>
      <c r="E53" s="54"/>
      <c r="F53" s="54"/>
      <c r="G53" s="54"/>
      <c r="H53" s="54"/>
      <c r="I53" s="54"/>
      <c r="J53" s="54"/>
      <c r="K53" s="54"/>
      <c r="L53" s="54"/>
      <c r="M53" s="54"/>
      <c r="N53" s="54"/>
      <c r="O53" s="54"/>
      <c r="P53" s="54"/>
      <c r="Q53" s="54"/>
      <c r="R53" s="54"/>
      <c r="S53" s="54"/>
      <c r="T53" s="54"/>
      <c r="U53" s="54"/>
      <c r="V53" s="54"/>
      <c r="W53" s="95"/>
    </row>
    <row r="54" spans="1:23" ht="19.5" customHeight="1">
      <c r="A54" s="63" t="s">
        <v>1836</v>
      </c>
      <c r="B54" s="64" t="s">
        <v>133</v>
      </c>
      <c r="C54" s="64" t="s">
        <v>1837</v>
      </c>
      <c r="D54" s="65">
        <v>11.4</v>
      </c>
      <c r="E54" s="65">
        <v>8.24</v>
      </c>
      <c r="F54" s="65">
        <f>2.38+0.02</f>
        <v>2.4</v>
      </c>
      <c r="G54" s="65">
        <v>0</v>
      </c>
      <c r="H54" s="65">
        <v>1</v>
      </c>
      <c r="I54" s="65">
        <v>0</v>
      </c>
      <c r="J54" s="65">
        <v>0</v>
      </c>
      <c r="K54" s="65">
        <v>0</v>
      </c>
      <c r="L54" s="65">
        <v>0</v>
      </c>
      <c r="M54" s="65">
        <f>(0.46+2.38+2.91)*0.82</f>
        <v>4.7149999999999999</v>
      </c>
      <c r="N54" s="83">
        <f>(D54-I6*G54-J6*H54-I54-K54-S51*S54-T51*T54)*1</f>
        <v>9.75</v>
      </c>
      <c r="O54" s="84">
        <f>D54*F54-I7*G54-J7*H54-I54*2.24-J54*1.19-K54*2.24-L54*1.32-M54+(2.24+I54+J54+1.19+J54)*0.1*P54+(2.24*2+K54)*0.1*Q54+(1.32*2+L54*2)*0.1*R54-S52*S54-T52*T54</f>
        <v>19.114000000000001</v>
      </c>
      <c r="P54" s="64">
        <v>0</v>
      </c>
      <c r="Q54" s="64">
        <v>0</v>
      </c>
      <c r="R54" s="64">
        <v>0</v>
      </c>
      <c r="S54" s="64">
        <v>0</v>
      </c>
      <c r="T54" s="64">
        <v>0</v>
      </c>
      <c r="U54" s="64"/>
      <c r="V54" s="64"/>
      <c r="W54" s="100"/>
    </row>
    <row r="55" spans="1:23" ht="30" customHeight="1">
      <c r="A55" s="41"/>
      <c r="B55" s="15"/>
      <c r="C55" s="52" t="s">
        <v>1838</v>
      </c>
      <c r="D55" s="15"/>
      <c r="E55" s="30">
        <v>2.61</v>
      </c>
      <c r="F55" s="15"/>
      <c r="G55" s="15"/>
      <c r="H55" s="15"/>
      <c r="I55" s="15"/>
      <c r="J55" s="15"/>
      <c r="K55" s="15"/>
      <c r="L55" s="15"/>
      <c r="M55" s="15"/>
      <c r="N55" s="15"/>
      <c r="O55" s="15"/>
      <c r="P55" s="15"/>
      <c r="Q55" s="15"/>
      <c r="R55" s="15"/>
      <c r="S55" s="15"/>
      <c r="T55" s="15"/>
      <c r="U55" s="15"/>
      <c r="V55" s="15"/>
      <c r="W55" s="101"/>
    </row>
    <row r="56" spans="1:23" ht="22.5" customHeight="1">
      <c r="A56" s="66"/>
      <c r="B56" s="67"/>
      <c r="C56" s="68" t="s">
        <v>1839</v>
      </c>
      <c r="D56" s="67"/>
      <c r="E56" s="69">
        <f>E54-E55</f>
        <v>5.6300000000000008</v>
      </c>
      <c r="F56" s="70"/>
      <c r="G56" s="70"/>
      <c r="H56" s="70"/>
      <c r="I56" s="70"/>
      <c r="J56" s="70"/>
      <c r="K56" s="70"/>
      <c r="L56" s="70"/>
      <c r="M56" s="70"/>
      <c r="N56" s="70"/>
      <c r="O56" s="70"/>
      <c r="P56" s="70"/>
      <c r="Q56" s="70"/>
      <c r="R56" s="70"/>
      <c r="S56" s="70"/>
      <c r="T56" s="67"/>
      <c r="U56" s="67"/>
      <c r="V56" s="67"/>
      <c r="W56" s="67"/>
    </row>
    <row r="57" spans="1:23" ht="22.5" customHeight="1">
      <c r="A57" s="71"/>
      <c r="B57" s="72"/>
      <c r="C57" s="73"/>
      <c r="D57" s="72"/>
      <c r="E57" s="74"/>
      <c r="F57" s="75"/>
      <c r="G57" s="76"/>
      <c r="H57" s="77"/>
      <c r="I57" s="76"/>
      <c r="J57" s="77"/>
      <c r="K57" s="75"/>
      <c r="L57" s="75"/>
      <c r="M57" s="75"/>
      <c r="N57" s="75"/>
      <c r="O57" s="75"/>
      <c r="P57" s="75"/>
      <c r="Q57" s="75"/>
      <c r="R57" s="75"/>
      <c r="S57" s="75"/>
      <c r="T57" s="72"/>
      <c r="U57" s="72"/>
      <c r="V57" s="72"/>
      <c r="W57" s="72"/>
    </row>
    <row r="58" spans="1:23" ht="19.5" customHeight="1">
      <c r="A58" s="3" t="s">
        <v>1840</v>
      </c>
      <c r="E58" s="4"/>
      <c r="F58" s="4"/>
      <c r="G58" s="4"/>
      <c r="H58" s="4"/>
      <c r="I58" s="4"/>
      <c r="J58" s="4"/>
      <c r="K58" s="4"/>
      <c r="L58" s="4"/>
      <c r="M58" s="4"/>
      <c r="N58" s="4"/>
      <c r="O58" s="4"/>
      <c r="P58" s="4"/>
      <c r="Q58" s="4"/>
      <c r="R58" s="4"/>
      <c r="S58" s="4"/>
    </row>
    <row r="59" spans="1:23" ht="19.5" customHeight="1">
      <c r="A59" s="3"/>
      <c r="E59" s="4"/>
      <c r="F59" s="4"/>
      <c r="G59" s="4"/>
      <c r="H59" s="4"/>
      <c r="I59" s="4"/>
      <c r="J59" s="4"/>
      <c r="K59" s="4"/>
      <c r="L59" s="4"/>
      <c r="M59" s="4"/>
      <c r="N59" s="4"/>
      <c r="O59" s="4"/>
      <c r="P59" s="4"/>
      <c r="Q59" s="4"/>
      <c r="R59" s="4"/>
      <c r="S59" s="4"/>
    </row>
  </sheetData>
  <mergeCells count="38">
    <mergeCell ref="T4:T7"/>
    <mergeCell ref="T40:T42"/>
    <mergeCell ref="W4:W7"/>
    <mergeCell ref="M4:N5"/>
    <mergeCell ref="O4:P5"/>
    <mergeCell ref="U4:V5"/>
    <mergeCell ref="R4:R7"/>
    <mergeCell ref="R40:R42"/>
    <mergeCell ref="R50:R51"/>
    <mergeCell ref="S4:S7"/>
    <mergeCell ref="S40:S42"/>
    <mergeCell ref="M50:M51"/>
    <mergeCell ref="N50:N52"/>
    <mergeCell ref="O50:O52"/>
    <mergeCell ref="P50:P51"/>
    <mergeCell ref="Q4:Q7"/>
    <mergeCell ref="Q40:Q42"/>
    <mergeCell ref="Q50:Q51"/>
    <mergeCell ref="C4:C7"/>
    <mergeCell ref="C40:C42"/>
    <mergeCell ref="C50:C52"/>
    <mergeCell ref="D5:E5"/>
    <mergeCell ref="F4:F7"/>
    <mergeCell ref="F40:F42"/>
    <mergeCell ref="F50:F52"/>
    <mergeCell ref="D51:E51"/>
    <mergeCell ref="A4:A7"/>
    <mergeCell ref="A40:A42"/>
    <mergeCell ref="A50:A52"/>
    <mergeCell ref="B4:B7"/>
    <mergeCell ref="B40:B42"/>
    <mergeCell ref="B50:B52"/>
    <mergeCell ref="G4:K4"/>
    <mergeCell ref="H40:I40"/>
    <mergeCell ref="J40:K40"/>
    <mergeCell ref="D41:E41"/>
    <mergeCell ref="I50:J50"/>
    <mergeCell ref="K50:L50"/>
  </mergeCells>
  <phoneticPr fontId="7" type="noConversion"/>
  <printOptions horizontalCentered="1"/>
  <pageMargins left="0.43307086614173229" right="0.23622047244094491" top="0.74803149606299213" bottom="0.74803149606299213" header="0.31496062992125984" footer="0.31496062992125984"/>
  <pageSetup paperSize="9" scale="85" orientation="portrait" blackAndWhite="1" r:id="rId1"/>
  <headerFooter alignWithMargins="0">
    <oddFooter>&amp;C第 &amp;P 页，共 &amp;N 页</oddFooter>
  </headerFooter>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W59"/>
  <sheetViews>
    <sheetView workbookViewId="0">
      <pane xSplit="5" ySplit="7" topLeftCell="F14" activePane="bottomRight" state="frozen"/>
      <selection activeCell="J6" sqref="J6"/>
      <selection pane="topRight" activeCell="J6" sqref="J6"/>
      <selection pane="bottomLeft" activeCell="J6" sqref="J6"/>
      <selection pane="bottomRight" activeCell="J6" sqref="J6"/>
    </sheetView>
  </sheetViews>
  <sheetFormatPr defaultColWidth="9.125" defaultRowHeight="14.25"/>
  <cols>
    <col min="1" max="1" width="6.875" customWidth="1"/>
    <col min="2" max="2" width="11.75" customWidth="1"/>
    <col min="3" max="3" width="28" customWidth="1"/>
    <col min="4" max="4" width="9.25" customWidth="1"/>
    <col min="5" max="5" width="11.75" customWidth="1"/>
    <col min="6" max="11" width="9.25" customWidth="1"/>
    <col min="12" max="12" width="10.25" customWidth="1"/>
    <col min="13" max="18" width="9.25" customWidth="1"/>
    <col min="19" max="19" width="9.75" customWidth="1"/>
    <col min="20" max="21" width="9.25" customWidth="1"/>
    <col min="22" max="22" width="9.375" customWidth="1"/>
  </cols>
  <sheetData>
    <row r="1" spans="1:23" ht="21" customHeight="1">
      <c r="A1" s="3"/>
      <c r="C1" s="1" t="s">
        <v>1755</v>
      </c>
      <c r="E1" s="4"/>
      <c r="F1" s="4"/>
      <c r="G1" s="4"/>
      <c r="H1" s="4"/>
      <c r="I1" s="4"/>
      <c r="J1" s="4"/>
      <c r="K1" s="4"/>
      <c r="L1" s="4"/>
      <c r="M1" s="4"/>
      <c r="N1" s="4"/>
      <c r="O1" s="4"/>
      <c r="P1" s="4"/>
      <c r="Q1" s="4"/>
      <c r="R1" s="4"/>
      <c r="S1" s="4"/>
    </row>
    <row r="2" spans="1:23" ht="21" customHeight="1">
      <c r="A2" s="5" t="s">
        <v>1756</v>
      </c>
      <c r="B2" s="6" t="s">
        <v>131</v>
      </c>
      <c r="C2" s="7"/>
      <c r="D2" s="8" t="s">
        <v>1758</v>
      </c>
      <c r="E2" s="6" t="s">
        <v>1842</v>
      </c>
      <c r="F2" s="9"/>
      <c r="G2" s="8" t="s">
        <v>1760</v>
      </c>
      <c r="H2" s="6">
        <v>3</v>
      </c>
      <c r="I2" s="9" t="s">
        <v>1761</v>
      </c>
      <c r="J2" s="9"/>
      <c r="K2" s="9"/>
      <c r="L2" s="9"/>
      <c r="M2" s="9"/>
      <c r="N2" s="9"/>
      <c r="O2" s="9"/>
      <c r="P2" s="9"/>
      <c r="Q2" s="9"/>
      <c r="R2" s="9"/>
      <c r="S2" s="9"/>
    </row>
    <row r="3" spans="1:23" ht="21" customHeight="1">
      <c r="A3" s="10" t="s">
        <v>120</v>
      </c>
      <c r="B3" s="11" t="s">
        <v>246</v>
      </c>
      <c r="C3" s="7"/>
      <c r="D3" s="7"/>
      <c r="F3" s="9"/>
      <c r="G3" s="12" t="s">
        <v>1763</v>
      </c>
      <c r="H3" s="11">
        <v>2</v>
      </c>
      <c r="I3" s="9" t="s">
        <v>1764</v>
      </c>
      <c r="J3" s="9">
        <v>1</v>
      </c>
      <c r="K3" s="9" t="s">
        <v>1765</v>
      </c>
      <c r="L3" s="9">
        <v>0</v>
      </c>
      <c r="M3" s="9"/>
      <c r="N3" s="9"/>
      <c r="O3" s="9"/>
      <c r="P3" s="9"/>
      <c r="Q3" s="9"/>
      <c r="R3" s="9"/>
      <c r="S3" s="9"/>
    </row>
    <row r="4" spans="1:23" ht="35.25" customHeight="1">
      <c r="A4" s="991" t="s">
        <v>54</v>
      </c>
      <c r="B4" s="987" t="s">
        <v>1766</v>
      </c>
      <c r="C4" s="987" t="s">
        <v>1767</v>
      </c>
      <c r="D4" s="13" t="s">
        <v>1768</v>
      </c>
      <c r="E4" s="13" t="s">
        <v>1769</v>
      </c>
      <c r="F4" s="987" t="s">
        <v>1770</v>
      </c>
      <c r="G4" s="987" t="s">
        <v>1771</v>
      </c>
      <c r="H4" s="987"/>
      <c r="I4" s="987"/>
      <c r="J4" s="987"/>
      <c r="K4" s="987"/>
      <c r="L4" s="78" t="s">
        <v>1772</v>
      </c>
      <c r="M4" s="987" t="s">
        <v>1773</v>
      </c>
      <c r="N4" s="987"/>
      <c r="O4" s="987" t="s">
        <v>1774</v>
      </c>
      <c r="P4" s="987"/>
      <c r="Q4" s="987" t="s">
        <v>1775</v>
      </c>
      <c r="R4" s="987" t="s">
        <v>1776</v>
      </c>
      <c r="S4" s="987" t="s">
        <v>1777</v>
      </c>
      <c r="T4" s="987" t="s">
        <v>1778</v>
      </c>
      <c r="U4" s="987" t="s">
        <v>1574</v>
      </c>
      <c r="V4" s="987"/>
      <c r="W4" s="1000" t="s">
        <v>1779</v>
      </c>
    </row>
    <row r="5" spans="1:23" ht="24" customHeight="1">
      <c r="A5" s="992"/>
      <c r="B5" s="988"/>
      <c r="C5" s="988"/>
      <c r="D5" s="988" t="s">
        <v>1780</v>
      </c>
      <c r="E5" s="988"/>
      <c r="F5" s="988"/>
      <c r="G5" s="14" t="s">
        <v>1781</v>
      </c>
      <c r="H5" s="14" t="s">
        <v>1482</v>
      </c>
      <c r="I5" s="14" t="s">
        <v>1782</v>
      </c>
      <c r="J5" s="14" t="s">
        <v>1783</v>
      </c>
      <c r="K5" s="14" t="s">
        <v>1418</v>
      </c>
      <c r="L5" s="14" t="s">
        <v>1784</v>
      </c>
      <c r="M5" s="988"/>
      <c r="N5" s="988"/>
      <c r="O5" s="988"/>
      <c r="P5" s="988"/>
      <c r="Q5" s="988"/>
      <c r="R5" s="988"/>
      <c r="S5" s="988"/>
      <c r="T5" s="988"/>
      <c r="U5" s="988"/>
      <c r="V5" s="988"/>
      <c r="W5" s="1001"/>
    </row>
    <row r="6" spans="1:23" ht="27" customHeight="1">
      <c r="A6" s="992"/>
      <c r="B6" s="988"/>
      <c r="C6" s="988"/>
      <c r="D6" s="14"/>
      <c r="E6" s="15"/>
      <c r="F6" s="988"/>
      <c r="G6" s="16">
        <v>0.97</v>
      </c>
      <c r="H6" s="16">
        <v>0.99399999999999999</v>
      </c>
      <c r="I6" s="16">
        <v>0.84399999999999997</v>
      </c>
      <c r="J6" s="16">
        <v>1.65</v>
      </c>
      <c r="K6" s="16">
        <v>1.4</v>
      </c>
      <c r="L6" s="79"/>
      <c r="M6" s="14" t="s">
        <v>1785</v>
      </c>
      <c r="N6" s="15" t="s">
        <v>1786</v>
      </c>
      <c r="O6" s="14" t="s">
        <v>1785</v>
      </c>
      <c r="P6" s="15" t="s">
        <v>1786</v>
      </c>
      <c r="Q6" s="988"/>
      <c r="R6" s="988"/>
      <c r="S6" s="988"/>
      <c r="T6" s="988"/>
      <c r="U6" s="14" t="s">
        <v>1787</v>
      </c>
      <c r="V6" s="14" t="s">
        <v>1788</v>
      </c>
      <c r="W6" s="1001"/>
    </row>
    <row r="7" spans="1:23" ht="24.75" customHeight="1">
      <c r="A7" s="993"/>
      <c r="B7" s="989"/>
      <c r="C7" s="989"/>
      <c r="D7" s="17" t="s">
        <v>235</v>
      </c>
      <c r="E7" s="17" t="s">
        <v>1092</v>
      </c>
      <c r="F7" s="989"/>
      <c r="G7" s="18">
        <f>0.94*2.18</f>
        <v>2.0491999999999999</v>
      </c>
      <c r="H7" s="18">
        <f>0.994*2.272</f>
        <v>2.2583679999999999</v>
      </c>
      <c r="I7" s="18">
        <f>0.844*2.272</f>
        <v>1.9175679999999997</v>
      </c>
      <c r="J7" s="18">
        <f>1.65*2.14</f>
        <v>3.5310000000000001</v>
      </c>
      <c r="K7" s="18">
        <f>1.16*2.18</f>
        <v>2.5287999999999999</v>
      </c>
      <c r="L7" s="18">
        <v>2.27</v>
      </c>
      <c r="M7" s="80"/>
      <c r="N7" s="80"/>
      <c r="O7" s="80"/>
      <c r="P7" s="80"/>
      <c r="Q7" s="995"/>
      <c r="R7" s="989"/>
      <c r="S7" s="989"/>
      <c r="T7" s="989"/>
      <c r="U7" s="80" t="s">
        <v>1789</v>
      </c>
      <c r="V7" s="80" t="s">
        <v>1790</v>
      </c>
      <c r="W7" s="1002"/>
    </row>
    <row r="8" spans="1:23" ht="24.75" customHeight="1">
      <c r="A8" s="19" t="s">
        <v>58</v>
      </c>
      <c r="B8" s="20"/>
      <c r="C8" s="21" t="s">
        <v>1406</v>
      </c>
      <c r="D8" s="20"/>
      <c r="E8" s="20"/>
      <c r="F8" s="20"/>
      <c r="G8" s="22"/>
      <c r="H8" s="22"/>
      <c r="I8" s="22"/>
      <c r="J8" s="22"/>
      <c r="K8" s="22"/>
      <c r="L8" s="22"/>
      <c r="M8" s="22"/>
      <c r="N8" s="22"/>
      <c r="O8" s="22"/>
      <c r="P8" s="22"/>
      <c r="Q8" s="22"/>
      <c r="R8" s="20"/>
      <c r="S8" s="20"/>
      <c r="T8" s="20"/>
      <c r="U8" s="22"/>
      <c r="V8" s="22"/>
      <c r="W8" s="85"/>
    </row>
    <row r="9" spans="1:23" ht="24.75" customHeight="1">
      <c r="A9" s="23">
        <v>1</v>
      </c>
      <c r="B9" s="24"/>
      <c r="C9" s="25" t="s">
        <v>237</v>
      </c>
      <c r="D9" s="26"/>
      <c r="E9" s="27"/>
      <c r="F9" s="28"/>
      <c r="G9" s="29"/>
      <c r="H9" s="29"/>
      <c r="I9" s="29"/>
      <c r="J9" s="29"/>
      <c r="K9" s="29"/>
      <c r="L9" s="29"/>
      <c r="M9" s="29"/>
      <c r="N9" s="29"/>
      <c r="O9" s="29"/>
      <c r="P9" s="29"/>
      <c r="Q9" s="29"/>
      <c r="R9" s="28"/>
      <c r="S9" s="28"/>
      <c r="T9" s="28"/>
      <c r="U9" s="29"/>
      <c r="V9" s="29"/>
      <c r="W9" s="86"/>
    </row>
    <row r="10" spans="1:23" ht="24.75" customHeight="1">
      <c r="A10" s="23">
        <v>2</v>
      </c>
      <c r="B10" s="24"/>
      <c r="C10" s="25" t="s">
        <v>241</v>
      </c>
      <c r="D10" s="26"/>
      <c r="E10" s="27"/>
      <c r="F10" s="28"/>
      <c r="G10" s="29"/>
      <c r="H10" s="29"/>
      <c r="I10" s="29"/>
      <c r="J10" s="29"/>
      <c r="K10" s="29"/>
      <c r="L10" s="29"/>
      <c r="M10" s="29"/>
      <c r="N10" s="29"/>
      <c r="O10" s="29"/>
      <c r="P10" s="29"/>
      <c r="Q10" s="29"/>
      <c r="R10" s="28"/>
      <c r="S10" s="28"/>
      <c r="T10" s="28"/>
      <c r="U10" s="29"/>
      <c r="V10" s="29"/>
      <c r="W10" s="86"/>
    </row>
    <row r="11" spans="1:23" ht="24.75" customHeight="1">
      <c r="A11" s="23">
        <v>3</v>
      </c>
      <c r="B11" s="15"/>
      <c r="C11" s="15" t="s">
        <v>1791</v>
      </c>
      <c r="D11" s="26">
        <v>35.82</v>
      </c>
      <c r="E11" s="30">
        <v>41.66</v>
      </c>
      <c r="F11" s="29"/>
      <c r="G11" s="29"/>
      <c r="H11" s="29"/>
      <c r="I11" s="29"/>
      <c r="J11" s="29"/>
      <c r="K11" s="29"/>
      <c r="L11" s="29"/>
      <c r="M11" s="29"/>
      <c r="N11" s="29"/>
      <c r="O11" s="29"/>
      <c r="P11" s="29"/>
      <c r="Q11" s="29"/>
      <c r="R11" s="29"/>
      <c r="S11" s="15"/>
      <c r="T11" s="29"/>
      <c r="U11" s="29"/>
      <c r="V11" s="29"/>
      <c r="W11" s="87"/>
    </row>
    <row r="12" spans="1:23" ht="15.75" customHeight="1">
      <c r="A12" s="23">
        <v>4</v>
      </c>
      <c r="B12" s="15"/>
      <c r="C12" s="15" t="s">
        <v>1792</v>
      </c>
      <c r="D12" s="30">
        <v>4.9000000000000004</v>
      </c>
      <c r="E12" s="30">
        <v>2.5499999999999998</v>
      </c>
      <c r="F12" s="15">
        <f>3-0.5-0.065-0.1-0.012</f>
        <v>2.323</v>
      </c>
      <c r="G12" s="29"/>
      <c r="H12" s="29"/>
      <c r="I12" s="29"/>
      <c r="J12" s="29"/>
      <c r="K12" s="29"/>
      <c r="L12" s="29"/>
      <c r="M12" s="29"/>
      <c r="N12" s="29"/>
      <c r="O12" s="29"/>
      <c r="P12" s="29"/>
      <c r="Q12" s="29"/>
      <c r="R12" s="29"/>
      <c r="S12" s="32">
        <f>D12*F12</f>
        <v>11.3827</v>
      </c>
      <c r="T12" s="29"/>
      <c r="U12" s="29"/>
      <c r="V12" s="29"/>
      <c r="W12" s="87"/>
    </row>
    <row r="13" spans="1:23" ht="15.75" customHeight="1">
      <c r="A13" s="23">
        <v>5</v>
      </c>
      <c r="B13" s="15"/>
      <c r="C13" s="15" t="s">
        <v>1793</v>
      </c>
      <c r="D13" s="30">
        <v>0</v>
      </c>
      <c r="E13" s="31">
        <v>0</v>
      </c>
      <c r="F13" s="29"/>
      <c r="G13" s="29"/>
      <c r="H13" s="29"/>
      <c r="I13" s="29"/>
      <c r="J13" s="29"/>
      <c r="K13" s="29"/>
      <c r="L13" s="29"/>
      <c r="M13" s="29"/>
      <c r="N13" s="29"/>
      <c r="O13" s="29"/>
      <c r="P13" s="29"/>
      <c r="Q13" s="29"/>
      <c r="R13" s="29"/>
      <c r="S13" s="43"/>
      <c r="T13" s="29"/>
      <c r="U13" s="29"/>
      <c r="V13" s="29"/>
      <c r="W13" s="87"/>
    </row>
    <row r="14" spans="1:23" ht="15.75" customHeight="1">
      <c r="A14" s="23">
        <v>6</v>
      </c>
      <c r="B14" s="15"/>
      <c r="C14" s="15" t="s">
        <v>1794</v>
      </c>
      <c r="D14" s="30">
        <v>7.56</v>
      </c>
      <c r="E14" s="30">
        <v>3.82</v>
      </c>
      <c r="F14" s="15">
        <f>3-0.5-0.065-0.1-0.012</f>
        <v>2.323</v>
      </c>
      <c r="G14" s="29"/>
      <c r="H14" s="29"/>
      <c r="I14" s="29"/>
      <c r="J14" s="29"/>
      <c r="K14" s="29"/>
      <c r="L14" s="29"/>
      <c r="M14" s="29"/>
      <c r="N14" s="29"/>
      <c r="O14" s="29"/>
      <c r="P14" s="29"/>
      <c r="Q14" s="29"/>
      <c r="R14" s="29"/>
      <c r="S14" s="32">
        <f>D14*F14</f>
        <v>17.561879999999999</v>
      </c>
      <c r="T14" s="29"/>
      <c r="U14" s="29"/>
      <c r="V14" s="29"/>
      <c r="W14" s="87"/>
    </row>
    <row r="15" spans="1:23" ht="15.75" customHeight="1">
      <c r="A15" s="23">
        <v>7</v>
      </c>
      <c r="B15" s="15"/>
      <c r="C15" s="15" t="s">
        <v>1795</v>
      </c>
      <c r="D15" s="30">
        <v>1.2</v>
      </c>
      <c r="E15" s="30">
        <v>0</v>
      </c>
      <c r="F15" s="32">
        <f>D15*E15</f>
        <v>0</v>
      </c>
      <c r="G15" s="29"/>
      <c r="H15" s="29"/>
      <c r="I15" s="29"/>
      <c r="J15" s="29"/>
      <c r="K15" s="29"/>
      <c r="L15" s="29"/>
      <c r="M15" s="29"/>
      <c r="N15" s="29"/>
      <c r="O15" s="29"/>
      <c r="P15" s="29"/>
      <c r="Q15" s="29"/>
      <c r="R15" s="29"/>
      <c r="S15" s="43"/>
      <c r="T15" s="29"/>
      <c r="U15" s="29"/>
      <c r="V15" s="29"/>
      <c r="W15" s="87"/>
    </row>
    <row r="16" spans="1:23" ht="15.75" customHeight="1">
      <c r="A16" s="23">
        <v>8</v>
      </c>
      <c r="B16" s="15"/>
      <c r="C16" s="15" t="s">
        <v>1796</v>
      </c>
      <c r="D16" s="30">
        <v>2.96</v>
      </c>
      <c r="E16" s="33"/>
      <c r="F16" s="30">
        <f>3-0.1-0.012-0.135-0.065-0.1</f>
        <v>2.5880000000000001</v>
      </c>
      <c r="G16" s="29"/>
      <c r="H16" s="29"/>
      <c r="I16" s="29"/>
      <c r="J16" s="29"/>
      <c r="K16" s="29"/>
      <c r="L16" s="29"/>
      <c r="M16" s="29"/>
      <c r="N16" s="29"/>
      <c r="O16" s="29"/>
      <c r="P16" s="29"/>
      <c r="Q16" s="29"/>
      <c r="R16" s="29"/>
      <c r="S16" s="32">
        <f>(D16-0.2)*(F16-0.1)</f>
        <v>6.8668799999999992</v>
      </c>
      <c r="T16" s="29"/>
      <c r="U16" s="29"/>
      <c r="V16" s="29"/>
      <c r="W16" s="87"/>
    </row>
    <row r="17" spans="1:23" ht="15.75" customHeight="1">
      <c r="A17" s="23">
        <v>9</v>
      </c>
      <c r="B17" s="15"/>
      <c r="C17" s="15" t="s">
        <v>1797</v>
      </c>
      <c r="D17" s="32">
        <f>D11-D12-D14-D16</f>
        <v>20.400000000000002</v>
      </c>
      <c r="E17" s="29"/>
      <c r="F17" s="15">
        <f>3-0.1-0.012-0.135-0.065-0.1</f>
        <v>2.5880000000000001</v>
      </c>
      <c r="G17" s="15">
        <f>H2</f>
        <v>3</v>
      </c>
      <c r="H17" s="15">
        <v>1</v>
      </c>
      <c r="I17" s="15">
        <v>1</v>
      </c>
      <c r="J17" s="15">
        <v>0</v>
      </c>
      <c r="K17" s="15">
        <v>1</v>
      </c>
      <c r="L17" s="30">
        <v>3</v>
      </c>
      <c r="M17" s="30">
        <v>2.34</v>
      </c>
      <c r="N17" s="30">
        <v>1.4</v>
      </c>
      <c r="O17" s="30">
        <v>0</v>
      </c>
      <c r="P17" s="30">
        <v>0</v>
      </c>
      <c r="Q17" s="30">
        <f>1.72*(0.4-0.1-0.135)+1.1*(0.5-0.1-0.135)+(L7*2+L17)*0.07</f>
        <v>1.1031000000000002</v>
      </c>
      <c r="R17" s="15">
        <v>0</v>
      </c>
      <c r="S17" s="32">
        <f>D17*F17-(G17*$G$7+H17*$H$7+I17*$I$7+J17*$J$7+K17*$K$7+L17*$L$7)-M17*N17-P17*O17+Q17+R17</f>
        <v>30.959964000000014</v>
      </c>
      <c r="T17" s="29"/>
      <c r="U17" s="29"/>
      <c r="V17" s="29"/>
      <c r="W17" s="87"/>
    </row>
    <row r="18" spans="1:23" ht="15.75" customHeight="1">
      <c r="A18" s="23">
        <v>10</v>
      </c>
      <c r="B18" s="34"/>
      <c r="C18" s="34" t="s">
        <v>1798</v>
      </c>
      <c r="D18" s="34"/>
      <c r="E18" s="35">
        <f>E11</f>
        <v>41.66</v>
      </c>
      <c r="F18" s="36"/>
      <c r="G18" s="36"/>
      <c r="H18" s="36"/>
      <c r="I18" s="36"/>
      <c r="J18" s="36"/>
      <c r="K18" s="36"/>
      <c r="L18" s="36"/>
      <c r="M18" s="36"/>
      <c r="N18" s="36"/>
      <c r="O18" s="36"/>
      <c r="P18" s="36"/>
      <c r="Q18" s="36"/>
      <c r="R18" s="36"/>
      <c r="S18" s="35">
        <f>S12+S14+S17</f>
        <v>59.904544000000016</v>
      </c>
      <c r="T18" s="35">
        <f>D11-($G$6*G17+$H$6*H17+$I$6*I17+$J$6*J17+$K$6*K17+L17)</f>
        <v>26.672000000000001</v>
      </c>
      <c r="U18" s="35">
        <f>M17*0.12</f>
        <v>0.28079999999999999</v>
      </c>
      <c r="V18" s="35">
        <f>O17*0.7</f>
        <v>0</v>
      </c>
      <c r="W18" s="88">
        <v>0</v>
      </c>
    </row>
    <row r="19" spans="1:23" ht="24.75" customHeight="1">
      <c r="A19" s="37" t="s">
        <v>60</v>
      </c>
      <c r="B19" s="38"/>
      <c r="C19" s="39" t="s">
        <v>1799</v>
      </c>
      <c r="D19" s="38"/>
      <c r="E19" s="38"/>
      <c r="F19" s="38"/>
      <c r="G19" s="40"/>
      <c r="H19" s="40"/>
      <c r="I19" s="40"/>
      <c r="J19" s="40"/>
      <c r="K19" s="40"/>
      <c r="L19" s="40"/>
      <c r="M19" s="40"/>
      <c r="N19" s="40"/>
      <c r="O19" s="40"/>
      <c r="P19" s="40"/>
      <c r="Q19" s="40"/>
      <c r="R19" s="38"/>
      <c r="S19" s="38"/>
      <c r="T19" s="38"/>
      <c r="U19" s="40"/>
      <c r="V19" s="40"/>
      <c r="W19" s="89"/>
    </row>
    <row r="20" spans="1:23" ht="15.75" customHeight="1">
      <c r="A20" s="41">
        <v>1</v>
      </c>
      <c r="B20" s="15" t="s">
        <v>1374</v>
      </c>
      <c r="C20" s="15" t="s">
        <v>1800</v>
      </c>
      <c r="D20" s="30">
        <v>21.85</v>
      </c>
      <c r="E20" s="30">
        <v>21.82</v>
      </c>
      <c r="F20" s="15"/>
      <c r="G20" s="29"/>
      <c r="H20" s="29"/>
      <c r="I20" s="29"/>
      <c r="J20" s="29"/>
      <c r="K20" s="29"/>
      <c r="L20" s="29"/>
      <c r="M20" s="29"/>
      <c r="N20" s="29"/>
      <c r="O20" s="29"/>
      <c r="P20" s="29"/>
      <c r="Q20" s="29"/>
      <c r="R20" s="29"/>
      <c r="S20" s="29"/>
      <c r="T20" s="29"/>
      <c r="U20" s="29"/>
      <c r="V20" s="29"/>
      <c r="W20" s="90"/>
    </row>
    <row r="21" spans="1:23" ht="15.75" customHeight="1">
      <c r="A21" s="41">
        <v>2</v>
      </c>
      <c r="B21" s="15"/>
      <c r="C21" s="15" t="s">
        <v>1794</v>
      </c>
      <c r="D21" s="30">
        <v>0</v>
      </c>
      <c r="E21" s="30">
        <v>0</v>
      </c>
      <c r="F21" s="15">
        <v>0</v>
      </c>
      <c r="G21" s="29"/>
      <c r="H21" s="29"/>
      <c r="I21" s="29"/>
      <c r="J21" s="29"/>
      <c r="K21" s="29"/>
      <c r="L21" s="29"/>
      <c r="M21" s="29"/>
      <c r="N21" s="29"/>
      <c r="O21" s="29"/>
      <c r="P21" s="29"/>
      <c r="Q21" s="29"/>
      <c r="R21" s="29"/>
      <c r="S21" s="16">
        <f>D21*F21</f>
        <v>0</v>
      </c>
      <c r="T21" s="29"/>
      <c r="U21" s="29"/>
      <c r="V21" s="29"/>
      <c r="W21" s="87"/>
    </row>
    <row r="22" spans="1:23" ht="15.75" customHeight="1">
      <c r="A22" s="41">
        <v>3</v>
      </c>
      <c r="B22" s="15"/>
      <c r="C22" s="15" t="s">
        <v>1801</v>
      </c>
      <c r="D22" s="32">
        <f>D20-D21</f>
        <v>21.85</v>
      </c>
      <c r="E22" s="32">
        <f>E20-E21</f>
        <v>21.82</v>
      </c>
      <c r="F22" s="15">
        <f>3-0.1-0.012-0.1-0.065-0.1</f>
        <v>2.6229999999999998</v>
      </c>
      <c r="G22" s="30">
        <v>1</v>
      </c>
      <c r="H22" s="15">
        <v>1</v>
      </c>
      <c r="I22" s="29"/>
      <c r="J22" s="29"/>
      <c r="K22" s="29"/>
      <c r="L22" s="30">
        <v>2.74</v>
      </c>
      <c r="M22" s="30">
        <v>1.48</v>
      </c>
      <c r="N22" s="30">
        <v>1.46</v>
      </c>
      <c r="O22" s="30">
        <v>0</v>
      </c>
      <c r="P22" s="30">
        <v>0</v>
      </c>
      <c r="Q22" s="30"/>
      <c r="R22" s="30"/>
      <c r="S22" s="16">
        <f>D22*F22-(G22*$G$7+H22*$H$7+I22*$I$7+J22*$J$7+K22*$K$7+L22*$L$7)-M22*N22-O22*P22+Q22+R22</f>
        <v>44.624382000000004</v>
      </c>
      <c r="T22" s="29"/>
      <c r="U22" s="29"/>
      <c r="V22" s="29"/>
      <c r="W22" s="87"/>
    </row>
    <row r="23" spans="1:23" ht="15.75" customHeight="1">
      <c r="A23" s="41"/>
      <c r="B23" s="15"/>
      <c r="C23" s="15" t="s">
        <v>240</v>
      </c>
      <c r="D23" s="42">
        <v>0</v>
      </c>
      <c r="E23" s="43"/>
      <c r="F23" s="29"/>
      <c r="G23" s="29"/>
      <c r="H23" s="29"/>
      <c r="I23" s="29"/>
      <c r="J23" s="29"/>
      <c r="K23" s="29"/>
      <c r="L23" s="29"/>
      <c r="M23" s="29"/>
      <c r="N23" s="29"/>
      <c r="O23" s="29"/>
      <c r="P23" s="29"/>
      <c r="Q23" s="29"/>
      <c r="R23" s="29"/>
      <c r="S23" s="91"/>
      <c r="T23" s="29"/>
      <c r="U23" s="29"/>
      <c r="V23" s="29"/>
      <c r="W23" s="87"/>
    </row>
    <row r="24" spans="1:23" ht="15.75" customHeight="1">
      <c r="A24" s="41"/>
      <c r="B24" s="15"/>
      <c r="C24" s="44" t="s">
        <v>285</v>
      </c>
      <c r="D24" s="42">
        <v>13.87</v>
      </c>
      <c r="E24" s="43"/>
      <c r="F24" s="29"/>
      <c r="G24" s="29"/>
      <c r="H24" s="29"/>
      <c r="I24" s="29"/>
      <c r="J24" s="29"/>
      <c r="K24" s="29"/>
      <c r="L24" s="29"/>
      <c r="M24" s="29"/>
      <c r="N24" s="29"/>
      <c r="O24" s="29"/>
      <c r="P24" s="29"/>
      <c r="Q24" s="29"/>
      <c r="R24" s="29"/>
      <c r="S24" s="91"/>
      <c r="T24" s="29"/>
      <c r="U24" s="29"/>
      <c r="V24" s="29"/>
      <c r="W24" s="87"/>
    </row>
    <row r="25" spans="1:23" ht="15.75" customHeight="1">
      <c r="A25" s="45">
        <v>4</v>
      </c>
      <c r="B25" s="34" t="s">
        <v>133</v>
      </c>
      <c r="C25" s="34" t="s">
        <v>1802</v>
      </c>
      <c r="D25" s="34"/>
      <c r="E25" s="34">
        <f>E20</f>
        <v>21.82</v>
      </c>
      <c r="F25" s="36"/>
      <c r="G25" s="36"/>
      <c r="H25" s="36"/>
      <c r="I25" s="36"/>
      <c r="J25" s="36"/>
      <c r="K25" s="36"/>
      <c r="L25" s="36"/>
      <c r="M25" s="36"/>
      <c r="N25" s="36"/>
      <c r="O25" s="36"/>
      <c r="P25" s="36"/>
      <c r="Q25" s="36"/>
      <c r="R25" s="36"/>
      <c r="S25" s="35">
        <f>SUM(S21:S22)</f>
        <v>44.624382000000004</v>
      </c>
      <c r="T25" s="35">
        <f>D20-($G$6*G22+$H$6*H22)</f>
        <v>19.886000000000003</v>
      </c>
      <c r="U25" s="35">
        <f>M22*0.12</f>
        <v>0.17759999999999998</v>
      </c>
      <c r="V25" s="35">
        <f>O22*0.7</f>
        <v>0</v>
      </c>
      <c r="W25" s="88">
        <v>0</v>
      </c>
    </row>
    <row r="26" spans="1:23" ht="15.75" customHeight="1">
      <c r="A26" s="41">
        <v>5</v>
      </c>
      <c r="B26" s="15" t="s">
        <v>1803</v>
      </c>
      <c r="C26" s="15" t="s">
        <v>1804</v>
      </c>
      <c r="D26" s="30">
        <v>18.760000000000002</v>
      </c>
      <c r="E26" s="30">
        <v>17.440000000000001</v>
      </c>
      <c r="F26" s="15"/>
      <c r="G26" s="29"/>
      <c r="H26" s="29"/>
      <c r="I26" s="29"/>
      <c r="J26" s="29"/>
      <c r="K26" s="29"/>
      <c r="L26" s="29"/>
      <c r="M26" s="29"/>
      <c r="N26" s="29"/>
      <c r="O26" s="29"/>
      <c r="P26" s="29"/>
      <c r="Q26" s="29"/>
      <c r="R26" s="29"/>
      <c r="S26" s="29"/>
      <c r="T26" s="29"/>
      <c r="U26" s="29"/>
      <c r="V26" s="29"/>
      <c r="W26" s="90"/>
    </row>
    <row r="27" spans="1:23" ht="15.75" customHeight="1">
      <c r="A27" s="41">
        <v>6</v>
      </c>
      <c r="B27" s="15"/>
      <c r="C27" s="15" t="s">
        <v>1794</v>
      </c>
      <c r="D27" s="30">
        <v>2.94</v>
      </c>
      <c r="E27" s="30">
        <v>1.04</v>
      </c>
      <c r="F27" s="15">
        <f t="shared" ref="F27" si="0">3-0.1-0.012-0.1-0.065-0.1</f>
        <v>2.6229999999999998</v>
      </c>
      <c r="G27" s="29"/>
      <c r="H27" s="29"/>
      <c r="I27" s="29"/>
      <c r="J27" s="29"/>
      <c r="K27" s="29"/>
      <c r="L27" s="29"/>
      <c r="M27" s="29"/>
      <c r="N27" s="29"/>
      <c r="O27" s="29"/>
      <c r="P27" s="29"/>
      <c r="Q27" s="29"/>
      <c r="R27" s="29"/>
      <c r="S27" s="16">
        <f>D27*F27</f>
        <v>7.711619999999999</v>
      </c>
      <c r="T27" s="29"/>
      <c r="U27" s="29"/>
      <c r="V27" s="29"/>
      <c r="W27" s="87"/>
    </row>
    <row r="28" spans="1:23" ht="15.75" customHeight="1">
      <c r="A28" s="41">
        <v>7</v>
      </c>
      <c r="B28" s="15"/>
      <c r="C28" s="15" t="s">
        <v>1805</v>
      </c>
      <c r="D28" s="32">
        <f>D26-D27</f>
        <v>15.820000000000002</v>
      </c>
      <c r="E28" s="32">
        <f>E26-E27</f>
        <v>16.400000000000002</v>
      </c>
      <c r="F28" s="15">
        <f>3-0.1-0.012-0.1-0.065-0.1</f>
        <v>2.6229999999999998</v>
      </c>
      <c r="G28" s="30">
        <v>1</v>
      </c>
      <c r="H28" s="15">
        <v>0</v>
      </c>
      <c r="I28" s="29"/>
      <c r="J28" s="29"/>
      <c r="K28" s="29"/>
      <c r="L28" s="30">
        <v>1.35</v>
      </c>
      <c r="M28" s="30">
        <v>1.71</v>
      </c>
      <c r="N28" s="30">
        <v>1.46</v>
      </c>
      <c r="O28" s="30">
        <v>0</v>
      </c>
      <c r="P28" s="30">
        <v>0</v>
      </c>
      <c r="Q28" s="30"/>
      <c r="R28" s="30"/>
      <c r="S28" s="16">
        <f>D28*F28-(G28*$G$7+H28*$H$7+I28*$I$7+J28*$J$7+K28*$K$7+L28*$L$7)-M28*N28-O28*P28+Q28+R28</f>
        <v>33.885559999999998</v>
      </c>
      <c r="T28" s="29"/>
      <c r="U28" s="29"/>
      <c r="V28" s="29"/>
      <c r="W28" s="87"/>
    </row>
    <row r="29" spans="1:23" ht="15.75" customHeight="1">
      <c r="A29" s="41"/>
      <c r="B29" s="15"/>
      <c r="C29" s="44" t="s">
        <v>285</v>
      </c>
      <c r="D29" s="42">
        <v>16.559999999999999</v>
      </c>
      <c r="E29" s="43"/>
      <c r="F29" s="29"/>
      <c r="G29" s="29"/>
      <c r="H29" s="29"/>
      <c r="I29" s="29"/>
      <c r="J29" s="29"/>
      <c r="K29" s="29"/>
      <c r="L29" s="29"/>
      <c r="M29" s="29"/>
      <c r="N29" s="29"/>
      <c r="O29" s="29"/>
      <c r="P29" s="29"/>
      <c r="Q29" s="29"/>
      <c r="R29" s="29"/>
      <c r="S29" s="91"/>
      <c r="T29" s="29"/>
      <c r="U29" s="29"/>
      <c r="V29" s="29"/>
      <c r="W29" s="87"/>
    </row>
    <row r="30" spans="1:23" ht="15.75" customHeight="1">
      <c r="A30" s="46">
        <v>8</v>
      </c>
      <c r="B30" s="47" t="s">
        <v>246</v>
      </c>
      <c r="C30" s="34" t="s">
        <v>1806</v>
      </c>
      <c r="D30" s="34"/>
      <c r="E30" s="34">
        <f>E26</f>
        <v>17.440000000000001</v>
      </c>
      <c r="F30" s="36"/>
      <c r="G30" s="36"/>
      <c r="H30" s="36"/>
      <c r="I30" s="36"/>
      <c r="J30" s="36"/>
      <c r="K30" s="36"/>
      <c r="L30" s="36"/>
      <c r="M30" s="36"/>
      <c r="N30" s="36"/>
      <c r="O30" s="36"/>
      <c r="P30" s="36"/>
      <c r="Q30" s="36"/>
      <c r="R30" s="36"/>
      <c r="S30" s="35">
        <f>SUM(S27:S28)</f>
        <v>41.597179999999994</v>
      </c>
      <c r="T30" s="35">
        <f>D26-($G$6*G28+$H$6*H28)</f>
        <v>17.790000000000003</v>
      </c>
      <c r="U30" s="35">
        <f>M28*0.12</f>
        <v>0.20519999999999999</v>
      </c>
      <c r="V30" s="35">
        <f>O28*0.7</f>
        <v>0</v>
      </c>
      <c r="W30" s="88">
        <v>0</v>
      </c>
    </row>
    <row r="31" spans="1:23" ht="15.75" customHeight="1">
      <c r="A31" s="41">
        <v>9</v>
      </c>
      <c r="B31" s="15" t="s">
        <v>1807</v>
      </c>
      <c r="C31" s="15" t="s">
        <v>1808</v>
      </c>
      <c r="D31" s="30">
        <v>8.8000000000000007</v>
      </c>
      <c r="E31" s="30">
        <v>4.84</v>
      </c>
      <c r="F31" s="15">
        <f>3-0.1-0.012-0.1-0.065-0.1</f>
        <v>2.6229999999999998</v>
      </c>
      <c r="G31" s="29"/>
      <c r="H31" s="29"/>
      <c r="I31" s="29"/>
      <c r="J31" s="29"/>
      <c r="K31" s="29"/>
      <c r="L31" s="29"/>
      <c r="M31" s="29"/>
      <c r="N31" s="29"/>
      <c r="O31" s="29"/>
      <c r="P31" s="29"/>
      <c r="Q31" s="29"/>
      <c r="R31" s="29"/>
      <c r="S31" s="29"/>
      <c r="T31" s="29"/>
      <c r="U31" s="29"/>
      <c r="V31" s="29"/>
      <c r="W31" s="90"/>
    </row>
    <row r="32" spans="1:23" ht="15.75" customHeight="1">
      <c r="A32" s="41">
        <v>10</v>
      </c>
      <c r="B32" s="15"/>
      <c r="C32" s="15" t="s">
        <v>1794</v>
      </c>
      <c r="D32" s="30">
        <v>0</v>
      </c>
      <c r="E32" s="30">
        <v>0</v>
      </c>
      <c r="F32" s="15">
        <v>0</v>
      </c>
      <c r="G32" s="29"/>
      <c r="H32" s="29"/>
      <c r="I32" s="29"/>
      <c r="J32" s="29"/>
      <c r="K32" s="29"/>
      <c r="L32" s="29"/>
      <c r="M32" s="29"/>
      <c r="N32" s="29"/>
      <c r="O32" s="29"/>
      <c r="P32" s="29"/>
      <c r="Q32" s="29"/>
      <c r="R32" s="29"/>
      <c r="S32" s="16">
        <f>D32*F32</f>
        <v>0</v>
      </c>
      <c r="T32" s="29"/>
      <c r="U32" s="29"/>
      <c r="V32" s="29"/>
      <c r="W32" s="87"/>
    </row>
    <row r="33" spans="1:23" ht="15.75" customHeight="1">
      <c r="A33" s="41">
        <v>11</v>
      </c>
      <c r="B33" s="15"/>
      <c r="C33" s="15" t="s">
        <v>1809</v>
      </c>
      <c r="D33" s="32">
        <f>D31-D32</f>
        <v>8.8000000000000007</v>
      </c>
      <c r="E33" s="32">
        <f>E31-E32</f>
        <v>4.84</v>
      </c>
      <c r="F33" s="15">
        <f>3-0.1-0.012-0.1-0.065-0.1</f>
        <v>2.6229999999999998</v>
      </c>
      <c r="G33" s="30">
        <v>0</v>
      </c>
      <c r="H33" s="15"/>
      <c r="I33" s="29"/>
      <c r="J33" s="29"/>
      <c r="K33" s="29"/>
      <c r="L33" s="29"/>
      <c r="M33" s="30">
        <v>1.48</v>
      </c>
      <c r="N33" s="30">
        <v>1.4</v>
      </c>
      <c r="O33" s="30">
        <v>0</v>
      </c>
      <c r="P33" s="30">
        <v>0</v>
      </c>
      <c r="Q33" s="30">
        <v>0</v>
      </c>
      <c r="R33" s="30">
        <v>0</v>
      </c>
      <c r="S33" s="16">
        <f>D33*F33-(G33*$G$7+H33*$H$7+I33*$I$7+J33*$J$7+K33*$K$7+L33*$L$7)-M33*N33-O33*P33+Q33+R33</f>
        <v>21.010400000000001</v>
      </c>
      <c r="T33" s="29"/>
      <c r="U33" s="29"/>
      <c r="V33" s="29"/>
      <c r="W33" s="87"/>
    </row>
    <row r="34" spans="1:23" ht="15.75" customHeight="1">
      <c r="A34" s="41"/>
      <c r="B34" s="15"/>
      <c r="C34" s="44" t="s">
        <v>285</v>
      </c>
      <c r="D34" s="42">
        <v>8</v>
      </c>
      <c r="E34" s="43"/>
      <c r="F34" s="29"/>
      <c r="G34" s="29"/>
      <c r="H34" s="29"/>
      <c r="I34" s="29"/>
      <c r="J34" s="29"/>
      <c r="K34" s="29"/>
      <c r="L34" s="29"/>
      <c r="M34" s="29"/>
      <c r="N34" s="29"/>
      <c r="O34" s="29"/>
      <c r="P34" s="29"/>
      <c r="Q34" s="29"/>
      <c r="R34" s="29"/>
      <c r="S34" s="91"/>
      <c r="T34" s="29"/>
      <c r="U34" s="29"/>
      <c r="V34" s="29"/>
      <c r="W34" s="87"/>
    </row>
    <row r="35" spans="1:23" ht="15.75" customHeight="1">
      <c r="A35" s="46">
        <v>12</v>
      </c>
      <c r="B35" s="47" t="s">
        <v>136</v>
      </c>
      <c r="C35" s="34" t="s">
        <v>1810</v>
      </c>
      <c r="D35" s="34"/>
      <c r="E35" s="34">
        <f>E31</f>
        <v>4.84</v>
      </c>
      <c r="F35" s="36"/>
      <c r="G35" s="36"/>
      <c r="H35" s="36"/>
      <c r="I35" s="36"/>
      <c r="J35" s="36"/>
      <c r="K35" s="36"/>
      <c r="L35" s="36"/>
      <c r="M35" s="36"/>
      <c r="N35" s="36"/>
      <c r="O35" s="36"/>
      <c r="P35" s="36"/>
      <c r="Q35" s="36"/>
      <c r="R35" s="36"/>
      <c r="S35" s="35">
        <f>SUM(S32:S33)</f>
        <v>21.010400000000001</v>
      </c>
      <c r="T35" s="35">
        <f>D31-($G$6*G33+$H$6*H33)</f>
        <v>8.8000000000000007</v>
      </c>
      <c r="U35" s="35">
        <f>M33*0.12</f>
        <v>0.17759999999999998</v>
      </c>
      <c r="V35" s="35">
        <f>O33*0.7</f>
        <v>0</v>
      </c>
      <c r="W35" s="88">
        <v>0</v>
      </c>
    </row>
    <row r="36" spans="1:23" ht="15.75" customHeight="1">
      <c r="A36" s="46">
        <v>13</v>
      </c>
      <c r="B36" s="47"/>
      <c r="C36" s="34" t="s">
        <v>1811</v>
      </c>
      <c r="D36" s="47"/>
      <c r="E36" s="35">
        <f>E25+E30+E35</f>
        <v>44.100000000000009</v>
      </c>
      <c r="F36" s="47"/>
      <c r="G36" s="47"/>
      <c r="H36" s="47"/>
      <c r="I36" s="47"/>
      <c r="J36" s="47"/>
      <c r="K36" s="47"/>
      <c r="L36" s="47"/>
      <c r="M36" s="47"/>
      <c r="N36" s="47"/>
      <c r="O36" s="47"/>
      <c r="P36" s="47"/>
      <c r="Q36" s="47"/>
      <c r="R36" s="47"/>
      <c r="S36" s="35">
        <f t="shared" ref="S36" si="1">S25+S30+S35</f>
        <v>107.23196200000001</v>
      </c>
      <c r="T36" s="35">
        <f>T25+T30+T35</f>
        <v>46.475999999999999</v>
      </c>
      <c r="U36" s="35">
        <f>U25+U30+U35</f>
        <v>0.56040000000000001</v>
      </c>
      <c r="V36" s="35">
        <f>V25+V30+V35</f>
        <v>0</v>
      </c>
      <c r="W36" s="35">
        <f>W25+W30+W35</f>
        <v>0</v>
      </c>
    </row>
    <row r="37" spans="1:23" ht="24.75" customHeight="1">
      <c r="A37" s="37" t="s">
        <v>60</v>
      </c>
      <c r="B37" s="38"/>
      <c r="C37" s="39" t="s">
        <v>1812</v>
      </c>
      <c r="D37" s="38"/>
      <c r="E37" s="38"/>
      <c r="F37" s="38"/>
      <c r="G37" s="40"/>
      <c r="H37" s="40"/>
      <c r="I37" s="40"/>
      <c r="J37" s="40"/>
      <c r="K37" s="40"/>
      <c r="L37" s="40"/>
      <c r="M37" s="40"/>
      <c r="N37" s="40"/>
      <c r="O37" s="40"/>
      <c r="P37" s="40"/>
      <c r="Q37" s="40"/>
      <c r="R37" s="38"/>
      <c r="S37" s="38">
        <v>0</v>
      </c>
      <c r="T37" s="38"/>
      <c r="U37" s="40"/>
      <c r="V37" s="40"/>
      <c r="W37" s="89"/>
    </row>
    <row r="38" spans="1:23" ht="15.75" customHeight="1">
      <c r="A38" s="48">
        <v>7</v>
      </c>
      <c r="B38" s="49"/>
      <c r="C38" s="49" t="s">
        <v>634</v>
      </c>
      <c r="D38" s="32">
        <v>0</v>
      </c>
      <c r="E38" s="32">
        <v>0</v>
      </c>
      <c r="F38" s="49">
        <v>2.73</v>
      </c>
      <c r="G38" s="49">
        <v>1</v>
      </c>
      <c r="H38" s="49"/>
      <c r="I38" s="81"/>
      <c r="J38" s="81"/>
      <c r="K38" s="81"/>
      <c r="L38" s="81"/>
      <c r="M38" s="81"/>
      <c r="N38" s="81"/>
      <c r="O38" s="81"/>
      <c r="P38" s="81"/>
      <c r="Q38" s="81"/>
      <c r="R38" s="81"/>
      <c r="S38" s="32">
        <f>(D38*F38-G7*G38-H7*H38)*S37</f>
        <v>0</v>
      </c>
      <c r="T38" s="43">
        <f>(D38-G6)*S37</f>
        <v>0</v>
      </c>
      <c r="U38" s="81"/>
      <c r="V38" s="81"/>
      <c r="W38" s="92"/>
    </row>
    <row r="39" spans="1:23" ht="33.75" customHeight="1">
      <c r="A39" s="50"/>
      <c r="B39" s="51"/>
      <c r="C39" s="51"/>
      <c r="D39" s="51"/>
      <c r="E39" s="51"/>
      <c r="F39" s="51"/>
      <c r="G39" s="51"/>
      <c r="H39" s="51"/>
      <c r="I39" s="51"/>
      <c r="J39" s="51"/>
      <c r="K39" s="51"/>
      <c r="L39" s="51"/>
      <c r="M39" s="51"/>
      <c r="N39" s="51"/>
      <c r="O39" s="51"/>
      <c r="P39" s="51"/>
      <c r="Q39" s="51"/>
      <c r="R39" s="51"/>
      <c r="S39" s="51"/>
      <c r="T39" s="51"/>
      <c r="U39" s="51"/>
      <c r="V39" s="51"/>
    </row>
    <row r="40" spans="1:23" ht="22.5" customHeight="1">
      <c r="A40" s="994" t="s">
        <v>54</v>
      </c>
      <c r="B40" s="990" t="s">
        <v>1758</v>
      </c>
      <c r="C40" s="990" t="s">
        <v>1767</v>
      </c>
      <c r="D40" s="14" t="s">
        <v>1768</v>
      </c>
      <c r="E40" s="14" t="s">
        <v>1769</v>
      </c>
      <c r="F40" s="998" t="s">
        <v>1813</v>
      </c>
      <c r="G40" s="15" t="s">
        <v>1771</v>
      </c>
      <c r="H40" s="999" t="s">
        <v>1773</v>
      </c>
      <c r="I40" s="999"/>
      <c r="J40" s="999" t="s">
        <v>1774</v>
      </c>
      <c r="K40" s="999"/>
      <c r="L40" s="15" t="s">
        <v>315</v>
      </c>
      <c r="M40" s="15" t="s">
        <v>1814</v>
      </c>
      <c r="N40" s="82" t="s">
        <v>1815</v>
      </c>
      <c r="O40" s="15" t="s">
        <v>1816</v>
      </c>
      <c r="P40" s="15"/>
      <c r="Q40" s="988" t="s">
        <v>1817</v>
      </c>
      <c r="R40" s="988" t="s">
        <v>1818</v>
      </c>
      <c r="S40" s="988" t="s">
        <v>1819</v>
      </c>
      <c r="T40" s="988" t="s">
        <v>1820</v>
      </c>
      <c r="U40" s="52" t="s">
        <v>275</v>
      </c>
      <c r="V40" s="52" t="s">
        <v>335</v>
      </c>
      <c r="W40" s="52" t="s">
        <v>338</v>
      </c>
    </row>
    <row r="41" spans="1:23" ht="24" customHeight="1">
      <c r="A41" s="994"/>
      <c r="B41" s="990"/>
      <c r="C41" s="990"/>
      <c r="D41" s="988" t="s">
        <v>1780</v>
      </c>
      <c r="E41" s="988"/>
      <c r="F41" s="998"/>
      <c r="G41" s="14" t="s">
        <v>1482</v>
      </c>
      <c r="H41" s="15" t="s">
        <v>1821</v>
      </c>
      <c r="I41" s="15" t="s">
        <v>1822</v>
      </c>
      <c r="J41" s="15" t="s">
        <v>1821</v>
      </c>
      <c r="K41" s="15" t="s">
        <v>1822</v>
      </c>
      <c r="L41" s="15" t="s">
        <v>1823</v>
      </c>
      <c r="M41" s="15" t="s">
        <v>1823</v>
      </c>
      <c r="N41" s="15" t="s">
        <v>1823</v>
      </c>
      <c r="O41" s="15" t="s">
        <v>1824</v>
      </c>
      <c r="P41" s="15"/>
      <c r="Q41" s="988"/>
      <c r="R41" s="988"/>
      <c r="S41" s="988"/>
      <c r="T41" s="988"/>
      <c r="U41" s="15" t="s">
        <v>1823</v>
      </c>
      <c r="V41" s="93" t="s">
        <v>336</v>
      </c>
      <c r="W41" s="93" t="s">
        <v>231</v>
      </c>
    </row>
    <row r="42" spans="1:23" ht="24.75" customHeight="1">
      <c r="A42" s="994"/>
      <c r="B42" s="990"/>
      <c r="C42" s="990"/>
      <c r="D42" s="14" t="s">
        <v>235</v>
      </c>
      <c r="E42" s="14" t="s">
        <v>1092</v>
      </c>
      <c r="F42" s="998"/>
      <c r="G42" s="16"/>
      <c r="H42" s="15"/>
      <c r="I42" s="15"/>
      <c r="J42" s="15"/>
      <c r="K42" s="15"/>
      <c r="L42" s="15"/>
      <c r="M42" s="15"/>
      <c r="N42" s="15"/>
      <c r="O42" s="15"/>
      <c r="P42" s="15"/>
      <c r="Q42" s="988"/>
      <c r="R42" s="988"/>
      <c r="S42" s="988"/>
      <c r="T42" s="988"/>
      <c r="U42" s="15"/>
      <c r="V42" s="15"/>
      <c r="W42" s="94"/>
    </row>
    <row r="43" spans="1:23" ht="24" customHeight="1">
      <c r="A43" s="53" t="s">
        <v>62</v>
      </c>
      <c r="B43" s="54"/>
      <c r="C43" s="54" t="s">
        <v>299</v>
      </c>
      <c r="D43" s="54"/>
      <c r="E43" s="54"/>
      <c r="F43" s="54"/>
      <c r="G43" s="54"/>
      <c r="H43" s="54"/>
      <c r="I43" s="54"/>
      <c r="J43" s="54"/>
      <c r="K43" s="54"/>
      <c r="L43" s="54"/>
      <c r="M43" s="54"/>
      <c r="N43" s="54"/>
      <c r="O43" s="54"/>
      <c r="P43" s="54"/>
      <c r="Q43" s="54"/>
      <c r="R43" s="54"/>
      <c r="S43" s="54"/>
      <c r="T43" s="54"/>
      <c r="U43" s="54"/>
      <c r="V43" s="54"/>
      <c r="W43" s="95"/>
    </row>
    <row r="44" spans="1:23" ht="24" customHeight="1">
      <c r="A44" s="55">
        <v>1</v>
      </c>
      <c r="B44" s="56"/>
      <c r="C44" s="56" t="s">
        <v>1825</v>
      </c>
      <c r="D44" s="30">
        <v>5.49</v>
      </c>
      <c r="E44" s="30">
        <v>8.26</v>
      </c>
      <c r="F44" s="30">
        <f>2.38+0.02</f>
        <v>2.4</v>
      </c>
      <c r="G44" s="30">
        <v>1</v>
      </c>
      <c r="H44" s="30">
        <v>0</v>
      </c>
      <c r="I44" s="30">
        <v>0</v>
      </c>
      <c r="J44" s="30">
        <v>0</v>
      </c>
      <c r="K44" s="30">
        <v>0</v>
      </c>
      <c r="L44" s="30">
        <v>0.9</v>
      </c>
      <c r="M44" s="30">
        <v>0.99</v>
      </c>
      <c r="N44" s="30">
        <v>0</v>
      </c>
      <c r="O44" s="30">
        <v>1.79</v>
      </c>
      <c r="P44" s="30"/>
      <c r="Q44" s="56"/>
      <c r="R44" s="96">
        <f>D44*1.8+D45*1.8-$H$6*G44*1.8-(1.8-0.9)*H44+(H44+(1.8-0.9)*2)*0.1</f>
        <v>14.698799999999999</v>
      </c>
      <c r="S44" s="97">
        <f>D44*F44+D45*F45-$H$7*G44-H44*I44+(H44+I44)*2*0.1</f>
        <v>19.128632</v>
      </c>
      <c r="T44" s="97">
        <f>E44+(D44+D45-$H$6)*0.15</f>
        <v>9.4698999999999991</v>
      </c>
      <c r="U44" s="56"/>
      <c r="V44" s="56">
        <f>0.06*0.25*2.35</f>
        <v>3.5249999999999997E-2</v>
      </c>
      <c r="W44" s="98">
        <f>(0.06+0.25*2)*2.35</f>
        <v>1.3160000000000003</v>
      </c>
    </row>
    <row r="45" spans="1:23" ht="24" customHeight="1">
      <c r="A45" s="55"/>
      <c r="B45" s="56"/>
      <c r="C45" s="56"/>
      <c r="D45" s="30">
        <v>3.57</v>
      </c>
      <c r="E45" s="30"/>
      <c r="F45" s="30">
        <f>2.28+0.02</f>
        <v>2.2999999999999998</v>
      </c>
      <c r="G45" s="30"/>
      <c r="H45" s="30"/>
      <c r="I45" s="30"/>
      <c r="J45" s="30"/>
      <c r="K45" s="30"/>
      <c r="L45" s="30"/>
      <c r="M45" s="30"/>
      <c r="N45" s="30"/>
      <c r="O45" s="30"/>
      <c r="P45" s="30"/>
      <c r="Q45" s="56"/>
      <c r="R45" s="96"/>
      <c r="S45" s="96"/>
      <c r="T45" s="96"/>
      <c r="U45" s="56"/>
      <c r="V45" s="56"/>
      <c r="W45" s="98"/>
    </row>
    <row r="46" spans="1:23" ht="24" customHeight="1">
      <c r="A46" s="55">
        <v>2</v>
      </c>
      <c r="B46" s="56"/>
      <c r="C46" s="56" t="s">
        <v>1826</v>
      </c>
      <c r="D46" s="30">
        <v>8.49</v>
      </c>
      <c r="E46" s="30">
        <v>4.3</v>
      </c>
      <c r="F46" s="30">
        <f>2.33+0.02</f>
        <v>2.35</v>
      </c>
      <c r="G46" s="30">
        <v>1</v>
      </c>
      <c r="H46" s="30">
        <v>0</v>
      </c>
      <c r="I46" s="30">
        <v>0</v>
      </c>
      <c r="J46" s="30">
        <v>0</v>
      </c>
      <c r="K46" s="30">
        <v>0</v>
      </c>
      <c r="L46" s="30">
        <v>0.9</v>
      </c>
      <c r="M46" s="30">
        <v>0.99</v>
      </c>
      <c r="N46" s="30">
        <v>0</v>
      </c>
      <c r="O46" s="30">
        <v>1.51</v>
      </c>
      <c r="P46" s="30"/>
      <c r="Q46" s="56"/>
      <c r="R46" s="96">
        <f>D46*1.8+D47*1.8-$H$6*G46*1.8-(1.8-0.9)*H46+(H46+(1.8-0.9)*2)*0.1</f>
        <v>13.672799999999999</v>
      </c>
      <c r="S46" s="97">
        <f>D46*F46+D47*F47-$H$7*G46-H46*I46+(H46+I46)*2*0.1</f>
        <v>17.693132000000002</v>
      </c>
      <c r="T46" s="97">
        <f>E46+(D46+D47-$H$6)*0.15</f>
        <v>5.4244000000000003</v>
      </c>
      <c r="U46" s="56"/>
      <c r="V46" s="56"/>
      <c r="W46" s="98"/>
    </row>
    <row r="47" spans="1:23" ht="24" customHeight="1">
      <c r="A47" s="55"/>
      <c r="B47" s="56"/>
      <c r="C47" s="56"/>
      <c r="D47" s="30"/>
      <c r="E47" s="30"/>
      <c r="F47" s="30"/>
      <c r="G47" s="30"/>
      <c r="H47" s="30"/>
      <c r="I47" s="30"/>
      <c r="J47" s="30"/>
      <c r="K47" s="30"/>
      <c r="L47" s="30"/>
      <c r="M47" s="30"/>
      <c r="N47" s="30"/>
      <c r="O47" s="30"/>
      <c r="P47" s="30"/>
      <c r="Q47" s="56"/>
      <c r="R47" s="96"/>
      <c r="S47" s="96"/>
      <c r="T47" s="96"/>
      <c r="U47" s="56"/>
      <c r="V47" s="56"/>
      <c r="W47" s="98"/>
    </row>
    <row r="48" spans="1:23" ht="24" customHeight="1">
      <c r="A48" s="46">
        <v>3</v>
      </c>
      <c r="B48" s="47"/>
      <c r="C48" s="34" t="s">
        <v>1827</v>
      </c>
      <c r="D48" s="47"/>
      <c r="E48" s="35">
        <f>E44+E45+E46+E47</f>
        <v>12.559999999999999</v>
      </c>
      <c r="F48" s="35"/>
      <c r="G48" s="35"/>
      <c r="H48" s="35"/>
      <c r="I48" s="35"/>
      <c r="J48" s="35"/>
      <c r="K48" s="35"/>
      <c r="L48" s="35">
        <f t="shared" ref="L48" si="2">SUM(L44:L46)</f>
        <v>1.8</v>
      </c>
      <c r="M48" s="35">
        <f t="shared" ref="M48:W48" si="3">SUM(M44:M46)</f>
        <v>1.98</v>
      </c>
      <c r="N48" s="35">
        <f t="shared" si="3"/>
        <v>0</v>
      </c>
      <c r="O48" s="35">
        <f t="shared" si="3"/>
        <v>3.3</v>
      </c>
      <c r="P48" s="35">
        <f t="shared" si="3"/>
        <v>0</v>
      </c>
      <c r="Q48" s="35">
        <f t="shared" si="3"/>
        <v>0</v>
      </c>
      <c r="R48" s="35">
        <f t="shared" si="3"/>
        <v>28.371599999999997</v>
      </c>
      <c r="S48" s="35">
        <f t="shared" si="3"/>
        <v>36.821764000000002</v>
      </c>
      <c r="T48" s="35">
        <f t="shared" si="3"/>
        <v>14.894299999999999</v>
      </c>
      <c r="U48" s="35">
        <f t="shared" si="3"/>
        <v>0</v>
      </c>
      <c r="V48" s="35">
        <f t="shared" si="3"/>
        <v>3.5249999999999997E-2</v>
      </c>
      <c r="W48" s="35">
        <f t="shared" si="3"/>
        <v>1.3160000000000003</v>
      </c>
    </row>
    <row r="49" spans="1:23" ht="24" customHeight="1">
      <c r="A49" s="57"/>
      <c r="B49" s="58"/>
      <c r="C49" s="59"/>
      <c r="D49" s="58"/>
      <c r="E49" s="60"/>
      <c r="F49" s="60"/>
      <c r="G49" s="60"/>
      <c r="H49" s="60"/>
      <c r="I49" s="60"/>
      <c r="J49" s="60"/>
      <c r="K49" s="60"/>
      <c r="L49" s="60"/>
      <c r="M49" s="60"/>
      <c r="N49" s="60"/>
      <c r="O49" s="60"/>
      <c r="P49" s="60"/>
      <c r="Q49" s="60"/>
      <c r="R49" s="60"/>
      <c r="S49" s="60"/>
      <c r="T49" s="60"/>
      <c r="U49" s="60"/>
      <c r="V49" s="60"/>
      <c r="W49" s="99"/>
    </row>
    <row r="50" spans="1:23" ht="30" customHeight="1">
      <c r="A50" s="994" t="s">
        <v>54</v>
      </c>
      <c r="B50" s="990" t="s">
        <v>1758</v>
      </c>
      <c r="C50" s="990" t="s">
        <v>1767</v>
      </c>
      <c r="D50" s="14" t="s">
        <v>1768</v>
      </c>
      <c r="E50" s="14" t="s">
        <v>1769</v>
      </c>
      <c r="F50" s="998" t="s">
        <v>1813</v>
      </c>
      <c r="G50" s="61" t="s">
        <v>1771</v>
      </c>
      <c r="H50" s="62"/>
      <c r="I50" s="996" t="s">
        <v>1828</v>
      </c>
      <c r="J50" s="997"/>
      <c r="K50" s="988" t="s">
        <v>1829</v>
      </c>
      <c r="L50" s="988"/>
      <c r="M50" s="1003" t="s">
        <v>375</v>
      </c>
      <c r="N50" s="988" t="s">
        <v>1818</v>
      </c>
      <c r="O50" s="988" t="s">
        <v>1819</v>
      </c>
      <c r="P50" s="988" t="s">
        <v>1830</v>
      </c>
      <c r="Q50" s="988" t="s">
        <v>1831</v>
      </c>
      <c r="R50" s="988" t="s">
        <v>1832</v>
      </c>
      <c r="S50" s="988"/>
      <c r="T50" s="988"/>
      <c r="U50" s="15"/>
      <c r="V50" s="15"/>
      <c r="W50" s="82"/>
    </row>
    <row r="51" spans="1:23" ht="35.25" customHeight="1">
      <c r="A51" s="994"/>
      <c r="B51" s="990"/>
      <c r="C51" s="990"/>
      <c r="D51" s="988" t="s">
        <v>1780</v>
      </c>
      <c r="E51" s="988"/>
      <c r="F51" s="998"/>
      <c r="G51" s="14" t="s">
        <v>1782</v>
      </c>
      <c r="H51" s="14" t="s">
        <v>1783</v>
      </c>
      <c r="I51" s="14" t="s">
        <v>1833</v>
      </c>
      <c r="J51" s="15" t="s">
        <v>1834</v>
      </c>
      <c r="K51" s="14" t="s">
        <v>1833</v>
      </c>
      <c r="L51" s="15" t="s">
        <v>1834</v>
      </c>
      <c r="M51" s="1004"/>
      <c r="N51" s="988"/>
      <c r="O51" s="988"/>
      <c r="P51" s="988"/>
      <c r="Q51" s="988"/>
      <c r="R51" s="988"/>
      <c r="S51" s="988"/>
      <c r="T51" s="988"/>
      <c r="U51" s="15"/>
      <c r="V51" s="15"/>
      <c r="W51" s="15"/>
    </row>
    <row r="52" spans="1:23" ht="24.75" customHeight="1">
      <c r="A52" s="994"/>
      <c r="B52" s="990"/>
      <c r="C52" s="990"/>
      <c r="D52" s="14" t="s">
        <v>235</v>
      </c>
      <c r="E52" s="14" t="s">
        <v>1092</v>
      </c>
      <c r="F52" s="998"/>
      <c r="G52" s="16"/>
      <c r="H52" s="15"/>
      <c r="I52" s="15" t="s">
        <v>1823</v>
      </c>
      <c r="J52" s="15" t="s">
        <v>1823</v>
      </c>
      <c r="K52" s="15" t="s">
        <v>1823</v>
      </c>
      <c r="L52" s="15" t="s">
        <v>1823</v>
      </c>
      <c r="M52" s="17" t="s">
        <v>1092</v>
      </c>
      <c r="N52" s="988"/>
      <c r="O52" s="988"/>
      <c r="P52" s="15" t="s">
        <v>1835</v>
      </c>
      <c r="Q52" s="15" t="s">
        <v>1835</v>
      </c>
      <c r="R52" s="15" t="s">
        <v>1835</v>
      </c>
      <c r="S52" s="988"/>
      <c r="T52" s="988"/>
      <c r="U52" s="15"/>
      <c r="V52" s="15"/>
      <c r="W52" s="94"/>
    </row>
    <row r="53" spans="1:23" ht="24" customHeight="1">
      <c r="A53" s="53" t="s">
        <v>64</v>
      </c>
      <c r="B53" s="54"/>
      <c r="C53" s="54" t="s">
        <v>1354</v>
      </c>
      <c r="D53" s="54"/>
      <c r="E53" s="54"/>
      <c r="F53" s="54"/>
      <c r="G53" s="54"/>
      <c r="H53" s="54"/>
      <c r="I53" s="54"/>
      <c r="J53" s="54"/>
      <c r="K53" s="54"/>
      <c r="L53" s="54"/>
      <c r="M53" s="54"/>
      <c r="N53" s="54"/>
      <c r="O53" s="54"/>
      <c r="P53" s="54"/>
      <c r="Q53" s="54"/>
      <c r="R53" s="54"/>
      <c r="S53" s="54"/>
      <c r="T53" s="54"/>
      <c r="U53" s="54"/>
      <c r="V53" s="54"/>
      <c r="W53" s="95"/>
    </row>
    <row r="54" spans="1:23" ht="19.5" customHeight="1">
      <c r="A54" s="63" t="s">
        <v>1836</v>
      </c>
      <c r="B54" s="64" t="s">
        <v>133</v>
      </c>
      <c r="C54" s="64" t="s">
        <v>1837</v>
      </c>
      <c r="D54" s="65">
        <v>12.85</v>
      </c>
      <c r="E54" s="65">
        <v>8.86</v>
      </c>
      <c r="F54" s="65">
        <f>2.38+0.02</f>
        <v>2.4</v>
      </c>
      <c r="G54" s="65">
        <v>1</v>
      </c>
      <c r="H54" s="65">
        <v>0</v>
      </c>
      <c r="I54" s="65">
        <v>0</v>
      </c>
      <c r="J54" s="65">
        <v>0</v>
      </c>
      <c r="K54" s="65">
        <v>0</v>
      </c>
      <c r="L54" s="65">
        <v>0.65</v>
      </c>
      <c r="M54" s="65">
        <f>(0.46+4.64+0.53)*0.82</f>
        <v>4.6166</v>
      </c>
      <c r="N54" s="83">
        <f>(D54-I6*G54-J6*H54-I54-K54)*1</f>
        <v>12.006</v>
      </c>
      <c r="O54" s="84">
        <f>D54*F54-I7*G54-J7*H54-I54*2.24-J54*1.19-K54*2.24-L54*1.32-M54+(2.24+I54+J54+1.19+J54)*0.1*P54+(2.24*2+K54)*0.1*Q54+(1.32*2+L54*2)*0.1*R54</f>
        <v>23.841831999999997</v>
      </c>
      <c r="P54" s="64">
        <v>0</v>
      </c>
      <c r="Q54" s="64">
        <v>0</v>
      </c>
      <c r="R54" s="64">
        <v>1</v>
      </c>
      <c r="S54" s="64"/>
      <c r="T54" s="64"/>
      <c r="U54" s="64"/>
      <c r="V54" s="64"/>
      <c r="W54" s="100"/>
    </row>
    <row r="55" spans="1:23" ht="30" customHeight="1">
      <c r="A55" s="41"/>
      <c r="B55" s="15"/>
      <c r="C55" s="52" t="s">
        <v>1838</v>
      </c>
      <c r="D55" s="15"/>
      <c r="E55" s="30">
        <v>3.53</v>
      </c>
      <c r="F55" s="15"/>
      <c r="G55" s="15"/>
      <c r="H55" s="15"/>
      <c r="I55" s="15"/>
      <c r="J55" s="15"/>
      <c r="K55" s="15"/>
      <c r="L55" s="15"/>
      <c r="M55" s="15"/>
      <c r="N55" s="15"/>
      <c r="O55" s="15"/>
      <c r="P55" s="15"/>
      <c r="Q55" s="15"/>
      <c r="R55" s="15"/>
      <c r="S55" s="15"/>
      <c r="T55" s="15"/>
      <c r="U55" s="15"/>
      <c r="V55" s="15"/>
      <c r="W55" s="101"/>
    </row>
    <row r="56" spans="1:23" ht="22.5" customHeight="1">
      <c r="A56" s="66"/>
      <c r="B56" s="67"/>
      <c r="C56" s="68" t="s">
        <v>1839</v>
      </c>
      <c r="D56" s="67"/>
      <c r="E56" s="69">
        <f>E54-E55</f>
        <v>5.33</v>
      </c>
      <c r="F56" s="70"/>
      <c r="G56" s="70"/>
      <c r="H56" s="70"/>
      <c r="I56" s="70"/>
      <c r="J56" s="70"/>
      <c r="K56" s="70"/>
      <c r="L56" s="70"/>
      <c r="M56" s="70"/>
      <c r="N56" s="70"/>
      <c r="O56" s="70"/>
      <c r="P56" s="70"/>
      <c r="Q56" s="70"/>
      <c r="R56" s="70"/>
      <c r="S56" s="70"/>
      <c r="T56" s="67"/>
      <c r="U56" s="67"/>
      <c r="V56" s="67"/>
      <c r="W56" s="67"/>
    </row>
    <row r="57" spans="1:23" ht="22.5" customHeight="1">
      <c r="A57" s="71"/>
      <c r="B57" s="72"/>
      <c r="C57" s="73"/>
      <c r="D57" s="72"/>
      <c r="E57" s="74"/>
      <c r="F57" s="75"/>
      <c r="G57" s="76"/>
      <c r="H57" s="77"/>
      <c r="I57" s="76"/>
      <c r="J57" s="77"/>
      <c r="K57" s="75"/>
      <c r="L57" s="75"/>
      <c r="M57" s="75"/>
      <c r="N57" s="75"/>
      <c r="O57" s="75"/>
      <c r="P57" s="75"/>
      <c r="Q57" s="75"/>
      <c r="R57" s="75"/>
      <c r="S57" s="75"/>
      <c r="T57" s="72"/>
      <c r="U57" s="72"/>
      <c r="V57" s="72"/>
      <c r="W57" s="72"/>
    </row>
    <row r="58" spans="1:23" ht="19.5" customHeight="1">
      <c r="A58" s="3" t="s">
        <v>1840</v>
      </c>
      <c r="E58" s="4"/>
      <c r="F58" s="4"/>
      <c r="G58" s="4"/>
      <c r="H58" s="4"/>
      <c r="I58" s="4"/>
      <c r="J58" s="4"/>
      <c r="K58" s="4"/>
      <c r="L58" s="4"/>
      <c r="M58" s="4"/>
      <c r="N58" s="4"/>
      <c r="O58" s="4"/>
      <c r="P58" s="4"/>
      <c r="Q58" s="4"/>
      <c r="R58" s="4"/>
      <c r="S58" s="4"/>
    </row>
    <row r="59" spans="1:23" ht="19.5" customHeight="1">
      <c r="A59" s="3"/>
      <c r="E59" s="4"/>
      <c r="F59" s="4"/>
      <c r="G59" s="4"/>
      <c r="H59" s="4"/>
      <c r="I59" s="4"/>
      <c r="J59" s="4"/>
      <c r="K59" s="4"/>
      <c r="L59" s="4"/>
      <c r="M59" s="4"/>
      <c r="N59" s="4"/>
      <c r="O59" s="4"/>
      <c r="P59" s="4"/>
      <c r="Q59" s="4"/>
      <c r="R59" s="4"/>
      <c r="S59" s="4"/>
    </row>
  </sheetData>
  <mergeCells count="40">
    <mergeCell ref="T4:T7"/>
    <mergeCell ref="T40:T42"/>
    <mergeCell ref="T50:T52"/>
    <mergeCell ref="W4:W7"/>
    <mergeCell ref="M4:N5"/>
    <mergeCell ref="O4:P5"/>
    <mergeCell ref="U4:V5"/>
    <mergeCell ref="R4:R7"/>
    <mergeCell ref="R40:R42"/>
    <mergeCell ref="R50:R51"/>
    <mergeCell ref="S4:S7"/>
    <mergeCell ref="S40:S42"/>
    <mergeCell ref="S50:S52"/>
    <mergeCell ref="M50:M51"/>
    <mergeCell ref="N50:N52"/>
    <mergeCell ref="O50:O52"/>
    <mergeCell ref="F4:F7"/>
    <mergeCell ref="F40:F42"/>
    <mergeCell ref="F50:F52"/>
    <mergeCell ref="G4:K4"/>
    <mergeCell ref="D5:E5"/>
    <mergeCell ref="H40:I40"/>
    <mergeCell ref="J40:K40"/>
    <mergeCell ref="D41:E41"/>
    <mergeCell ref="D51:E51"/>
    <mergeCell ref="P50:P51"/>
    <mergeCell ref="Q4:Q7"/>
    <mergeCell ref="Q40:Q42"/>
    <mergeCell ref="Q50:Q51"/>
    <mergeCell ref="I50:J50"/>
    <mergeCell ref="K50:L50"/>
    <mergeCell ref="C4:C7"/>
    <mergeCell ref="C40:C42"/>
    <mergeCell ref="C50:C52"/>
    <mergeCell ref="A4:A7"/>
    <mergeCell ref="A40:A42"/>
    <mergeCell ref="A50:A52"/>
    <mergeCell ref="B4:B7"/>
    <mergeCell ref="B40:B42"/>
    <mergeCell ref="B50:B52"/>
  </mergeCells>
  <phoneticPr fontId="7" type="noConversion"/>
  <printOptions horizontalCentered="1"/>
  <pageMargins left="0.43307086614173229" right="0.23622047244094491" top="0.74803149606299213" bottom="0.74803149606299213" header="0.31496062992125984" footer="0.31496062992125984"/>
  <pageSetup paperSize="9" scale="85" orientation="portrait" blackAndWhite="1" r:id="rId1"/>
  <headerFooter alignWithMargins="0">
    <oddFooter>&amp;C第 &amp;P 页，共 &amp;N 页</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32</vt:i4>
      </vt:variant>
      <vt:variant>
        <vt:lpstr>命名范围</vt:lpstr>
      </vt:variant>
      <vt:variant>
        <vt:i4>31</vt:i4>
      </vt:variant>
    </vt:vector>
  </HeadingPairs>
  <TitlesOfParts>
    <vt:vector size="63" baseType="lpstr">
      <vt:lpstr>流程</vt:lpstr>
      <vt:lpstr>附件1总汇总表</vt:lpstr>
      <vt:lpstr>附件2编制说明</vt:lpstr>
      <vt:lpstr>附件3-1汇总表</vt:lpstr>
      <vt:lpstr>附件3-2套内汇总表</vt:lpstr>
      <vt:lpstr>附件3-3公共汇总表</vt:lpstr>
      <vt:lpstr>附件4-1套内1</vt:lpstr>
      <vt:lpstr>附件4-2套内 2</vt:lpstr>
      <vt:lpstr>附件4-3大堂(旧标) </vt:lpstr>
      <vt:lpstr>大堂(新标)</vt:lpstr>
      <vt:lpstr>附件4-4电梯间(旧标)</vt:lpstr>
      <vt:lpstr>电梯间(新标)</vt:lpstr>
      <vt:lpstr>附件4-5地下室电梯厅</vt:lpstr>
      <vt:lpstr>附件4-6入户门</vt:lpstr>
      <vt:lpstr>门廊</vt:lpstr>
      <vt:lpstr>商铺外立面</vt:lpstr>
      <vt:lpstr>门牌安装(仅仅个别地区有)</vt:lpstr>
      <vt:lpstr>附件4-7布草间</vt:lpstr>
      <vt:lpstr>附件4-8甲供材料清单</vt:lpstr>
      <vt:lpstr>原清单列</vt:lpstr>
      <vt:lpstr>A单元</vt:lpstr>
      <vt:lpstr>C单元</vt:lpstr>
      <vt:lpstr>B单元</vt:lpstr>
      <vt:lpstr>A1单元 </vt:lpstr>
      <vt:lpstr>H单元</vt:lpstr>
      <vt:lpstr>D单元 </vt:lpstr>
      <vt:lpstr>I单元</vt:lpstr>
      <vt:lpstr>E单元</vt:lpstr>
      <vt:lpstr>F单元</vt:lpstr>
      <vt:lpstr>G单元 </vt:lpstr>
      <vt:lpstr>J单元</vt:lpstr>
      <vt:lpstr>K单元 </vt:lpstr>
      <vt:lpstr>'大堂(新标)'!Print_Area</vt:lpstr>
      <vt:lpstr>'电梯间(新标)'!Print_Area</vt:lpstr>
      <vt:lpstr>附件1总汇总表!Print_Area</vt:lpstr>
      <vt:lpstr>'附件3-1汇总表'!Print_Area</vt:lpstr>
      <vt:lpstr>'附件3-2套内汇总表'!Print_Area</vt:lpstr>
      <vt:lpstr>'附件3-3公共汇总表'!Print_Area</vt:lpstr>
      <vt:lpstr>'附件4-1套内1'!Print_Area</vt:lpstr>
      <vt:lpstr>'附件4-2套内 2'!Print_Area</vt:lpstr>
      <vt:lpstr>'附件4-3大堂(旧标) '!Print_Area</vt:lpstr>
      <vt:lpstr>'附件4-4电梯间(旧标)'!Print_Area</vt:lpstr>
      <vt:lpstr>'附件4-5地下室电梯厅'!Print_Area</vt:lpstr>
      <vt:lpstr>'附件4-6入户门'!Print_Area</vt:lpstr>
      <vt:lpstr>'附件4-7布草间'!Print_Area</vt:lpstr>
      <vt:lpstr>'附件4-8甲供材料清单'!Print_Area</vt:lpstr>
      <vt:lpstr>门廊!Print_Area</vt:lpstr>
      <vt:lpstr>商铺外立面!Print_Area</vt:lpstr>
      <vt:lpstr>'大堂(新标)'!Print_Titles</vt:lpstr>
      <vt:lpstr>'电梯间(新标)'!Print_Titles</vt:lpstr>
      <vt:lpstr>附件2编制说明!Print_Titles</vt:lpstr>
      <vt:lpstr>'附件4-1套内1'!Print_Titles</vt:lpstr>
      <vt:lpstr>'附件4-2套内 2'!Print_Titles</vt:lpstr>
      <vt:lpstr>'附件4-3大堂(旧标) '!Print_Titles</vt:lpstr>
      <vt:lpstr>'附件4-4电梯间(旧标)'!Print_Titles</vt:lpstr>
      <vt:lpstr>'附件4-5地下室电梯厅'!Print_Titles</vt:lpstr>
      <vt:lpstr>'附件4-6入户门'!Print_Titles</vt:lpstr>
      <vt:lpstr>'附件4-7布草间'!Print_Titles</vt:lpstr>
      <vt:lpstr>'附件4-8甲供材料清单'!Print_Titles</vt:lpstr>
      <vt:lpstr>门廊!Print_Titles</vt:lpstr>
      <vt:lpstr>商铺外立面!Print_Titles</vt:lpstr>
      <vt:lpstr>附件1总汇总表!Z_5EFBDE3D_A7E3_460E_8F88_A5E5F6908444_.wvu.PrintArea</vt:lpstr>
      <vt:lpstr>'附件3-1汇总表'!Z_5EFBDE3D_A7E3_460E_8F88_A5E5F6908444_.wvu.PrintArea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麦静怡</dc:creator>
  <cp:lastModifiedBy>洪强</cp:lastModifiedBy>
  <cp:lastPrinted>2017-05-21T15:23:35Z</cp:lastPrinted>
  <dcterms:created xsi:type="dcterms:W3CDTF">2014-05-19T07:03:00Z</dcterms:created>
  <dcterms:modified xsi:type="dcterms:W3CDTF">2017-05-22T07:38:50Z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2052-9.1.0.4842</vt:lpwstr>
  </property>
</Properties>
</file>