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wamp\www\tshirt\doc\"/>
    </mc:Choice>
  </mc:AlternateContent>
  <bookViews>
    <workbookView xWindow="0" yWindow="0" windowWidth="25605" windowHeight="16065"/>
  </bookViews>
  <sheets>
    <sheet name="Screen Printing Quote" sheetId="1" r:id="rId1"/>
    <sheet name="Shirt Cost" sheetId="2" r:id="rId2"/>
    <sheet name="Sheet1" sheetId="3" r:id="rId3"/>
    <sheet name="shipping" sheetId="4" r:id="rId4"/>
    <sheet name="cksihrts" sheetId="5" r:id="rId5"/>
  </sheets>
  <definedNames>
    <definedName name="artCharge">'Screen Printing Quote'!$B$21</definedName>
    <definedName name="blankItemCost">'Screen Printing Quote'!$B$10</definedName>
    <definedName name="chargeMatrix">'Screen Printing Quote'!$I$6:$Q$7</definedName>
    <definedName name="colorCount1">'Screen Printing Quote'!$H$12</definedName>
    <definedName name="colorCount2">'Screen Printing Quote'!$H$13</definedName>
    <definedName name="colorCount3">'Screen Printing Quote'!$H$14</definedName>
    <definedName name="colorCount4">'Screen Printing Quote'!$H$15</definedName>
    <definedName name="colorCount5">'Screen Printing Quote'!$H$16</definedName>
    <definedName name="colorCount6">'Screen Printing Quote'!$H$17</definedName>
    <definedName name="colorCount7">'Screen Printing Quote'!$H$18</definedName>
    <definedName name="colorCount8">'Screen Printing Quote'!$H$20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42222.5065740741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temPrice">'Screen Printing Quote'!$B$17</definedName>
    <definedName name="itemTotal">'Screen Printing Quote'!$B$19</definedName>
    <definedName name="loc1matrix">'Screen Printing Quote'!$I$9:$V$17</definedName>
    <definedName name="loc1Price">'Screen Printing Quote'!$B$13</definedName>
    <definedName name="loc2matrix">'Screen Printing Quote'!$I$28:$V$36</definedName>
    <definedName name="loc2Price">'Screen Printing Quote'!$B$14</definedName>
    <definedName name="loc3matrix">'Screen Printing Quote'!$I$71:$O$73</definedName>
    <definedName name="locColors1">'Screen Printing Quote'!$B$4</definedName>
    <definedName name="locColors2">'Screen Printing Quote'!$B$5</definedName>
    <definedName name="locColors3">'Screen Printing Quote'!$B$6</definedName>
    <definedName name="locColors4">'Screen Printing Quote'!$B$7</definedName>
    <definedName name="locSHIPPING">'Screen Printing Quote'!$I$71:$N$72</definedName>
    <definedName name="markup1">'Screen Printing Quote'!$I$7</definedName>
    <definedName name="markup2">'Screen Printing Quote'!$K$7</definedName>
    <definedName name="markup3">'Screen Printing Quote'!$L$7</definedName>
    <definedName name="markup4">'Screen Printing Quote'!$M$7</definedName>
    <definedName name="markup5">'Screen Printing Quote'!$N$7</definedName>
    <definedName name="markup6">'Screen Printing Quote'!$O$7</definedName>
    <definedName name="markup7">'Screen Printing Quote'!$P$7</definedName>
    <definedName name="markup8">'Screen Printing Quote'!$Q$7</definedName>
    <definedName name="minRanges">'Screen Printing Quote'!$I$9:$Q$9</definedName>
    <definedName name="numColors1">'Screen Printing Quote'!#REF!</definedName>
    <definedName name="numColors2">'Screen Printing Quote'!#REF!</definedName>
    <definedName name="numItems">'Screen Printing Quote'!$B$3</definedName>
    <definedName name="perColor1">'Screen Printing Quote'!$I$6</definedName>
    <definedName name="perColor2">'Screen Printing Quote'!$K$6</definedName>
    <definedName name="perColor3">'Screen Printing Quote'!$L$6</definedName>
    <definedName name="perColor4">'Screen Printing Quote'!$M$6</definedName>
    <definedName name="perColor5">'Screen Printing Quote'!$N$6</definedName>
    <definedName name="perColor6">'Screen Printing Quote'!$O$6</definedName>
    <definedName name="perColor7">'Screen Printing Quote'!$P$6</definedName>
    <definedName name="perColor8">'Screen Printing Quote'!$Q$6</definedName>
    <definedName name="perScreen">'Screen Printing Quote'!$D$20</definedName>
    <definedName name="perScreenInclusive">'Screen Printing Quote'!#REF!</definedName>
    <definedName name="priceMatrix">'Screen Printing Quote'!$I$12:$P$20</definedName>
    <definedName name="setupCharge">'Screen Printing Quote'!$B$20</definedName>
    <definedName name="Shipping_cost">'Screen Printing Quote'!$B$68</definedName>
    <definedName name="shippingAmount">'Screen Printing Quote'!#REF!</definedName>
    <definedName name="subTotal">'Screen Printing Quote'!$B$23</definedName>
    <definedName name="taxAmount">'Screen Printing Quote'!$B$24</definedName>
    <definedName name="taxRate">'Screen Printing Quote'!$D$24</definedName>
    <definedName name="total">'Screen Printing Quote'!$B$25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1" l="1"/>
  <c r="B41" i="1" s="1"/>
  <c r="D23" i="1" s="1"/>
  <c r="U12" i="1"/>
  <c r="B14" i="1"/>
  <c r="B16" i="1"/>
  <c r="B15" i="1"/>
  <c r="P31" i="1"/>
  <c r="P12" i="1"/>
  <c r="L12" i="1"/>
  <c r="T12" i="1"/>
  <c r="T31" i="1"/>
  <c r="T32" i="1"/>
  <c r="V36" i="1"/>
  <c r="U36" i="1"/>
  <c r="T36" i="1"/>
  <c r="V35" i="1"/>
  <c r="U35" i="1"/>
  <c r="T35" i="1"/>
  <c r="V34" i="1"/>
  <c r="U34" i="1"/>
  <c r="T34" i="1"/>
  <c r="V33" i="1"/>
  <c r="U33" i="1"/>
  <c r="T33" i="1"/>
  <c r="V32" i="1"/>
  <c r="U32" i="1"/>
  <c r="V31" i="1"/>
  <c r="U31" i="1"/>
  <c r="V17" i="1"/>
  <c r="V16" i="1"/>
  <c r="V15" i="1"/>
  <c r="V14" i="1"/>
  <c r="V13" i="1"/>
  <c r="T13" i="1"/>
  <c r="U14" i="1"/>
  <c r="U15" i="1"/>
  <c r="U16" i="1"/>
  <c r="U17" i="1"/>
  <c r="T17" i="1"/>
  <c r="T16" i="1"/>
  <c r="T15" i="1"/>
  <c r="T14" i="1"/>
  <c r="U13" i="1"/>
  <c r="V12" i="1"/>
  <c r="S13" i="1"/>
  <c r="S14" i="1"/>
  <c r="S15" i="1"/>
  <c r="S16" i="1"/>
  <c r="S17" i="1"/>
  <c r="S12" i="1"/>
  <c r="R12" i="1"/>
  <c r="S53" i="1"/>
  <c r="R53" i="1"/>
  <c r="Q53" i="1"/>
  <c r="P53" i="1"/>
  <c r="O53" i="1"/>
  <c r="N53" i="1"/>
  <c r="M53" i="1"/>
  <c r="L53" i="1"/>
  <c r="K53" i="1"/>
  <c r="J53" i="1"/>
  <c r="I53" i="1"/>
  <c r="S52" i="1"/>
  <c r="R52" i="1"/>
  <c r="Q52" i="1"/>
  <c r="P52" i="1"/>
  <c r="O52" i="1"/>
  <c r="N52" i="1"/>
  <c r="M52" i="1"/>
  <c r="L52" i="1"/>
  <c r="K52" i="1"/>
  <c r="J52" i="1"/>
  <c r="I52" i="1"/>
  <c r="S51" i="1"/>
  <c r="R51" i="1"/>
  <c r="Q51" i="1"/>
  <c r="P51" i="1"/>
  <c r="O51" i="1"/>
  <c r="N51" i="1"/>
  <c r="M51" i="1"/>
  <c r="L51" i="1"/>
  <c r="K51" i="1"/>
  <c r="J51" i="1"/>
  <c r="I51" i="1"/>
  <c r="S50" i="1"/>
  <c r="R50" i="1"/>
  <c r="Q50" i="1"/>
  <c r="P50" i="1"/>
  <c r="O50" i="1"/>
  <c r="N50" i="1"/>
  <c r="M50" i="1"/>
  <c r="L50" i="1"/>
  <c r="K50" i="1"/>
  <c r="J50" i="1"/>
  <c r="I50" i="1"/>
  <c r="S49" i="1"/>
  <c r="R49" i="1"/>
  <c r="Q49" i="1"/>
  <c r="P49" i="1"/>
  <c r="O49" i="1"/>
  <c r="N49" i="1"/>
  <c r="M49" i="1"/>
  <c r="L49" i="1"/>
  <c r="K49" i="1"/>
  <c r="J49" i="1"/>
  <c r="I49" i="1"/>
  <c r="S48" i="1"/>
  <c r="R48" i="1"/>
  <c r="Q48" i="1"/>
  <c r="P48" i="1"/>
  <c r="O48" i="1"/>
  <c r="N48" i="1"/>
  <c r="M48" i="1"/>
  <c r="L48" i="1"/>
  <c r="K48" i="1"/>
  <c r="J48" i="1"/>
  <c r="I48" i="1"/>
  <c r="I46" i="1"/>
  <c r="P15" i="1"/>
  <c r="B20" i="1"/>
  <c r="Q32" i="1"/>
  <c r="Q14" i="1"/>
  <c r="I14" i="1"/>
  <c r="M12" i="1"/>
  <c r="M31" i="1"/>
  <c r="L16" i="1"/>
  <c r="L15" i="1"/>
  <c r="L14" i="1"/>
  <c r="K17" i="1"/>
  <c r="K16" i="1"/>
  <c r="K15" i="1"/>
  <c r="K14" i="1"/>
  <c r="J17" i="1"/>
  <c r="J16" i="1"/>
  <c r="J15" i="1"/>
  <c r="J14" i="1"/>
  <c r="J13" i="1"/>
  <c r="I17" i="1"/>
  <c r="I16" i="1"/>
  <c r="I15" i="1"/>
  <c r="I13" i="1"/>
  <c r="S36" i="1"/>
  <c r="S35" i="1"/>
  <c r="S34" i="1"/>
  <c r="S33" i="1"/>
  <c r="S32" i="1"/>
  <c r="S31" i="1"/>
  <c r="R36" i="1"/>
  <c r="R35" i="1"/>
  <c r="R34" i="1"/>
  <c r="R33" i="1"/>
  <c r="R32" i="1"/>
  <c r="R31" i="1"/>
  <c r="Q36" i="1"/>
  <c r="Q35" i="1"/>
  <c r="Q34" i="1"/>
  <c r="Q33" i="1"/>
  <c r="Q31" i="1"/>
  <c r="K31" i="1"/>
  <c r="P36" i="1"/>
  <c r="P35" i="1"/>
  <c r="P34" i="1"/>
  <c r="P33" i="1"/>
  <c r="P32" i="1"/>
  <c r="O36" i="1"/>
  <c r="O35" i="1"/>
  <c r="O34" i="1"/>
  <c r="O33" i="1"/>
  <c r="O32" i="1"/>
  <c r="O31" i="1"/>
  <c r="N36" i="1"/>
  <c r="N35" i="1"/>
  <c r="N34" i="1"/>
  <c r="N33" i="1"/>
  <c r="N32" i="1"/>
  <c r="N31" i="1"/>
  <c r="M36" i="1"/>
  <c r="M35" i="1"/>
  <c r="M34" i="1"/>
  <c r="M33" i="1"/>
  <c r="M32" i="1"/>
  <c r="L36" i="1"/>
  <c r="L35" i="1"/>
  <c r="L34" i="1"/>
  <c r="L33" i="1"/>
  <c r="L32" i="1"/>
  <c r="L31" i="1"/>
  <c r="K36" i="1"/>
  <c r="K35" i="1"/>
  <c r="K34" i="1"/>
  <c r="K33" i="1"/>
  <c r="K32" i="1"/>
  <c r="J36" i="1"/>
  <c r="J35" i="1"/>
  <c r="J34" i="1"/>
  <c r="J33" i="1"/>
  <c r="J32" i="1"/>
  <c r="J31" i="1"/>
  <c r="I31" i="1"/>
  <c r="I12" i="1"/>
  <c r="J12" i="1"/>
  <c r="K12" i="1"/>
  <c r="N12" i="1"/>
  <c r="O12" i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4" i="4"/>
  <c r="B39" i="1"/>
  <c r="R17" i="1"/>
  <c r="R16" i="1"/>
  <c r="R15" i="1"/>
  <c r="R14" i="1"/>
  <c r="R13" i="1"/>
  <c r="P13" i="1"/>
  <c r="Q13" i="1"/>
  <c r="Q17" i="1"/>
  <c r="I36" i="1"/>
  <c r="I35" i="1"/>
  <c r="I34" i="1"/>
  <c r="I33" i="1"/>
  <c r="I32" i="1"/>
  <c r="P17" i="1"/>
  <c r="O17" i="1"/>
  <c r="N17" i="1"/>
  <c r="M17" i="1"/>
  <c r="L17" i="1"/>
  <c r="Q16" i="1"/>
  <c r="P16" i="1"/>
  <c r="O16" i="1"/>
  <c r="N16" i="1"/>
  <c r="M16" i="1"/>
  <c r="Q15" i="1"/>
  <c r="O15" i="1"/>
  <c r="N15" i="1"/>
  <c r="M15" i="1"/>
  <c r="P14" i="1"/>
  <c r="O14" i="1"/>
  <c r="N14" i="1"/>
  <c r="M14" i="1"/>
  <c r="O13" i="1"/>
  <c r="B13" i="1" s="1"/>
  <c r="B17" i="1" s="1"/>
  <c r="B19" i="1" s="1"/>
  <c r="B23" i="1" s="1"/>
  <c r="N13" i="1"/>
  <c r="M13" i="1"/>
  <c r="L13" i="1"/>
  <c r="K13" i="1"/>
  <c r="Q12" i="1"/>
  <c r="I29" i="1"/>
  <c r="B40" i="1"/>
  <c r="B28" i="1" l="1"/>
  <c r="E28" i="1" s="1"/>
  <c r="B29" i="1" s="1"/>
  <c r="B25" i="1"/>
  <c r="E29" i="1" l="1"/>
  <c r="D26" i="1" s="1"/>
  <c r="B30" i="1"/>
  <c r="E30" i="1" s="1"/>
  <c r="D25" i="1" s="1"/>
</calcChain>
</file>

<file path=xl/comments1.xml><?xml version="1.0" encoding="utf-8"?>
<comments xmlns="http://schemas.openxmlformats.org/spreadsheetml/2006/main">
  <authors>
    <author>Choi, Brian CTR (FAA)</author>
  </authors>
  <commentList>
    <comment ref="T12" authorId="0" shapeId="0">
      <text>
        <r>
          <rPr>
            <b/>
            <sz val="9"/>
            <color indexed="81"/>
            <rFont val="Tahoma"/>
            <family val="2"/>
          </rPr>
          <t>Choi, Brian:</t>
        </r>
        <r>
          <rPr>
            <sz val="9"/>
            <color indexed="81"/>
            <rFont val="Tahoma"/>
            <family val="2"/>
          </rPr>
          <t xml:space="preserve">
Calculations contained in this box are based on reasonable previous financial patterns. You can change this, but I needed to for testing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 xml:space="preserve">Choi, Brian:
</t>
        </r>
        <r>
          <rPr>
            <sz val="9"/>
            <color indexed="81"/>
            <rFont val="Tahoma"/>
            <family val="2"/>
          </rPr>
          <t>Calculations contained in this box are based on reasonable previous financial patterns. You can change this, but I needed it for testing</t>
        </r>
      </text>
    </comment>
  </commentList>
</comments>
</file>

<file path=xl/sharedStrings.xml><?xml version="1.0" encoding="utf-8"?>
<sst xmlns="http://schemas.openxmlformats.org/spreadsheetml/2006/main" count="270" uniqueCount="121">
  <si>
    <t>Number of Items</t>
  </si>
  <si>
    <t>Printed Item Price</t>
  </si>
  <si>
    <t>Items Total</t>
  </si>
  <si>
    <t>Art Charge</t>
  </si>
  <si>
    <t>Setup Charge</t>
  </si>
  <si>
    <t>Subtotal</t>
  </si>
  <si>
    <t>Shipping</t>
  </si>
  <si>
    <t>Total</t>
  </si>
  <si>
    <t>Tax Rate</t>
  </si>
  <si>
    <t>Colors</t>
  </si>
  <si>
    <t>Per Screen</t>
  </si>
  <si>
    <t>From</t>
  </si>
  <si>
    <t>To</t>
  </si>
  <si>
    <t>Screen Printing Quote</t>
  </si>
  <si>
    <t>Per Color Print Charge</t>
  </si>
  <si>
    <t>Markup</t>
  </si>
  <si>
    <t>* enter values in blue cells only</t>
  </si>
  <si>
    <t xml:space="preserve"> </t>
  </si>
  <si>
    <t>FRONT PRINT LOCATION</t>
  </si>
  <si>
    <t>BACK PRINT LOCATION</t>
  </si>
  <si>
    <t>T-shirts:</t>
  </si>
  <si>
    <t>SM-XL</t>
  </si>
  <si>
    <t>Please markup to your desire</t>
  </si>
  <si>
    <t>WHITE</t>
  </si>
  <si>
    <t>Please make markup 0% when calculating cost.</t>
  </si>
  <si>
    <t>DATE</t>
  </si>
  <si>
    <t>NAME</t>
  </si>
  <si>
    <t>EMAIL</t>
  </si>
  <si>
    <t>Jacob</t>
  </si>
  <si>
    <t>jpr35@pitt.edu</t>
  </si>
  <si>
    <t>phone</t>
  </si>
  <si>
    <t>Shirt</t>
  </si>
  <si>
    <t>Print</t>
  </si>
  <si>
    <t>2/3</t>
  </si>
  <si>
    <t>2/2</t>
  </si>
  <si>
    <t>RETAIL</t>
  </si>
  <si>
    <t>discount</t>
  </si>
  <si>
    <t>Rachel</t>
  </si>
  <si>
    <t>rvt5076@psu.edu</t>
  </si>
  <si>
    <t>570-789-1121</t>
  </si>
  <si>
    <t>softstyle</t>
  </si>
  <si>
    <t>1/0</t>
  </si>
  <si>
    <t>jan</t>
  </si>
  <si>
    <t>4/0</t>
  </si>
  <si>
    <t>temple</t>
  </si>
  <si>
    <t>2/1</t>
  </si>
  <si>
    <t>TOTAL Quantity</t>
  </si>
  <si>
    <t>Weight in Ounces</t>
  </si>
  <si>
    <t>Weight in Lbs.</t>
  </si>
  <si>
    <t>TOTAL WEIGHT IN LBS.</t>
  </si>
  <si>
    <t>NUMBER OF BOXES</t>
  </si>
  <si>
    <t>BOXES</t>
  </si>
  <si>
    <t>SHIPPING BOXES</t>
  </si>
  <si>
    <t>LBS.</t>
  </si>
  <si>
    <t>1-5 DAYS SHIPPING AVERAGE</t>
  </si>
  <si>
    <t>0-150</t>
  </si>
  <si>
    <t>151-300</t>
  </si>
  <si>
    <t>301-600</t>
  </si>
  <si>
    <t>601-1000</t>
  </si>
  <si>
    <t>1001-1400</t>
  </si>
  <si>
    <t>1401-1800</t>
  </si>
  <si>
    <t>1800+</t>
  </si>
  <si>
    <t>MILES</t>
  </si>
  <si>
    <t>ZONE</t>
  </si>
  <si>
    <t>AVERAGE</t>
  </si>
  <si>
    <t>TOTAL</t>
  </si>
  <si>
    <t>TAX</t>
  </si>
  <si>
    <t>OVERSIZES</t>
  </si>
  <si>
    <t>Over Sizes</t>
  </si>
  <si>
    <t>JAMES</t>
  </si>
  <si>
    <t>ADAM</t>
  </si>
  <si>
    <t xml:space="preserve">50 thisrts </t>
  </si>
  <si>
    <t>100 shirts</t>
  </si>
  <si>
    <t>194 BALANCE</t>
  </si>
  <si>
    <t>SLEEVE</t>
  </si>
  <si>
    <t>MISC.</t>
  </si>
  <si>
    <t>FRONT LOCATION</t>
  </si>
  <si>
    <t>BACK LOCATION</t>
  </si>
  <si>
    <t xml:space="preserve">Front: </t>
  </si>
  <si>
    <t>back:</t>
  </si>
  <si>
    <t>BRAND</t>
  </si>
  <si>
    <t>TYPE</t>
  </si>
  <si>
    <t>STYLE #</t>
  </si>
  <si>
    <t>2XL</t>
  </si>
  <si>
    <t>3XL</t>
  </si>
  <si>
    <t>4XL</t>
  </si>
  <si>
    <t>5XL</t>
  </si>
  <si>
    <t>GILDAN</t>
  </si>
  <si>
    <t>T-SHIRTS</t>
  </si>
  <si>
    <t>COLOR</t>
  </si>
  <si>
    <t>SOFTSTYLE</t>
  </si>
  <si>
    <t>VNECK</t>
  </si>
  <si>
    <t>LADIES</t>
  </si>
  <si>
    <t>NEXT LEVEL</t>
  </si>
  <si>
    <t>64v00</t>
  </si>
  <si>
    <t>2000L</t>
  </si>
  <si>
    <t>Crewneck Sweater</t>
  </si>
  <si>
    <t>White</t>
  </si>
  <si>
    <t>Color</t>
  </si>
  <si>
    <t>Long sleeve</t>
  </si>
  <si>
    <t>G2400</t>
  </si>
  <si>
    <t>hoodies</t>
  </si>
  <si>
    <t>ladies vneck</t>
  </si>
  <si>
    <t>5v00l</t>
  </si>
  <si>
    <t>Tank top</t>
  </si>
  <si>
    <t>Pocket tee</t>
  </si>
  <si>
    <t>G2300</t>
  </si>
  <si>
    <t>Polo</t>
  </si>
  <si>
    <t>Ladies polo</t>
  </si>
  <si>
    <t>3800L</t>
  </si>
  <si>
    <t>t-shirts</t>
  </si>
  <si>
    <t>Ladies Ideal V</t>
  </si>
  <si>
    <t>N3601</t>
  </si>
  <si>
    <t>BELLA CANVAS</t>
  </si>
  <si>
    <t>Ladies</t>
  </si>
  <si>
    <t>C3483</t>
  </si>
  <si>
    <t>ladies tank top</t>
  </si>
  <si>
    <t>Including Tax</t>
  </si>
  <si>
    <t>Including Discount</t>
  </si>
  <si>
    <t>quantity</t>
  </si>
  <si>
    <t>sleve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</si>
</sst>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sz val="2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45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5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"/>
      <color rgb="FF006100"/>
      <name val="Calibri"/>
      <scheme val="minor"/>
    </font>
    <font>
      <sz val="1"/>
      <color theme="1"/>
      <name val="Calibri"/>
      <scheme val="minor"/>
    </font>
    <font>
      <sz val="22"/>
      <color theme="1"/>
      <name val="Calibri"/>
      <scheme val="minor"/>
    </font>
    <font>
      <sz val="12"/>
      <color rgb="FF9C6500"/>
      <name val="Calibri"/>
      <family val="2"/>
      <scheme val="minor"/>
    </font>
    <font>
      <sz val="12"/>
      <color rgb="FF0061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4">
    <xf numFmtId="0" fontId="0" fillId="0" borderId="0"/>
    <xf numFmtId="0" fontId="8" fillId="0" borderId="1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" fillId="8" borderId="0" applyNumberFormat="0" applyBorder="0" applyAlignment="0" applyProtection="0"/>
    <xf numFmtId="0" fontId="25" fillId="9" borderId="0" applyNumberFormat="0" applyBorder="0" applyAlignment="0" applyProtection="0"/>
    <xf numFmtId="0" fontId="26" fillId="10" borderId="14" applyNumberFormat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7" fillId="11" borderId="15" applyNumberFormat="0" applyFont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70">
    <xf numFmtId="0" fontId="0" fillId="0" borderId="0" xfId="0"/>
    <xf numFmtId="2" fontId="0" fillId="2" borderId="0" xfId="0" applyNumberFormat="1" applyFill="1" applyBorder="1"/>
    <xf numFmtId="0" fontId="0" fillId="3" borderId="4" xfId="0" applyFill="1" applyBorder="1"/>
    <xf numFmtId="0" fontId="0" fillId="3" borderId="0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0" borderId="0" xfId="0"/>
    <xf numFmtId="0" fontId="14" fillId="0" borderId="0" xfId="0" applyFont="1"/>
    <xf numFmtId="0" fontId="0" fillId="0" borderId="0" xfId="0"/>
    <xf numFmtId="9" fontId="0" fillId="0" borderId="0" xfId="0" applyNumberFormat="1"/>
    <xf numFmtId="0" fontId="0" fillId="0" borderId="7" xfId="0" applyBorder="1"/>
    <xf numFmtId="0" fontId="0" fillId="0" borderId="0" xfId="0" applyBorder="1"/>
    <xf numFmtId="164" fontId="0" fillId="0" borderId="0" xfId="0" applyNumberForma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2" borderId="0" xfId="0" applyFill="1" applyBorder="1" applyAlignment="1">
      <alignment horizontal="center"/>
    </xf>
    <xf numFmtId="0" fontId="0" fillId="0" borderId="6" xfId="0" applyBorder="1"/>
    <xf numFmtId="0" fontId="0" fillId="2" borderId="0" xfId="0" applyFill="1" applyBorder="1"/>
    <xf numFmtId="9" fontId="0" fillId="4" borderId="0" xfId="0" applyNumberFormat="1" applyFill="1" applyBorder="1" applyProtection="1">
      <protection locked="0"/>
    </xf>
    <xf numFmtId="164" fontId="0" fillId="2" borderId="0" xfId="0" applyNumberFormat="1" applyFill="1" applyBorder="1"/>
    <xf numFmtId="0" fontId="16" fillId="0" borderId="0" xfId="0" applyFont="1" applyBorder="1"/>
    <xf numFmtId="0" fontId="18" fillId="0" borderId="0" xfId="0" applyFont="1"/>
    <xf numFmtId="0" fontId="7" fillId="0" borderId="6" xfId="0" applyFont="1" applyBorder="1" applyAlignment="1">
      <alignment horizontal="right"/>
    </xf>
    <xf numFmtId="0" fontId="7" fillId="0" borderId="7" xfId="0" applyFont="1" applyBorder="1"/>
    <xf numFmtId="0" fontId="7" fillId="0" borderId="8" xfId="0" applyFont="1" applyBorder="1" applyAlignment="1">
      <alignment horizontal="right"/>
    </xf>
    <xf numFmtId="0" fontId="7" fillId="4" borderId="0" xfId="0" applyNumberFormat="1" applyFont="1" applyFill="1" applyBorder="1" applyProtection="1">
      <protection locked="0"/>
    </xf>
    <xf numFmtId="0" fontId="7" fillId="0" borderId="0" xfId="0" applyFont="1" applyBorder="1"/>
    <xf numFmtId="164" fontId="7" fillId="0" borderId="0" xfId="0" applyNumberFormat="1" applyFont="1" applyFill="1" applyBorder="1"/>
    <xf numFmtId="164" fontId="7" fillId="0" borderId="0" xfId="0" applyNumberFormat="1" applyFont="1" applyBorder="1"/>
    <xf numFmtId="0" fontId="15" fillId="0" borderId="9" xfId="0" applyFont="1" applyBorder="1" applyAlignment="1">
      <alignment horizontal="right"/>
    </xf>
    <xf numFmtId="164" fontId="15" fillId="0" borderId="2" xfId="0" applyNumberFormat="1" applyFont="1" applyBorder="1"/>
    <xf numFmtId="164" fontId="15" fillId="5" borderId="2" xfId="0" applyNumberFormat="1" applyFont="1" applyFill="1" applyBorder="1"/>
    <xf numFmtId="0" fontId="0" fillId="2" borderId="8" xfId="0" applyFill="1" applyBorder="1" applyAlignment="1">
      <alignment horizontal="right" vertical="top"/>
    </xf>
    <xf numFmtId="0" fontId="0" fillId="2" borderId="8" xfId="0" applyFill="1" applyBorder="1" applyAlignment="1">
      <alignment vertical="top"/>
    </xf>
    <xf numFmtId="164" fontId="0" fillId="6" borderId="0" xfId="0" applyNumberFormat="1" applyFill="1" applyBorder="1"/>
    <xf numFmtId="0" fontId="17" fillId="3" borderId="0" xfId="0" applyFont="1" applyFill="1" applyBorder="1"/>
    <xf numFmtId="0" fontId="9" fillId="3" borderId="0" xfId="0" applyFont="1" applyFill="1" applyBorder="1"/>
    <xf numFmtId="0" fontId="0" fillId="0" borderId="8" xfId="0" applyBorder="1"/>
    <xf numFmtId="0" fontId="0" fillId="0" borderId="0" xfId="0" applyBorder="1"/>
    <xf numFmtId="0" fontId="16" fillId="0" borderId="8" xfId="0" applyFont="1" applyBorder="1"/>
    <xf numFmtId="0" fontId="16" fillId="0" borderId="0" xfId="0" applyFont="1" applyBorder="1"/>
    <xf numFmtId="0" fontId="0" fillId="7" borderId="8" xfId="0" applyFont="1" applyFill="1" applyBorder="1" applyAlignment="1">
      <alignment horizontal="right"/>
    </xf>
    <xf numFmtId="0" fontId="0" fillId="7" borderId="0" xfId="0" applyFont="1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10" fillId="0" borderId="8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0" fontId="19" fillId="0" borderId="8" xfId="0" applyFont="1" applyBorder="1"/>
    <xf numFmtId="164" fontId="20" fillId="0" borderId="0" xfId="0" applyNumberFormat="1" applyFont="1" applyBorder="1"/>
    <xf numFmtId="164" fontId="21" fillId="0" borderId="0" xfId="0" applyNumberFormat="1" applyFont="1" applyBorder="1"/>
    <xf numFmtId="0" fontId="12" fillId="0" borderId="0" xfId="52"/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2" fillId="0" borderId="0" xfId="52" applyNumberFormat="1"/>
    <xf numFmtId="0" fontId="22" fillId="0" borderId="0" xfId="0" applyFont="1"/>
    <xf numFmtId="0" fontId="0" fillId="0" borderId="0" xfId="0"/>
    <xf numFmtId="0" fontId="0" fillId="0" borderId="0" xfId="0" applyBorder="1"/>
    <xf numFmtId="0" fontId="0" fillId="3" borderId="8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0" borderId="0" xfId="0" applyFont="1" applyBorder="1"/>
    <xf numFmtId="0" fontId="14" fillId="0" borderId="0" xfId="0" applyFont="1" applyFill="1" applyBorder="1"/>
    <xf numFmtId="2" fontId="0" fillId="0" borderId="0" xfId="0" applyNumberFormat="1"/>
    <xf numFmtId="1" fontId="0" fillId="0" borderId="0" xfId="0" applyNumberFormat="1"/>
    <xf numFmtId="0" fontId="7" fillId="0" borderId="0" xfId="0" applyNumberFormat="1" applyFont="1" applyBorder="1"/>
    <xf numFmtId="0" fontId="23" fillId="0" borderId="0" xfId="0" applyFont="1"/>
    <xf numFmtId="0" fontId="23" fillId="0" borderId="0" xfId="0" applyNumberFormat="1" applyFont="1"/>
    <xf numFmtId="2" fontId="7" fillId="0" borderId="0" xfId="0" applyNumberFormat="1" applyFont="1" applyBorder="1"/>
    <xf numFmtId="0" fontId="0" fillId="0" borderId="0" xfId="0" applyBorder="1"/>
    <xf numFmtId="0" fontId="0" fillId="0" borderId="0" xfId="0"/>
    <xf numFmtId="8" fontId="7" fillId="0" borderId="0" xfId="0" applyNumberFormat="1" applyFont="1" applyBorder="1"/>
    <xf numFmtId="164" fontId="24" fillId="8" borderId="0" xfId="53" applyNumberFormat="1" applyBorder="1" applyProtection="1">
      <protection locked="0"/>
    </xf>
    <xf numFmtId="0" fontId="0" fillId="0" borderId="0" xfId="0"/>
    <xf numFmtId="164" fontId="24" fillId="8" borderId="0" xfId="53" applyNumberFormat="1" applyBorder="1"/>
    <xf numFmtId="0" fontId="24" fillId="8" borderId="7" xfId="53" applyBorder="1" applyProtection="1">
      <protection locked="0"/>
    </xf>
    <xf numFmtId="164" fontId="26" fillId="10" borderId="14" xfId="55" applyNumberFormat="1"/>
    <xf numFmtId="0" fontId="15" fillId="0" borderId="8" xfId="0" applyFont="1" applyBorder="1" applyAlignment="1">
      <alignment horizontal="right"/>
    </xf>
    <xf numFmtId="0" fontId="0" fillId="0" borderId="0" xfId="0" applyBorder="1"/>
    <xf numFmtId="0" fontId="0" fillId="0" borderId="0" xfId="0" applyBorder="1"/>
    <xf numFmtId="0" fontId="6" fillId="0" borderId="0" xfId="0" applyFont="1" applyBorder="1"/>
    <xf numFmtId="164" fontId="25" fillId="9" borderId="0" xfId="54" applyNumberFormat="1" applyBorder="1"/>
    <xf numFmtId="0" fontId="5" fillId="0" borderId="8" xfId="0" applyFont="1" applyBorder="1" applyAlignment="1">
      <alignment horizontal="right"/>
    </xf>
    <xf numFmtId="0" fontId="5" fillId="0" borderId="7" xfId="0" applyFont="1" applyBorder="1"/>
    <xf numFmtId="0" fontId="24" fillId="8" borderId="7" xfId="53" applyBorder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4" fillId="0" borderId="0" xfId="0" applyFont="1" applyBorder="1"/>
    <xf numFmtId="0" fontId="0" fillId="0" borderId="0" xfId="0"/>
    <xf numFmtId="0" fontId="0" fillId="7" borderId="8" xfId="0" applyFont="1" applyFill="1" applyBorder="1" applyAlignment="1">
      <alignment horizontal="right"/>
    </xf>
    <xf numFmtId="0" fontId="0" fillId="7" borderId="0" xfId="0" applyFont="1" applyFill="1" applyBorder="1" applyAlignment="1">
      <alignment horizontal="right"/>
    </xf>
    <xf numFmtId="0" fontId="0" fillId="0" borderId="8" xfId="0" applyBorder="1"/>
    <xf numFmtId="0" fontId="0" fillId="0" borderId="0" xfId="0" applyBorder="1"/>
    <xf numFmtId="0" fontId="0" fillId="3" borderId="8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25" fillId="9" borderId="0" xfId="54" applyNumberFormat="1" applyBorder="1" applyProtection="1">
      <protection locked="0"/>
    </xf>
    <xf numFmtId="0" fontId="0" fillId="0" borderId="0" xfId="0" applyBorder="1"/>
    <xf numFmtId="0" fontId="29" fillId="0" borderId="0" xfId="0" applyFont="1"/>
    <xf numFmtId="2" fontId="29" fillId="0" borderId="0" xfId="0" applyNumberFormat="1" applyFont="1"/>
    <xf numFmtId="0" fontId="0" fillId="3" borderId="17" xfId="0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0" fontId="0" fillId="3" borderId="3" xfId="0" applyFont="1" applyFill="1" applyBorder="1" applyAlignment="1">
      <alignment horizontal="right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2" borderId="17" xfId="0" applyNumberFormat="1" applyFill="1" applyBorder="1"/>
    <xf numFmtId="164" fontId="0" fillId="2" borderId="4" xfId="0" applyNumberFormat="1" applyFill="1" applyBorder="1"/>
    <xf numFmtId="164" fontId="0" fillId="2" borderId="16" xfId="0" applyNumberFormat="1" applyFill="1" applyBorder="1"/>
    <xf numFmtId="164" fontId="0" fillId="2" borderId="3" xfId="0" applyNumberFormat="1" applyFill="1" applyBorder="1"/>
    <xf numFmtId="164" fontId="0" fillId="2" borderId="5" xfId="0" applyNumberFormat="1" applyFill="1" applyBorder="1"/>
    <xf numFmtId="0" fontId="0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17" xfId="0" applyFont="1" applyBorder="1"/>
    <xf numFmtId="0" fontId="0" fillId="0" borderId="4" xfId="0" applyBorder="1"/>
    <xf numFmtId="0" fontId="0" fillId="0" borderId="16" xfId="0" applyFont="1" applyBorder="1"/>
    <xf numFmtId="0" fontId="0" fillId="0" borderId="3" xfId="0" applyBorder="1"/>
    <xf numFmtId="0" fontId="0" fillId="0" borderId="5" xfId="0" applyBorder="1"/>
    <xf numFmtId="0" fontId="21" fillId="0" borderId="0" xfId="0" applyFont="1" applyBorder="1"/>
    <xf numFmtId="8" fontId="33" fillId="8" borderId="0" xfId="53" applyNumberFormat="1" applyFont="1" applyBorder="1" applyProtection="1">
      <protection locked="0"/>
    </xf>
    <xf numFmtId="0" fontId="34" fillId="0" borderId="0" xfId="0" applyFont="1" applyBorder="1"/>
    <xf numFmtId="0" fontId="0" fillId="0" borderId="0" xfId="0"/>
    <xf numFmtId="0" fontId="0" fillId="0" borderId="8" xfId="0" applyBorder="1" applyAlignment="1">
      <alignment horizontal="right"/>
    </xf>
    <xf numFmtId="0" fontId="0" fillId="0" borderId="0" xfId="0" applyBorder="1"/>
    <xf numFmtId="0" fontId="18" fillId="0" borderId="0" xfId="0" applyFont="1" applyAlignment="1">
      <alignment horizontal="center"/>
    </xf>
    <xf numFmtId="0" fontId="35" fillId="0" borderId="0" xfId="0" applyFont="1"/>
    <xf numFmtId="0" fontId="29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Fill="1" applyBorder="1" applyAlignment="1">
      <alignment horizontal="right"/>
    </xf>
    <xf numFmtId="0" fontId="2" fillId="0" borderId="8" xfId="0" applyFont="1" applyBorder="1" applyAlignment="1">
      <alignment horizontal="right"/>
    </xf>
    <xf numFmtId="9" fontId="36" fillId="11" borderId="15" xfId="62" applyNumberFormat="1" applyFont="1"/>
    <xf numFmtId="0" fontId="25" fillId="9" borderId="0" xfId="54" applyFont="1" applyBorder="1"/>
    <xf numFmtId="10" fontId="37" fillId="8" borderId="0" xfId="53" applyNumberFormat="1" applyFont="1" applyBorder="1" applyProtection="1">
      <protection locked="0"/>
    </xf>
    <xf numFmtId="164" fontId="25" fillId="9" borderId="0" xfId="54" applyNumberFormat="1" applyFont="1" applyBorder="1"/>
    <xf numFmtId="0" fontId="1" fillId="0" borderId="8" xfId="0" applyFont="1" applyBorder="1" applyAlignment="1">
      <alignment horizontal="right"/>
    </xf>
    <xf numFmtId="0" fontId="0" fillId="3" borderId="13" xfId="0" applyFill="1" applyBorder="1" applyAlignment="1">
      <alignment horizontal="right" vertical="top"/>
    </xf>
    <xf numFmtId="0" fontId="0" fillId="3" borderId="8" xfId="0" applyFill="1" applyBorder="1" applyAlignment="1">
      <alignment horizontal="right" vertical="top"/>
    </xf>
    <xf numFmtId="0" fontId="11" fillId="0" borderId="1" xfId="1" applyFont="1" applyAlignment="1">
      <alignment horizontal="right"/>
    </xf>
    <xf numFmtId="0" fontId="8" fillId="0" borderId="1" xfId="1" applyAlignment="1"/>
    <xf numFmtId="0" fontId="0" fillId="0" borderId="0" xfId="0"/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7" borderId="8" xfId="0" applyFont="1" applyFill="1" applyBorder="1" applyAlignment="1">
      <alignment horizontal="right"/>
    </xf>
    <xf numFmtId="0" fontId="0" fillId="7" borderId="0" xfId="0" applyFont="1" applyFill="1" applyBorder="1" applyAlignment="1">
      <alignment horizontal="right"/>
    </xf>
    <xf numFmtId="0" fontId="0" fillId="0" borderId="8" xfId="0" applyBorder="1"/>
    <xf numFmtId="0" fontId="0" fillId="0" borderId="0" xfId="0" applyBorder="1"/>
    <xf numFmtId="0" fontId="9" fillId="3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0" fillId="3" borderId="8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21" fillId="0" borderId="0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</cellXfs>
  <cellStyles count="84">
    <cellStyle name="Bad" xfId="54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Good" xfId="53" builtinId="26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/>
    <cellStyle name="Input" xfId="55" builtinId="20"/>
    <cellStyle name="Normal" xfId="0" builtinId="0"/>
    <cellStyle name="Note" xfId="62" builtinId="1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Users/tel/8147719061" TargetMode="External"/><Relationship Id="rId2" Type="http://schemas.openxmlformats.org/officeDocument/2006/relationships/hyperlink" Target="mailto:jpr35@pitt.edu" TargetMode="External"/><Relationship Id="rId1" Type="http://schemas.openxmlformats.org/officeDocument/2006/relationships/hyperlink" Target="mailto:jpr35@pitt.edu" TargetMode="External"/><Relationship Id="rId4" Type="http://schemas.openxmlformats.org/officeDocument/2006/relationships/hyperlink" Target="../../../../Users/tel/570-789-11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90"/>
  <sheetViews>
    <sheetView showGridLines="0" tabSelected="1" workbookViewId="0">
      <selection activeCell="A8" sqref="A8"/>
    </sheetView>
  </sheetViews>
  <sheetFormatPr defaultColWidth="8.85546875" defaultRowHeight="15" x14ac:dyDescent="0.25"/>
  <cols>
    <col min="1" max="1" width="27.7109375" customWidth="1"/>
    <col min="2" max="2" width="14.140625" customWidth="1"/>
    <col min="3" max="3" width="2.7109375" customWidth="1"/>
    <col min="4" max="4" width="13.42578125" customWidth="1"/>
    <col min="5" max="5" width="11.28515625" bestFit="1" customWidth="1"/>
    <col min="6" max="6" width="3.7109375" customWidth="1"/>
    <col min="7" max="7" width="20.28515625" customWidth="1"/>
    <col min="8" max="8" width="3.140625" customWidth="1"/>
    <col min="10" max="10" width="9.28515625" customWidth="1"/>
    <col min="12" max="12" width="11" customWidth="1"/>
  </cols>
  <sheetData>
    <row r="1" spans="1:22" ht="45.95" customHeight="1" thickBot="1" x14ac:dyDescent="0.35">
      <c r="A1" s="150" t="s">
        <v>13</v>
      </c>
      <c r="B1" s="150"/>
      <c r="C1" s="150"/>
      <c r="D1" s="150"/>
      <c r="E1" s="150"/>
      <c r="F1" s="150"/>
      <c r="G1" s="150"/>
      <c r="H1" s="150"/>
      <c r="I1" s="149" t="s">
        <v>16</v>
      </c>
      <c r="J1" s="149"/>
      <c r="K1" s="149"/>
      <c r="L1" s="149"/>
      <c r="M1" s="149"/>
      <c r="N1" s="149"/>
      <c r="O1" s="149"/>
      <c r="P1" s="149"/>
      <c r="Q1" s="8"/>
    </row>
    <row r="2" spans="1:22" ht="6" customHeight="1" thickTop="1" thickBot="1" x14ac:dyDescent="0.3">
      <c r="G2" s="151"/>
      <c r="H2" s="151"/>
    </row>
    <row r="3" spans="1:22" ht="16.5" thickTop="1" x14ac:dyDescent="0.25">
      <c r="A3" s="22" t="s">
        <v>0</v>
      </c>
      <c r="B3" s="82">
        <v>100</v>
      </c>
      <c r="C3" s="23"/>
      <c r="D3" s="90" t="s">
        <v>68</v>
      </c>
      <c r="E3" s="91">
        <v>0</v>
      </c>
      <c r="F3" s="9"/>
      <c r="G3" s="16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68"/>
      <c r="T3" s="62"/>
    </row>
    <row r="4" spans="1:22" ht="15.75" x14ac:dyDescent="0.25">
      <c r="A4" s="105" t="s">
        <v>76</v>
      </c>
      <c r="B4" s="25">
        <v>2</v>
      </c>
      <c r="C4" s="26"/>
      <c r="D4" s="26"/>
      <c r="E4" s="26"/>
      <c r="F4" s="10"/>
      <c r="G4" s="12"/>
      <c r="H4" s="10"/>
      <c r="I4" s="10"/>
      <c r="J4" s="17"/>
      <c r="K4" s="158" t="s">
        <v>18</v>
      </c>
      <c r="L4" s="158"/>
      <c r="M4" s="158"/>
      <c r="N4" s="35" t="s">
        <v>22</v>
      </c>
      <c r="O4" s="36"/>
      <c r="P4" s="36"/>
      <c r="Q4" s="10"/>
      <c r="R4" s="63"/>
      <c r="S4" s="68"/>
      <c r="T4" s="62"/>
    </row>
    <row r="5" spans="1:22" ht="15.75" x14ac:dyDescent="0.25">
      <c r="A5" s="105" t="s">
        <v>77</v>
      </c>
      <c r="B5" s="25"/>
      <c r="C5" s="26"/>
      <c r="D5" s="26"/>
      <c r="E5" s="26"/>
      <c r="F5" s="10"/>
      <c r="G5" s="12"/>
      <c r="H5" s="10"/>
      <c r="I5" s="10"/>
      <c r="J5" s="10"/>
      <c r="K5" s="10"/>
      <c r="L5" s="10"/>
      <c r="M5" s="10"/>
      <c r="N5" s="10"/>
      <c r="O5" s="10"/>
      <c r="P5" s="10"/>
      <c r="Q5" s="10"/>
      <c r="R5" s="63"/>
      <c r="S5" s="68"/>
      <c r="T5" s="62"/>
    </row>
    <row r="6" spans="1:22" ht="15" customHeight="1" x14ac:dyDescent="0.25">
      <c r="A6" s="105" t="s">
        <v>74</v>
      </c>
      <c r="B6" s="106"/>
      <c r="C6" s="26"/>
      <c r="D6" s="26"/>
      <c r="E6" s="26"/>
      <c r="F6" s="99"/>
      <c r="G6" s="152" t="s">
        <v>14</v>
      </c>
      <c r="H6" s="153"/>
      <c r="I6" s="17">
        <v>1.75</v>
      </c>
      <c r="J6" s="17">
        <v>1.7</v>
      </c>
      <c r="K6" s="1">
        <v>1.5</v>
      </c>
      <c r="L6" s="1">
        <v>1.4</v>
      </c>
      <c r="M6" s="1">
        <v>1.25</v>
      </c>
      <c r="N6" s="1">
        <v>1.05</v>
      </c>
      <c r="O6" s="1">
        <v>0.95</v>
      </c>
      <c r="P6" s="1">
        <v>0.9</v>
      </c>
      <c r="Q6" s="1">
        <v>0.85</v>
      </c>
      <c r="R6" s="1">
        <v>0.8</v>
      </c>
      <c r="S6" s="1">
        <v>0.8</v>
      </c>
      <c r="T6" s="1">
        <v>0.75</v>
      </c>
      <c r="U6" s="1">
        <v>0.7</v>
      </c>
      <c r="V6" s="1">
        <v>0.65</v>
      </c>
    </row>
    <row r="7" spans="1:22" ht="15.75" x14ac:dyDescent="0.25">
      <c r="A7" s="146" t="s">
        <v>120</v>
      </c>
      <c r="B7" s="106"/>
      <c r="C7" s="26"/>
      <c r="D7" s="26"/>
      <c r="E7" s="26"/>
      <c r="F7" s="99"/>
      <c r="G7" s="154" t="s">
        <v>15</v>
      </c>
      <c r="H7" s="155"/>
      <c r="I7" s="18">
        <v>1.4</v>
      </c>
      <c r="J7" s="18">
        <v>1</v>
      </c>
      <c r="K7" s="18">
        <v>1</v>
      </c>
      <c r="L7" s="18">
        <v>1</v>
      </c>
      <c r="M7" s="18">
        <v>0.9</v>
      </c>
      <c r="N7" s="18">
        <v>0.8</v>
      </c>
      <c r="O7" s="18">
        <v>0.75</v>
      </c>
      <c r="P7" s="18">
        <v>0.7</v>
      </c>
      <c r="Q7" s="18">
        <v>0.65</v>
      </c>
      <c r="R7" s="18">
        <v>0.6</v>
      </c>
      <c r="S7" s="18">
        <v>0.5</v>
      </c>
      <c r="T7" s="18">
        <v>0.45</v>
      </c>
      <c r="U7" s="18">
        <v>0.4</v>
      </c>
      <c r="V7" s="18">
        <v>0.4</v>
      </c>
    </row>
    <row r="8" spans="1:22" ht="15.75" x14ac:dyDescent="0.25">
      <c r="A8" s="105"/>
      <c r="B8" s="27"/>
      <c r="C8" s="26"/>
      <c r="D8" s="26"/>
      <c r="E8" s="26"/>
      <c r="F8" s="10"/>
      <c r="G8" s="156"/>
      <c r="H8" s="157"/>
      <c r="I8" s="10"/>
      <c r="J8" s="86"/>
      <c r="K8" s="10"/>
      <c r="L8" s="10"/>
      <c r="M8" s="10"/>
      <c r="N8" s="10"/>
      <c r="O8" s="10"/>
      <c r="P8" s="10"/>
      <c r="Q8" s="10"/>
      <c r="R8" s="10"/>
      <c r="S8" s="63"/>
      <c r="T8" s="68"/>
      <c r="U8" s="62"/>
    </row>
    <row r="9" spans="1:22" ht="15.75" x14ac:dyDescent="0.25">
      <c r="A9" s="24"/>
      <c r="B9" s="140" t="s">
        <v>89</v>
      </c>
      <c r="C9" s="164" t="s">
        <v>23</v>
      </c>
      <c r="D9" s="164"/>
      <c r="E9" s="26"/>
      <c r="F9" s="10"/>
      <c r="G9" s="160" t="s">
        <v>11</v>
      </c>
      <c r="H9" s="161"/>
      <c r="I9" s="110">
        <v>12</v>
      </c>
      <c r="J9" s="3">
        <v>13</v>
      </c>
      <c r="K9" s="3">
        <v>25</v>
      </c>
      <c r="L9" s="3">
        <v>37</v>
      </c>
      <c r="M9" s="3">
        <v>49</v>
      </c>
      <c r="N9" s="3">
        <v>73</v>
      </c>
      <c r="O9" s="3">
        <v>97</v>
      </c>
      <c r="P9" s="3">
        <v>121</v>
      </c>
      <c r="Q9" s="3">
        <v>201</v>
      </c>
      <c r="R9" s="3">
        <v>301</v>
      </c>
      <c r="S9" s="3">
        <v>401</v>
      </c>
      <c r="T9" s="104">
        <v>501</v>
      </c>
      <c r="U9" s="104">
        <v>751</v>
      </c>
      <c r="V9" s="104">
        <v>1001</v>
      </c>
    </row>
    <row r="10" spans="1:22" ht="15.75" x14ac:dyDescent="0.25">
      <c r="A10" s="146" t="s">
        <v>119</v>
      </c>
      <c r="B10" s="79">
        <v>2.5</v>
      </c>
      <c r="C10" s="129"/>
      <c r="D10" s="129"/>
      <c r="E10" s="26"/>
      <c r="F10" s="10"/>
      <c r="G10" s="162" t="s">
        <v>12</v>
      </c>
      <c r="H10" s="163"/>
      <c r="I10" s="111">
        <v>12</v>
      </c>
      <c r="J10" s="4">
        <v>24</v>
      </c>
      <c r="K10" s="4">
        <v>36</v>
      </c>
      <c r="L10" s="4">
        <v>48</v>
      </c>
      <c r="M10" s="4">
        <v>72</v>
      </c>
      <c r="N10" s="4">
        <v>96</v>
      </c>
      <c r="O10" s="4">
        <v>120</v>
      </c>
      <c r="P10" s="4">
        <v>200</v>
      </c>
      <c r="Q10" s="4">
        <v>300</v>
      </c>
      <c r="R10" s="4">
        <v>400</v>
      </c>
      <c r="S10" s="4">
        <v>500</v>
      </c>
      <c r="T10" s="112">
        <v>750</v>
      </c>
      <c r="U10" s="112">
        <v>1000</v>
      </c>
      <c r="V10" s="112">
        <v>1500</v>
      </c>
    </row>
    <row r="11" spans="1:22" ht="15.75" x14ac:dyDescent="0.25">
      <c r="A11" s="89" t="s">
        <v>67</v>
      </c>
      <c r="B11" s="79">
        <v>2</v>
      </c>
      <c r="C11" s="26"/>
      <c r="D11" s="26"/>
      <c r="E11" s="26"/>
      <c r="F11" s="10"/>
      <c r="G11" s="147" t="s">
        <v>9</v>
      </c>
      <c r="H11" s="44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  <c r="P11" s="51">
        <v>0</v>
      </c>
      <c r="Q11" s="51">
        <v>0</v>
      </c>
      <c r="R11" s="51">
        <v>0</v>
      </c>
      <c r="S11" s="51">
        <v>0</v>
      </c>
      <c r="T11" s="51">
        <v>0</v>
      </c>
      <c r="U11" s="51">
        <v>0</v>
      </c>
      <c r="V11" s="51">
        <v>0</v>
      </c>
    </row>
    <row r="12" spans="1:22" ht="15.75" x14ac:dyDescent="0.25">
      <c r="A12" s="24"/>
      <c r="B12" s="26"/>
      <c r="C12" s="26"/>
      <c r="D12" s="26" t="s">
        <v>17</v>
      </c>
      <c r="E12" s="26"/>
      <c r="F12" s="10"/>
      <c r="G12" s="148"/>
      <c r="H12" s="2">
        <v>1</v>
      </c>
      <c r="I12" s="19">
        <f>((perColor1*H12))*(1+markup1)</f>
        <v>4.2</v>
      </c>
      <c r="J12" s="19">
        <f>(((J6*H12))*(1+J7))</f>
        <v>3.4</v>
      </c>
      <c r="K12" s="19">
        <f>(((perColor2*H12))*(1+markup2))</f>
        <v>3</v>
      </c>
      <c r="L12" s="19">
        <f>((perColor3*H12))*(1+markup3)</f>
        <v>2.8</v>
      </c>
      <c r="M12" s="19">
        <f>((perColor4*H12))*(1+markup4)</f>
        <v>2.375</v>
      </c>
      <c r="N12" s="19">
        <f>((perColor5*H12))*(1+markup5)</f>
        <v>1.8900000000000001</v>
      </c>
      <c r="O12" s="19">
        <f>((perColor6*H12))*(1+markup6)</f>
        <v>1.6624999999999999</v>
      </c>
      <c r="P12" s="19">
        <f>((perColor7*H12))*(1+markup7)</f>
        <v>1.53</v>
      </c>
      <c r="Q12" s="19">
        <f>((perColor8*H12))*(1+markup8)</f>
        <v>1.4024999999999999</v>
      </c>
      <c r="R12" s="19">
        <f>(R6*H12)*(1+R7)</f>
        <v>1.2800000000000002</v>
      </c>
      <c r="S12" s="11">
        <f>(S6*$H12)*(1+S7)</f>
        <v>1.2000000000000002</v>
      </c>
      <c r="T12" s="113">
        <f>(T6*$H12)*(1+T7)</f>
        <v>1.0874999999999999</v>
      </c>
      <c r="U12" s="114">
        <f>(U6*$H12)*(1+U7)</f>
        <v>0.97999999999999987</v>
      </c>
      <c r="V12" s="115">
        <f>(V6*$H12)*(1+V7)</f>
        <v>0.90999999999999992</v>
      </c>
    </row>
    <row r="13" spans="1:22" ht="15.75" x14ac:dyDescent="0.25">
      <c r="A13" s="105" t="s">
        <v>78</v>
      </c>
      <c r="B13" s="28">
        <f>IF(locColors1&gt;=locColors3,IF(locColors1&gt;=locColors2,IF(locColors1&gt;=locColors4,HLOOKUP(numItems,loc1matrix,locColors1+3,TRUE),HLOOKUP(numItems,loc2matrix,locColors1+3,TRUE)),HLOOKUP(numItems,loc2matrix,locColors1+3,TRUE)),HLOOKUP(numItems,loc2matrix,locColors1+3,TRUE))</f>
        <v>2.2749999999999999</v>
      </c>
      <c r="C13" s="26"/>
      <c r="D13" s="26"/>
      <c r="E13" s="26"/>
      <c r="F13" s="10"/>
      <c r="G13" s="148"/>
      <c r="H13" s="2">
        <v>2</v>
      </c>
      <c r="I13" s="19">
        <f>(+(2.2))*(1+markup1)</f>
        <v>5.28</v>
      </c>
      <c r="J13" s="19">
        <f>(((2.2))*(1+J7))</f>
        <v>4.4000000000000004</v>
      </c>
      <c r="K13" s="19">
        <f>((+(2.059))*(1+markup2))</f>
        <v>4.1180000000000003</v>
      </c>
      <c r="L13" s="19">
        <f>((1.9))*(1+markup3)</f>
        <v>3.8</v>
      </c>
      <c r="M13" s="19">
        <f>((1.7))*(1+markup4)</f>
        <v>3.23</v>
      </c>
      <c r="N13" s="19">
        <f>((1.55))*(1+markup5)</f>
        <v>2.79</v>
      </c>
      <c r="O13" s="19">
        <f>((1.3))*(1+markup6)</f>
        <v>2.2749999999999999</v>
      </c>
      <c r="P13" s="19">
        <f>((1.15))*(1+markup7)</f>
        <v>1.9549999999999998</v>
      </c>
      <c r="Q13" s="19">
        <f>((1))*(1+markup8)</f>
        <v>1.65</v>
      </c>
      <c r="R13" s="19">
        <f>((0.95))*(1+R7)</f>
        <v>1.52</v>
      </c>
      <c r="S13" s="19">
        <f>((0.9)*(1+S7))</f>
        <v>1.35</v>
      </c>
      <c r="T13" s="116">
        <f>((0.85)*(1+T7))</f>
        <v>1.2324999999999999</v>
      </c>
      <c r="U13" s="19">
        <f>((0.85)*(1+U7))</f>
        <v>1.19</v>
      </c>
      <c r="V13" s="117">
        <f>((0.8)*(1+V7))</f>
        <v>1.1199999999999999</v>
      </c>
    </row>
    <row r="14" spans="1:22" ht="15.75" x14ac:dyDescent="0.25">
      <c r="A14" s="105" t="s">
        <v>79</v>
      </c>
      <c r="B14" s="28">
        <f>IF(locColors2&gt;locColors3,IF(locColors2&gt;locColors1,IF(locColors2&gt;locColors4,HLOOKUP(numItems,loc1matrix,locColors2+3,TRUE),HLOOKUP(numItems,loc2matrix,locColors2+3,TRUE)),HLOOKUP(numItems,loc2matrix,locColors2+3,TRUE)),HLOOKUP(numItems,loc2matrix,locColors2+3,TRUE))</f>
        <v>0</v>
      </c>
      <c r="C14" s="26"/>
      <c r="D14" s="26"/>
      <c r="E14" s="26"/>
      <c r="F14" s="99"/>
      <c r="G14" s="148"/>
      <c r="H14" s="2">
        <v>3</v>
      </c>
      <c r="I14" s="19">
        <f>((2.6))*(1+markup1)</f>
        <v>6.24</v>
      </c>
      <c r="J14" s="19">
        <f>(((2.6))*(1+J7))</f>
        <v>5.2</v>
      </c>
      <c r="K14" s="19">
        <f>(((2.5))*(1+markup2))</f>
        <v>5</v>
      </c>
      <c r="L14" s="19">
        <f>((2.35))*(1+markup3)</f>
        <v>4.7</v>
      </c>
      <c r="M14" s="19">
        <f>((2.05))*(1+markup4)</f>
        <v>3.8949999999999996</v>
      </c>
      <c r="N14" s="19">
        <f>((1.75))*(1+markup5)</f>
        <v>3.15</v>
      </c>
      <c r="O14" s="19">
        <f>((1.6))*(1+markup6)</f>
        <v>2.8000000000000003</v>
      </c>
      <c r="P14" s="19">
        <f>((1.55))*(1+markup7)</f>
        <v>2.6349999999999998</v>
      </c>
      <c r="Q14" s="19">
        <f>((1.5))*(1+markup8)</f>
        <v>2.4749999999999996</v>
      </c>
      <c r="R14" s="19">
        <f>((1.35))*(1+R7)</f>
        <v>2.16</v>
      </c>
      <c r="S14" s="19">
        <f>((1.2))*(1+S7)</f>
        <v>1.7999999999999998</v>
      </c>
      <c r="T14" s="116">
        <f>((1.05))*(1+T7)</f>
        <v>1.5225</v>
      </c>
      <c r="U14" s="19">
        <f>((1.05))*(1+U7)</f>
        <v>1.47</v>
      </c>
      <c r="V14" s="117">
        <f>((0.95))*(1+V7)</f>
        <v>1.3299999999999998</v>
      </c>
    </row>
    <row r="15" spans="1:22" ht="15.75" x14ac:dyDescent="0.25">
      <c r="A15" s="105" t="s">
        <v>74</v>
      </c>
      <c r="B15" s="88">
        <f>IF(locColors3&gt;locColors2,IF(locColors3&gt;locColors1,IF(locColors3&gt;locColors4,HLOOKUP(numItems,loc1matrix,locColors3+3,TRUE),HLOOKUP(numItems,loc2matrix,locColors3+3,TRUE)),HLOOKUP(numItems,loc2matrix,locColors3+3,TRUE)),HLOOKUP(numItems,loc2matrix,locColors3+3,TRUE))</f>
        <v>0</v>
      </c>
      <c r="C15" s="26"/>
      <c r="D15" s="26"/>
      <c r="E15" s="26"/>
      <c r="F15" s="99"/>
      <c r="G15" s="148"/>
      <c r="H15" s="2">
        <v>4</v>
      </c>
      <c r="I15" s="19">
        <f>((3))*(1+markup1)</f>
        <v>7.1999999999999993</v>
      </c>
      <c r="J15" s="19">
        <f>(((3))*(1+J7))</f>
        <v>6</v>
      </c>
      <c r="K15" s="19">
        <f>(((2.9))*(1+markup2))</f>
        <v>5.8</v>
      </c>
      <c r="L15" s="19">
        <f>((2.75))*(1+markup3)</f>
        <v>5.5</v>
      </c>
      <c r="M15" s="19">
        <f>((2.55))*(1+markup4)</f>
        <v>4.8449999999999998</v>
      </c>
      <c r="N15" s="19">
        <f>((2.2))*(1+markup5)</f>
        <v>3.9600000000000004</v>
      </c>
      <c r="O15" s="19">
        <f>((2.051))*(1+markup6)</f>
        <v>3.5892500000000003</v>
      </c>
      <c r="P15" s="19">
        <f>((1.8))*(1+markup7)</f>
        <v>3.06</v>
      </c>
      <c r="Q15" s="19">
        <f>((1.65))*(1+markup8)</f>
        <v>2.7224999999999997</v>
      </c>
      <c r="R15" s="19">
        <f>((1.5))*(1+R7)</f>
        <v>2.4000000000000004</v>
      </c>
      <c r="S15" s="19">
        <f>((1.3))*(1+S7)</f>
        <v>1.9500000000000002</v>
      </c>
      <c r="T15" s="116">
        <f>((1.1))*(1+T7)</f>
        <v>1.595</v>
      </c>
      <c r="U15" s="19">
        <f>((1.1))*(1+U7)</f>
        <v>1.54</v>
      </c>
      <c r="V15" s="117">
        <f>((1))*(1+V7)</f>
        <v>1.4</v>
      </c>
    </row>
    <row r="16" spans="1:22" s="77" customFormat="1" ht="15.75" x14ac:dyDescent="0.25">
      <c r="A16" s="105" t="s">
        <v>75</v>
      </c>
      <c r="B16" s="88">
        <f>IF(locColors4&gt;locColors2,IF(locColors4&gt;locColors1,IF(locColors4&gt;locColors3,HLOOKUP(numItems,loc1matrix,locColors4+3,TRUE),HLOOKUP(numItems,loc2matrix,locColors4+3,TRUE)),HLOOKUP(numItems,loc2matrix,locColors4+3,TRUE)),HLOOKUP(numItems,loc2matrix,locColors4+3,TRUE))</f>
        <v>0</v>
      </c>
      <c r="C16" s="26"/>
      <c r="D16" s="26"/>
      <c r="E16" s="26"/>
      <c r="F16" s="10"/>
      <c r="G16" s="148"/>
      <c r="H16" s="2">
        <v>5</v>
      </c>
      <c r="I16" s="19">
        <f>((3.5))*(1+markup1)</f>
        <v>8.4</v>
      </c>
      <c r="J16" s="19">
        <f>(((3.5))*(1+J7))</f>
        <v>7</v>
      </c>
      <c r="K16" s="19">
        <f>(((3.4))*(1+markup2))</f>
        <v>6.8</v>
      </c>
      <c r="L16" s="19">
        <f>((3.15))*(1+markup3)</f>
        <v>6.3</v>
      </c>
      <c r="M16" s="19">
        <f>((3))*(1+markup4)</f>
        <v>5.6999999999999993</v>
      </c>
      <c r="N16" s="19">
        <f>((2.82))*(1+markup5)</f>
        <v>5.0759999999999996</v>
      </c>
      <c r="O16" s="19">
        <f>((2.55))*(1+markup6)</f>
        <v>4.4624999999999995</v>
      </c>
      <c r="P16" s="19">
        <f>((2.15))*(1+markup7)</f>
        <v>3.6549999999999998</v>
      </c>
      <c r="Q16" s="19">
        <f>((1.95))*(1+markup8)</f>
        <v>3.2174999999999998</v>
      </c>
      <c r="R16" s="19">
        <f>((1.75))*(1+R7)</f>
        <v>2.8000000000000003</v>
      </c>
      <c r="S16" s="19">
        <f>((1.4))*(1+S7)</f>
        <v>2.0999999999999996</v>
      </c>
      <c r="T16" s="116">
        <f>((1.2))*(1+T7)</f>
        <v>1.74</v>
      </c>
      <c r="U16" s="19">
        <f>((1.2))*(1+U7)</f>
        <v>1.68</v>
      </c>
      <c r="V16" s="117">
        <f>((1.1))*(1+V7)</f>
        <v>1.54</v>
      </c>
    </row>
    <row r="17" spans="1:22" ht="16.5" thickBot="1" x14ac:dyDescent="0.3">
      <c r="A17" s="29" t="s">
        <v>1</v>
      </c>
      <c r="B17" s="30">
        <f>loc1Price+loc2Price+B15+B16</f>
        <v>2.2749999999999999</v>
      </c>
      <c r="C17" s="26"/>
      <c r="D17" s="26"/>
      <c r="E17" s="26"/>
      <c r="F17" s="134"/>
      <c r="G17" s="148"/>
      <c r="H17" s="2">
        <v>6</v>
      </c>
      <c r="I17" s="19">
        <f>((4))*(1+markup1)</f>
        <v>9.6</v>
      </c>
      <c r="J17" s="19">
        <f>(((4))*(1+J7))</f>
        <v>8</v>
      </c>
      <c r="K17" s="19">
        <f>(((3.9))*(1+markup2))</f>
        <v>7.8</v>
      </c>
      <c r="L17" s="19">
        <f>((3.45))*(1+markup3)</f>
        <v>6.9</v>
      </c>
      <c r="M17" s="19">
        <f>((3.15))*(1+markup4)</f>
        <v>5.9849999999999994</v>
      </c>
      <c r="N17" s="19">
        <f>((2.95))*(1+markup5)</f>
        <v>5.3100000000000005</v>
      </c>
      <c r="O17" s="19">
        <f>((2.7))*(1+markup6)</f>
        <v>4.7250000000000005</v>
      </c>
      <c r="P17" s="19">
        <f>((2.45))*(1+markup7)</f>
        <v>4.165</v>
      </c>
      <c r="Q17" s="19">
        <f>((2.2))*(1+markup8)</f>
        <v>3.63</v>
      </c>
      <c r="R17" s="19">
        <f>((2))*(1+R7)</f>
        <v>3.2</v>
      </c>
      <c r="S17" s="19">
        <f>((1.5))*(1+S7)</f>
        <v>2.25</v>
      </c>
      <c r="T17" s="118">
        <f>((1.25))*(1+T7)</f>
        <v>1.8125</v>
      </c>
      <c r="U17" s="119">
        <f>((1.25))*(1+U7)</f>
        <v>1.75</v>
      </c>
      <c r="V17" s="120">
        <f>((1.15))*(1+V7)</f>
        <v>1.6099999999999999</v>
      </c>
    </row>
    <row r="18" spans="1:22" ht="16.5" thickTop="1" x14ac:dyDescent="0.25">
      <c r="A18" s="24"/>
      <c r="B18" s="26"/>
      <c r="C18" s="26"/>
      <c r="D18" s="26"/>
      <c r="E18" s="26"/>
      <c r="F18" s="10"/>
      <c r="G18" s="148"/>
      <c r="H18" s="2"/>
      <c r="I18" s="19"/>
      <c r="J18" s="19"/>
      <c r="K18" s="19"/>
      <c r="L18" s="19"/>
      <c r="M18" s="19"/>
      <c r="N18" s="19"/>
      <c r="O18" s="19"/>
      <c r="P18" s="19"/>
      <c r="Q18" s="19"/>
      <c r="R18" s="63"/>
      <c r="S18" s="68"/>
      <c r="T18" s="62"/>
    </row>
    <row r="19" spans="1:22" ht="15.75" x14ac:dyDescent="0.25">
      <c r="A19" s="24" t="s">
        <v>2</v>
      </c>
      <c r="B19" s="28">
        <f>itemPrice*numItems</f>
        <v>227.5</v>
      </c>
      <c r="C19" s="26"/>
      <c r="D19" s="26"/>
      <c r="E19" s="94"/>
      <c r="F19" s="10"/>
      <c r="G19" s="33"/>
      <c r="H19" s="107"/>
      <c r="I19" s="19"/>
      <c r="J19" s="19"/>
      <c r="K19" s="19"/>
      <c r="L19" s="19"/>
      <c r="M19" s="19"/>
      <c r="N19" s="19"/>
      <c r="O19" s="19"/>
      <c r="P19" s="19"/>
      <c r="Q19" s="19"/>
      <c r="R19" s="85"/>
      <c r="S19" s="68"/>
      <c r="T19" s="62"/>
    </row>
    <row r="20" spans="1:22" ht="15.75" x14ac:dyDescent="0.25">
      <c r="A20" s="24" t="s">
        <v>4</v>
      </c>
      <c r="B20" s="28">
        <f>(locColors1+locColors2)*perScreen</f>
        <v>40</v>
      </c>
      <c r="C20" s="26"/>
      <c r="D20" s="130">
        <v>20</v>
      </c>
      <c r="E20" s="26" t="s">
        <v>10</v>
      </c>
      <c r="F20" s="10"/>
      <c r="G20" s="32"/>
      <c r="H20" s="17"/>
      <c r="I20" s="19"/>
      <c r="J20" s="19"/>
      <c r="K20" s="19"/>
      <c r="L20" s="19"/>
      <c r="M20" s="19"/>
      <c r="N20" s="19"/>
      <c r="O20" s="19"/>
      <c r="P20" s="19"/>
      <c r="Q20" s="19"/>
      <c r="R20" s="63"/>
      <c r="S20" s="68"/>
      <c r="T20" s="62"/>
    </row>
    <row r="21" spans="1:22" ht="15.75" x14ac:dyDescent="0.25">
      <c r="A21" s="24" t="s">
        <v>3</v>
      </c>
      <c r="B21" s="78">
        <v>0</v>
      </c>
      <c r="C21" s="26"/>
      <c r="D21" s="131"/>
      <c r="E21" s="26"/>
      <c r="F21" s="76"/>
      <c r="G21" s="37"/>
      <c r="H21" s="17"/>
      <c r="I21" s="19"/>
      <c r="J21" s="19"/>
      <c r="K21" s="34" t="s">
        <v>24</v>
      </c>
      <c r="L21" s="34"/>
      <c r="M21" s="34"/>
      <c r="N21" s="34"/>
      <c r="O21" s="34"/>
      <c r="P21" s="19"/>
      <c r="Q21" s="19"/>
      <c r="R21" s="63"/>
      <c r="S21" s="68"/>
      <c r="T21" s="62"/>
    </row>
    <row r="22" spans="1:22" ht="15.75" x14ac:dyDescent="0.25">
      <c r="A22" s="80"/>
      <c r="B22" s="80"/>
      <c r="C22" s="26"/>
      <c r="D22" s="142">
        <v>0</v>
      </c>
      <c r="E22" s="87"/>
      <c r="F22" s="10"/>
      <c r="G22" s="39"/>
      <c r="H22" s="38"/>
      <c r="I22" s="10"/>
      <c r="J22" s="10"/>
      <c r="K22" s="10"/>
      <c r="L22" s="10"/>
      <c r="M22" s="10"/>
      <c r="N22" s="10"/>
      <c r="O22" s="10"/>
      <c r="P22" s="10"/>
      <c r="Q22" s="10"/>
      <c r="R22" s="63"/>
      <c r="S22" s="68"/>
      <c r="T22" s="62"/>
    </row>
    <row r="23" spans="1:22" ht="15" customHeight="1" thickBot="1" x14ac:dyDescent="0.3">
      <c r="A23" s="29" t="s">
        <v>5</v>
      </c>
      <c r="B23" s="30">
        <f>itemTotal+setupCharge+artCharge+D23</f>
        <v>297.5</v>
      </c>
      <c r="C23" s="26"/>
      <c r="D23" s="143">
        <f>15*B41</f>
        <v>30</v>
      </c>
      <c r="E23" s="87" t="s">
        <v>6</v>
      </c>
      <c r="F23" s="10"/>
      <c r="G23" s="47"/>
      <c r="H23" s="40"/>
      <c r="I23" s="20"/>
      <c r="J23" s="20"/>
      <c r="K23" s="159" t="s">
        <v>19</v>
      </c>
      <c r="L23" s="159"/>
      <c r="M23" s="159"/>
      <c r="N23" s="35" t="s">
        <v>22</v>
      </c>
      <c r="O23" s="35"/>
      <c r="P23" s="35"/>
      <c r="Q23" s="20"/>
      <c r="R23" s="63"/>
      <c r="S23" s="68"/>
      <c r="T23" s="62"/>
    </row>
    <row r="24" spans="1:22" ht="16.5" thickTop="1" x14ac:dyDescent="0.25">
      <c r="A24" s="24"/>
      <c r="B24" s="28"/>
      <c r="C24" s="26"/>
      <c r="D24" s="144">
        <v>0.08</v>
      </c>
      <c r="E24" s="87" t="s">
        <v>8</v>
      </c>
      <c r="F24" s="10"/>
      <c r="G24" s="47"/>
      <c r="H24" s="48"/>
      <c r="I24" s="48"/>
      <c r="J24" s="48"/>
      <c r="K24" s="48"/>
      <c r="L24" s="48"/>
      <c r="M24" s="48"/>
      <c r="N24" s="48"/>
      <c r="O24" s="48"/>
      <c r="P24" s="48"/>
      <c r="Q24" s="10"/>
      <c r="R24" s="63"/>
      <c r="S24" s="68"/>
      <c r="T24" s="62"/>
    </row>
    <row r="25" spans="1:22" ht="16.5" thickBot="1" x14ac:dyDescent="0.3">
      <c r="A25" s="29" t="s">
        <v>7</v>
      </c>
      <c r="B25" s="31">
        <f>subTotal+taxAmount</f>
        <v>297.5</v>
      </c>
      <c r="C25" s="26"/>
      <c r="D25" s="145">
        <f>taxRate*E30</f>
        <v>47.303999999999995</v>
      </c>
      <c r="E25" s="87" t="s">
        <v>66</v>
      </c>
      <c r="F25" s="10"/>
      <c r="G25" s="49" t="s">
        <v>14</v>
      </c>
      <c r="H25" s="50"/>
      <c r="I25" s="17">
        <v>1.7</v>
      </c>
      <c r="J25" s="1">
        <v>1.5</v>
      </c>
      <c r="K25" s="1">
        <v>1.45</v>
      </c>
      <c r="L25" s="1">
        <v>1.3</v>
      </c>
      <c r="M25" s="1">
        <v>1.1499999999999999</v>
      </c>
      <c r="N25" s="1">
        <v>1.05</v>
      </c>
      <c r="O25" s="1">
        <v>0.95</v>
      </c>
      <c r="P25" s="1">
        <v>0.85</v>
      </c>
      <c r="Q25" s="1">
        <v>0.75</v>
      </c>
      <c r="R25" s="1">
        <v>0.7</v>
      </c>
      <c r="S25" s="1">
        <v>0.6</v>
      </c>
      <c r="T25" s="1">
        <v>0.55000000000000004</v>
      </c>
      <c r="U25" s="1">
        <v>0.5</v>
      </c>
      <c r="V25" s="1">
        <v>0.45</v>
      </c>
    </row>
    <row r="26" spans="1:22" ht="16.5" thickTop="1" x14ac:dyDescent="0.25">
      <c r="A26" s="84"/>
      <c r="B26" s="80"/>
      <c r="C26" s="26"/>
      <c r="D26" s="145">
        <f>E29*D22</f>
        <v>0</v>
      </c>
      <c r="E26" s="87"/>
      <c r="F26" s="10"/>
      <c r="G26" s="41" t="s">
        <v>15</v>
      </c>
      <c r="H26" s="42"/>
      <c r="I26" s="18">
        <v>0</v>
      </c>
      <c r="J26" s="18">
        <v>0</v>
      </c>
      <c r="K26" s="18">
        <v>0</v>
      </c>
      <c r="L26" s="18">
        <v>0.1</v>
      </c>
      <c r="M26" s="18">
        <v>0.15</v>
      </c>
      <c r="N26" s="18">
        <v>0.15</v>
      </c>
      <c r="O26" s="18">
        <v>0.15</v>
      </c>
      <c r="P26" s="18">
        <v>0.15</v>
      </c>
      <c r="Q26" s="18">
        <v>0.15</v>
      </c>
      <c r="R26" s="18">
        <v>0.15</v>
      </c>
      <c r="S26" s="18">
        <v>0.15</v>
      </c>
      <c r="T26" s="18">
        <v>0.2</v>
      </c>
      <c r="U26" s="18">
        <v>0.25</v>
      </c>
      <c r="V26" s="18">
        <v>0.3</v>
      </c>
    </row>
    <row r="27" spans="1:22" ht="15.75" x14ac:dyDescent="0.25">
      <c r="A27" s="24"/>
      <c r="B27" s="26"/>
      <c r="C27" s="26"/>
      <c r="D27" s="26"/>
      <c r="E27" s="26"/>
      <c r="F27" s="10"/>
      <c r="G27" s="37"/>
      <c r="H27" s="38"/>
      <c r="I27" s="10"/>
      <c r="J27" s="10"/>
      <c r="K27" s="10"/>
      <c r="L27" s="10"/>
      <c r="M27" s="10"/>
      <c r="N27" s="10"/>
      <c r="O27" s="10"/>
      <c r="P27" s="10"/>
      <c r="Q27" s="10"/>
      <c r="R27" s="63"/>
      <c r="S27" s="68"/>
      <c r="T27" s="62"/>
    </row>
    <row r="28" spans="1:22" ht="15.75" x14ac:dyDescent="0.25">
      <c r="A28" s="141" t="s">
        <v>65</v>
      </c>
      <c r="B28" s="83">
        <f>(subTotal/numItems)+(blankItemCost)+(E3*B11)/numItems</f>
        <v>5.4749999999999996</v>
      </c>
      <c r="C28" s="26"/>
      <c r="D28" s="26" t="s">
        <v>65</v>
      </c>
      <c r="E28" s="28">
        <f>B28*numItems</f>
        <v>547.5</v>
      </c>
      <c r="F28" s="10"/>
      <c r="G28" s="43" t="s">
        <v>11</v>
      </c>
      <c r="H28" s="44"/>
      <c r="I28" s="110">
        <v>12</v>
      </c>
      <c r="J28" s="3">
        <v>13</v>
      </c>
      <c r="K28" s="3">
        <v>25</v>
      </c>
      <c r="L28" s="3">
        <v>37</v>
      </c>
      <c r="M28" s="3">
        <v>49</v>
      </c>
      <c r="N28" s="3">
        <v>73</v>
      </c>
      <c r="O28" s="3">
        <v>97</v>
      </c>
      <c r="P28" s="3">
        <v>121</v>
      </c>
      <c r="Q28" s="3">
        <v>201</v>
      </c>
      <c r="R28" s="3">
        <v>301</v>
      </c>
      <c r="S28" s="3">
        <v>401</v>
      </c>
      <c r="T28" s="104">
        <v>501</v>
      </c>
      <c r="U28" s="104">
        <v>751</v>
      </c>
      <c r="V28" s="104">
        <v>1001</v>
      </c>
    </row>
    <row r="29" spans="1:22" ht="15.75" x14ac:dyDescent="0.25">
      <c r="A29" s="141" t="s">
        <v>117</v>
      </c>
      <c r="B29" s="81">
        <f>((E28*taxRate)+E28)/numItems</f>
        <v>5.9129999999999994</v>
      </c>
      <c r="C29" s="26"/>
      <c r="D29" s="54" t="s">
        <v>65</v>
      </c>
      <c r="E29" s="28">
        <f>B29*numItems</f>
        <v>591.29999999999995</v>
      </c>
      <c r="F29" s="10"/>
      <c r="G29" s="45" t="s">
        <v>12</v>
      </c>
      <c r="H29" s="46"/>
      <c r="I29" s="111">
        <f>K28-1</f>
        <v>24</v>
      </c>
      <c r="J29" s="4">
        <v>24</v>
      </c>
      <c r="K29" s="4">
        <v>36</v>
      </c>
      <c r="L29" s="4">
        <v>48</v>
      </c>
      <c r="M29" s="4">
        <v>72</v>
      </c>
      <c r="N29" s="4">
        <v>96</v>
      </c>
      <c r="O29" s="4">
        <v>120</v>
      </c>
      <c r="P29" s="4">
        <v>200</v>
      </c>
      <c r="Q29" s="4">
        <v>300</v>
      </c>
      <c r="R29" s="4">
        <v>401</v>
      </c>
      <c r="S29" s="4">
        <v>500</v>
      </c>
      <c r="T29" s="112">
        <v>750</v>
      </c>
      <c r="U29" s="112">
        <v>1000</v>
      </c>
      <c r="V29" s="112">
        <v>1500</v>
      </c>
    </row>
    <row r="30" spans="1:22" ht="15.75" x14ac:dyDescent="0.25">
      <c r="A30" s="133" t="s">
        <v>118</v>
      </c>
      <c r="B30" s="83">
        <f>B29-B29*D22</f>
        <v>5.9129999999999994</v>
      </c>
      <c r="C30" s="87"/>
      <c r="D30" s="54" t="s">
        <v>65</v>
      </c>
      <c r="E30" s="75">
        <f>B30*numItems</f>
        <v>591.29999999999995</v>
      </c>
      <c r="F30" s="10"/>
      <c r="G30" s="147" t="s">
        <v>9</v>
      </c>
      <c r="H30" s="2">
        <v>0</v>
      </c>
      <c r="I30" s="19">
        <v>0</v>
      </c>
      <c r="J30" s="51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51">
        <v>0</v>
      </c>
      <c r="T30" s="51">
        <v>0</v>
      </c>
      <c r="U30" s="51">
        <v>0</v>
      </c>
      <c r="V30" s="51">
        <v>0</v>
      </c>
    </row>
    <row r="31" spans="1:22" x14ac:dyDescent="0.25">
      <c r="A31" s="12"/>
      <c r="B31" s="10"/>
      <c r="C31" s="10"/>
      <c r="D31" s="10"/>
      <c r="E31" s="10"/>
      <c r="F31" s="11"/>
      <c r="G31" s="148"/>
      <c r="H31" s="2">
        <v>1</v>
      </c>
      <c r="I31" s="19">
        <f>((perColor1*H31))*(1+I26)</f>
        <v>1.75</v>
      </c>
      <c r="J31" s="19">
        <f>(((J25*H31))*(1+J26))</f>
        <v>1.5</v>
      </c>
      <c r="K31" s="19">
        <f>(((K25*H31))*(1+K26))</f>
        <v>1.45</v>
      </c>
      <c r="L31" s="19">
        <f>((perColor3*H31))*(1+L26)</f>
        <v>1.54</v>
      </c>
      <c r="M31" s="19">
        <f>((perColor4*H31))*(1+M26)</f>
        <v>1.4375</v>
      </c>
      <c r="N31" s="19">
        <f>((perColor5*H31))*(1+N26)</f>
        <v>1.2075</v>
      </c>
      <c r="O31" s="19">
        <f>((perColor6*H31))*(1+O26)</f>
        <v>1.0924999999999998</v>
      </c>
      <c r="P31" s="19">
        <f>((perColor7*H31))*(1+P26)</f>
        <v>1.0349999999999999</v>
      </c>
      <c r="Q31" s="19">
        <f>((Q25*H31))*(1+Q26)</f>
        <v>0.86249999999999993</v>
      </c>
      <c r="R31" s="19">
        <f>((R25*H31))*(1+R26)</f>
        <v>0.80499999999999994</v>
      </c>
      <c r="S31" s="11">
        <f>(S25*H31)*(1+S26)</f>
        <v>0.69</v>
      </c>
      <c r="T31" s="121">
        <f>(T25*$H31)*(1+T26)</f>
        <v>0.66</v>
      </c>
      <c r="U31" s="122">
        <f t="shared" ref="U31" si="0">(U25*$H31)*(1+U26)</f>
        <v>0.625</v>
      </c>
      <c r="V31" s="123">
        <f>(V25*$H31)*(1+V26)</f>
        <v>0.58500000000000008</v>
      </c>
    </row>
    <row r="32" spans="1:22" x14ac:dyDescent="0.25">
      <c r="A32" s="52"/>
      <c r="B32" s="53"/>
      <c r="C32" s="10"/>
      <c r="D32" s="10"/>
      <c r="E32" s="15"/>
      <c r="F32" s="10"/>
      <c r="G32" s="148"/>
      <c r="H32" s="2">
        <v>2</v>
      </c>
      <c r="I32" s="19">
        <f>(+(2.45))*(1+I26)</f>
        <v>2.4500000000000002</v>
      </c>
      <c r="J32" s="19">
        <f>(((2.25))*(1+J26))</f>
        <v>2.25</v>
      </c>
      <c r="K32" s="19">
        <f>((+(2.059))*(1+K26))</f>
        <v>2.0590000000000002</v>
      </c>
      <c r="L32" s="19">
        <f>((1.9))*(1+L26)</f>
        <v>2.09</v>
      </c>
      <c r="M32" s="19">
        <f>((1.7))*(1+M26)</f>
        <v>1.9549999999999998</v>
      </c>
      <c r="N32" s="19">
        <f>((1.55))*(1+N26)</f>
        <v>1.7825</v>
      </c>
      <c r="O32" s="19">
        <f>((1.3))*(1+O26)</f>
        <v>1.4949999999999999</v>
      </c>
      <c r="P32" s="19">
        <f>((1.15))*(1+P26)</f>
        <v>1.3224999999999998</v>
      </c>
      <c r="Q32" s="19">
        <f>((1))*(1+Q26)</f>
        <v>1.1499999999999999</v>
      </c>
      <c r="R32" s="19">
        <f>((0.95))*(1+R26)</f>
        <v>1.0924999999999998</v>
      </c>
      <c r="S32" s="19">
        <f>((0.9)*(1+S26))</f>
        <v>1.0349999999999999</v>
      </c>
      <c r="T32" s="124">
        <f>((0.85)*(1+T26))</f>
        <v>1.02</v>
      </c>
      <c r="U32" s="107">
        <f t="shared" ref="U32" si="1">((0.85)*(1+U26))</f>
        <v>1.0625</v>
      </c>
      <c r="V32" s="125">
        <f>((0.8)*(1+V26))</f>
        <v>1.04</v>
      </c>
    </row>
    <row r="33" spans="1:22" x14ac:dyDescent="0.25">
      <c r="A33" s="52"/>
      <c r="B33" s="53"/>
      <c r="C33" s="10"/>
      <c r="D33" s="10"/>
      <c r="E33" s="10"/>
      <c r="F33" s="10"/>
      <c r="G33" s="148"/>
      <c r="H33" s="2">
        <v>3</v>
      </c>
      <c r="I33" s="19">
        <f>((2.8))*(1+I26)</f>
        <v>2.8</v>
      </c>
      <c r="J33" s="19">
        <f>(((2.75))*(1+J26))</f>
        <v>2.75</v>
      </c>
      <c r="K33" s="19">
        <f>(((2.7))*(1+K26))</f>
        <v>2.7</v>
      </c>
      <c r="L33" s="19">
        <f>((2.45))*(1+L26)</f>
        <v>2.6950000000000003</v>
      </c>
      <c r="M33" s="19">
        <f>((2.05))*(1+M26)</f>
        <v>2.3574999999999995</v>
      </c>
      <c r="N33" s="19">
        <f>((1.75))*(1+N26)</f>
        <v>2.0124999999999997</v>
      </c>
      <c r="O33" s="19">
        <f>((1.6))*(1+O26)</f>
        <v>1.8399999999999999</v>
      </c>
      <c r="P33" s="19">
        <f>((1.55))*(1+P26)</f>
        <v>1.7825</v>
      </c>
      <c r="Q33" s="19">
        <f>((1.5))*(1+Q26)</f>
        <v>1.7249999999999999</v>
      </c>
      <c r="R33" s="19">
        <f>((1.35))*(1+R26)</f>
        <v>1.5525</v>
      </c>
      <c r="S33" s="19">
        <f>((1.2))*(1+S26)</f>
        <v>1.38</v>
      </c>
      <c r="T33" s="124">
        <f>((1.05))*(1+T26)</f>
        <v>1.26</v>
      </c>
      <c r="U33" s="107">
        <f t="shared" ref="U33" si="2">((1.05))*(1+U26)</f>
        <v>1.3125</v>
      </c>
      <c r="V33" s="125">
        <f>((0.95))*(1+V26)</f>
        <v>1.2349999999999999</v>
      </c>
    </row>
    <row r="34" spans="1:22" ht="15.75" thickBot="1" x14ac:dyDescent="0.3">
      <c r="A34" s="13"/>
      <c r="B34" s="14"/>
      <c r="C34" s="14"/>
      <c r="D34" s="14"/>
      <c r="E34" s="14"/>
      <c r="F34" s="14"/>
      <c r="G34" s="148"/>
      <c r="H34" s="2">
        <v>4</v>
      </c>
      <c r="I34" s="19">
        <f>((3.45))*(1+I26)</f>
        <v>3.45</v>
      </c>
      <c r="J34" s="19">
        <f>(((3.4))*(1+J26))</f>
        <v>3.4</v>
      </c>
      <c r="K34" s="19">
        <f>(((3.2))*(1+K26))</f>
        <v>3.2</v>
      </c>
      <c r="L34" s="19">
        <f>((3.05))*(1+L26)</f>
        <v>3.355</v>
      </c>
      <c r="M34" s="19">
        <f>((2.55))*(1+M26)</f>
        <v>2.9324999999999997</v>
      </c>
      <c r="N34" s="19">
        <f>((2.2))*(1+N26)</f>
        <v>2.5299999999999998</v>
      </c>
      <c r="O34" s="19">
        <f>((2.051))*(1+O26)</f>
        <v>2.3586499999999999</v>
      </c>
      <c r="P34" s="19">
        <f>((1.8))*(1+P26)</f>
        <v>2.0699999999999998</v>
      </c>
      <c r="Q34" s="19">
        <f>((1.65))*(1+Q26)</f>
        <v>1.8974999999999997</v>
      </c>
      <c r="R34" s="19">
        <f>((1.5))*(1+R26)</f>
        <v>1.7249999999999999</v>
      </c>
      <c r="S34" s="19">
        <f>((1.3))*(1+S26)</f>
        <v>1.4949999999999999</v>
      </c>
      <c r="T34" s="124">
        <f>((1.1))*(1+T26)</f>
        <v>1.32</v>
      </c>
      <c r="U34" s="107">
        <f t="shared" ref="U34" si="3">((1.1))*(1+U26)</f>
        <v>1.375</v>
      </c>
      <c r="V34" s="125">
        <f>((1))*(1+V26)</f>
        <v>1.3</v>
      </c>
    </row>
    <row r="35" spans="1:22" ht="15.75" thickTop="1" x14ac:dyDescent="0.25">
      <c r="A35" s="6" t="s">
        <v>6</v>
      </c>
      <c r="B35" s="6"/>
      <c r="C35" s="6"/>
      <c r="D35" s="6"/>
      <c r="E35" s="6"/>
      <c r="G35" s="148"/>
      <c r="H35" s="2">
        <v>5</v>
      </c>
      <c r="I35" s="19">
        <f>((3.95))*(1+I26)</f>
        <v>3.95</v>
      </c>
      <c r="J35" s="19">
        <f>(((3.9))*(1+J26))</f>
        <v>3.9</v>
      </c>
      <c r="K35" s="19">
        <f>(((3.7))*(1+K26))</f>
        <v>3.7</v>
      </c>
      <c r="L35" s="19">
        <f>((3.35))*(1+L26)</f>
        <v>3.6850000000000005</v>
      </c>
      <c r="M35" s="19">
        <f>((3))*(1+M26)</f>
        <v>3.4499999999999997</v>
      </c>
      <c r="N35" s="19">
        <f>((2.82))*(1+N26)</f>
        <v>3.2429999999999994</v>
      </c>
      <c r="O35" s="19">
        <f>((2.55))*(1+O26)</f>
        <v>2.9324999999999997</v>
      </c>
      <c r="P35" s="19">
        <f>((2.15))*(1+P26)</f>
        <v>2.4724999999999997</v>
      </c>
      <c r="Q35" s="19">
        <f>((1.95))*(1+Q26)</f>
        <v>2.2424999999999997</v>
      </c>
      <c r="R35" s="19">
        <f>((1.75))*(1+R26)</f>
        <v>2.0124999999999997</v>
      </c>
      <c r="S35" s="19">
        <f>((1.4))*(1+S26)</f>
        <v>1.6099999999999999</v>
      </c>
      <c r="T35" s="124">
        <f>((1.2))*(1+T26)</f>
        <v>1.44</v>
      </c>
      <c r="U35" s="107">
        <f t="shared" ref="U35" si="4">((1.2))*(1+U26)</f>
        <v>1.5</v>
      </c>
      <c r="V35" s="125">
        <f>((1.1))*(1+V26)</f>
        <v>1.4300000000000002</v>
      </c>
    </row>
    <row r="36" spans="1:22" x14ac:dyDescent="0.25">
      <c r="A36" s="6"/>
      <c r="B36" s="6"/>
      <c r="C36" s="6"/>
      <c r="D36" s="6"/>
      <c r="E36" s="6"/>
      <c r="G36" s="148"/>
      <c r="H36" s="2">
        <v>6</v>
      </c>
      <c r="I36" s="19">
        <f>((4.45))*(1+I26)</f>
        <v>4.45</v>
      </c>
      <c r="J36" s="19">
        <f>(((4.4))*(1+J26))</f>
        <v>4.4000000000000004</v>
      </c>
      <c r="K36" s="19">
        <f>(((3.8))*(1+K26))</f>
        <v>3.8</v>
      </c>
      <c r="L36" s="19">
        <f>((3.45))*(1+L26)</f>
        <v>3.7950000000000004</v>
      </c>
      <c r="M36" s="19">
        <f>((3.15))*(1+M26)</f>
        <v>3.6224999999999996</v>
      </c>
      <c r="N36" s="19">
        <f>((2.95))*(1+N26)</f>
        <v>3.3925000000000001</v>
      </c>
      <c r="O36" s="19">
        <f>((2.7))*(1+O26)</f>
        <v>3.105</v>
      </c>
      <c r="P36" s="19">
        <f>((2.45))*(1+P26)</f>
        <v>2.8174999999999999</v>
      </c>
      <c r="Q36" s="19">
        <f>((2.2))*(1+Q26)</f>
        <v>2.5299999999999998</v>
      </c>
      <c r="R36" s="19">
        <f>((2))*(1+R26)</f>
        <v>2.2999999999999998</v>
      </c>
      <c r="S36" s="19">
        <f>((1.5))*(1+S26)</f>
        <v>1.7249999999999999</v>
      </c>
      <c r="T36" s="126">
        <f>((1.25))*(1+T26)</f>
        <v>1.5</v>
      </c>
      <c r="U36" s="127">
        <f t="shared" ref="U36" si="5">((1.25))*(1+U26)</f>
        <v>1.5625</v>
      </c>
      <c r="V36" s="128">
        <f>((1.15))*(1+V26)</f>
        <v>1.4949999999999999</v>
      </c>
    </row>
    <row r="37" spans="1:22" s="62" customFormat="1" x14ac:dyDescent="0.25">
      <c r="A37" s="6" t="s">
        <v>46</v>
      </c>
      <c r="B37" s="6">
        <f>numItems</f>
        <v>100</v>
      </c>
      <c r="C37" s="6"/>
      <c r="D37" s="6"/>
      <c r="E37" s="6"/>
      <c r="F37"/>
      <c r="G37" s="148"/>
      <c r="H37" s="2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68"/>
    </row>
    <row r="38" spans="1:22" s="62" customFormat="1" x14ac:dyDescent="0.25">
      <c r="A38" s="6" t="s">
        <v>47</v>
      </c>
      <c r="B38" s="6">
        <v>6.05</v>
      </c>
      <c r="C38" s="6"/>
      <c r="D38" s="6"/>
      <c r="E38" s="6"/>
      <c r="F38"/>
      <c r="G38" s="148"/>
      <c r="H38" s="2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68"/>
    </row>
    <row r="39" spans="1:22" s="62" customFormat="1" x14ac:dyDescent="0.25">
      <c r="A39" s="69" t="s">
        <v>48</v>
      </c>
      <c r="B39">
        <f>SUM(B38/16)</f>
        <v>0.37812499999999999</v>
      </c>
      <c r="C39"/>
      <c r="D39"/>
      <c r="E39"/>
      <c r="F39"/>
      <c r="G39" s="148"/>
      <c r="H39" s="2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68"/>
    </row>
    <row r="40" spans="1:22" x14ac:dyDescent="0.25">
      <c r="A40" s="69" t="s">
        <v>49</v>
      </c>
      <c r="B40" s="71">
        <f>SUM(B37*B39)</f>
        <v>37.8125</v>
      </c>
      <c r="G40" s="148"/>
      <c r="H40" s="2"/>
      <c r="I40" s="19"/>
      <c r="J40" s="19"/>
      <c r="K40" s="19"/>
      <c r="L40" s="19"/>
      <c r="M40" s="19"/>
      <c r="N40" s="19"/>
      <c r="O40" s="19"/>
      <c r="P40" s="19"/>
      <c r="Q40" s="19"/>
      <c r="R40" s="63"/>
      <c r="S40" s="68"/>
      <c r="T40" s="62"/>
    </row>
    <row r="41" spans="1:22" ht="16.5" thickBot="1" x14ac:dyDescent="0.3">
      <c r="A41" s="69" t="s">
        <v>50</v>
      </c>
      <c r="B41" s="75">
        <f>HLOOKUP(B37,loc3matrix,3,TRUE)</f>
        <v>2</v>
      </c>
      <c r="D41" s="5"/>
      <c r="G41" s="13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68"/>
      <c r="T41" s="62"/>
    </row>
    <row r="42" spans="1:22" ht="16.5" thickTop="1" x14ac:dyDescent="0.25">
      <c r="A42" s="69"/>
      <c r="B42" s="72"/>
      <c r="C42" s="62"/>
      <c r="D42" s="62"/>
      <c r="E42" s="62"/>
      <c r="F42" s="62"/>
      <c r="G42" s="49" t="s">
        <v>14</v>
      </c>
      <c r="H42" s="50"/>
      <c r="I42" s="17">
        <v>1.7</v>
      </c>
      <c r="J42" s="1">
        <v>1.5</v>
      </c>
      <c r="K42" s="1">
        <v>1.45</v>
      </c>
      <c r="L42" s="1">
        <v>1.3</v>
      </c>
      <c r="M42" s="1">
        <v>1.1499999999999999</v>
      </c>
      <c r="N42" s="1">
        <v>1.05</v>
      </c>
      <c r="O42" s="1">
        <v>0.95</v>
      </c>
      <c r="P42" s="1">
        <v>0.85</v>
      </c>
      <c r="Q42" s="1">
        <v>0.75</v>
      </c>
      <c r="R42" s="1">
        <v>0.7</v>
      </c>
      <c r="S42" s="1">
        <v>0.6</v>
      </c>
      <c r="T42" s="62"/>
    </row>
    <row r="43" spans="1:22" s="95" customFormat="1" ht="15.75" x14ac:dyDescent="0.25">
      <c r="A43" s="69"/>
      <c r="B43" s="72"/>
      <c r="C43" s="62"/>
      <c r="D43" s="62"/>
      <c r="E43" s="62"/>
      <c r="F43" s="62"/>
      <c r="G43" s="96" t="s">
        <v>15</v>
      </c>
      <c r="H43" s="97"/>
      <c r="I43" s="18">
        <v>0</v>
      </c>
      <c r="J43" s="18">
        <v>0</v>
      </c>
      <c r="K43" s="18">
        <v>0</v>
      </c>
      <c r="L43" s="18">
        <v>0.1</v>
      </c>
      <c r="M43" s="18">
        <v>0.15</v>
      </c>
      <c r="N43" s="18">
        <v>0.15</v>
      </c>
      <c r="O43" s="18">
        <v>0.15</v>
      </c>
      <c r="P43" s="18">
        <v>0.15</v>
      </c>
      <c r="Q43" s="18">
        <v>0.15</v>
      </c>
      <c r="R43" s="18">
        <v>0.15</v>
      </c>
      <c r="S43" s="18">
        <v>0.15</v>
      </c>
    </row>
    <row r="44" spans="1:22" s="95" customFormat="1" ht="15.75" x14ac:dyDescent="0.25">
      <c r="A44" s="69"/>
      <c r="B44" s="72"/>
      <c r="G44" s="98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68"/>
    </row>
    <row r="45" spans="1:22" s="95" customFormat="1" ht="15.75" x14ac:dyDescent="0.25">
      <c r="A45" s="69"/>
      <c r="B45" s="72"/>
      <c r="G45" s="100" t="s">
        <v>11</v>
      </c>
      <c r="H45" s="101"/>
      <c r="I45" s="3">
        <v>12</v>
      </c>
      <c r="J45" s="3">
        <v>13</v>
      </c>
      <c r="K45" s="3">
        <v>25</v>
      </c>
      <c r="L45" s="3">
        <v>37</v>
      </c>
      <c r="M45" s="3">
        <v>49</v>
      </c>
      <c r="N45" s="3">
        <v>73</v>
      </c>
      <c r="O45" s="3">
        <v>97</v>
      </c>
      <c r="P45" s="3">
        <v>121</v>
      </c>
      <c r="Q45" s="3">
        <v>201</v>
      </c>
      <c r="R45" s="3">
        <v>301</v>
      </c>
      <c r="S45" s="3">
        <v>401</v>
      </c>
    </row>
    <row r="46" spans="1:22" s="95" customFormat="1" ht="15.75" x14ac:dyDescent="0.25">
      <c r="A46" s="69"/>
      <c r="B46" s="72"/>
      <c r="G46" s="102" t="s">
        <v>12</v>
      </c>
      <c r="H46" s="103"/>
      <c r="I46" s="4">
        <f>K45-1</f>
        <v>24</v>
      </c>
      <c r="J46" s="4">
        <v>24</v>
      </c>
      <c r="K46" s="4">
        <v>36</v>
      </c>
      <c r="L46" s="4">
        <v>48</v>
      </c>
      <c r="M46" s="4">
        <v>72</v>
      </c>
      <c r="N46" s="4">
        <v>96</v>
      </c>
      <c r="O46" s="4">
        <v>120</v>
      </c>
      <c r="P46" s="4">
        <v>200</v>
      </c>
      <c r="Q46" s="4">
        <v>300</v>
      </c>
      <c r="R46" s="4">
        <v>401</v>
      </c>
      <c r="S46" s="4">
        <v>500</v>
      </c>
    </row>
    <row r="47" spans="1:22" s="95" customFormat="1" ht="15.75" x14ac:dyDescent="0.25">
      <c r="A47" s="69"/>
      <c r="B47" s="72"/>
      <c r="G47" s="147" t="s">
        <v>9</v>
      </c>
      <c r="H47" s="2">
        <v>0</v>
      </c>
      <c r="I47" s="19">
        <v>0</v>
      </c>
      <c r="J47" s="51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51">
        <v>0</v>
      </c>
    </row>
    <row r="48" spans="1:22" s="95" customFormat="1" ht="15.75" x14ac:dyDescent="0.25">
      <c r="A48" s="69"/>
      <c r="B48" s="72"/>
      <c r="G48" s="148"/>
      <c r="H48" s="2">
        <v>1</v>
      </c>
      <c r="I48" s="19">
        <f>((perColor1*H48))*(1+I43)</f>
        <v>1.75</v>
      </c>
      <c r="J48" s="19">
        <f>(((J42*H48))*(1+J43))</f>
        <v>1.5</v>
      </c>
      <c r="K48" s="19">
        <f>(((K42*H48))*(1+K43))</f>
        <v>1.45</v>
      </c>
      <c r="L48" s="19">
        <f>((perColor3*H48))*(1+L43)</f>
        <v>1.54</v>
      </c>
      <c r="M48" s="19">
        <f>((perColor4*H48))*(1+M43)</f>
        <v>1.4375</v>
      </c>
      <c r="N48" s="19">
        <f>((perColor5*H48))*(1+N43)</f>
        <v>1.2075</v>
      </c>
      <c r="O48" s="19">
        <f>((perColor6*H48))*(1+O43)</f>
        <v>1.0924999999999998</v>
      </c>
      <c r="P48" s="19">
        <f>((perColor7*H48))*(1+P43)</f>
        <v>1.0349999999999999</v>
      </c>
      <c r="Q48" s="19">
        <f>((Q42*H48))*(1+Q43)</f>
        <v>0.86249999999999993</v>
      </c>
      <c r="R48" s="19">
        <f>((R42*H48))*(1+R43)</f>
        <v>0.80499999999999994</v>
      </c>
      <c r="S48" s="11">
        <f>(S42*H48)*(1+S43)</f>
        <v>0.69</v>
      </c>
    </row>
    <row r="49" spans="1:19" s="95" customFormat="1" ht="15.75" x14ac:dyDescent="0.25">
      <c r="A49" s="69"/>
      <c r="B49" s="72"/>
      <c r="G49" s="148"/>
      <c r="H49" s="2">
        <v>2</v>
      </c>
      <c r="I49" s="19">
        <f>(+(2.45))*(1+I43)</f>
        <v>2.4500000000000002</v>
      </c>
      <c r="J49" s="19">
        <f>(((2.25))*(1+J43))</f>
        <v>2.25</v>
      </c>
      <c r="K49" s="19">
        <f>((+(2.059))*(1+K43))</f>
        <v>2.0590000000000002</v>
      </c>
      <c r="L49" s="19">
        <f>((1.9))*(1+L43)</f>
        <v>2.09</v>
      </c>
      <c r="M49" s="19">
        <f>((1.7))*(1+M43)</f>
        <v>1.9549999999999998</v>
      </c>
      <c r="N49" s="19">
        <f>((1.55))*(1+N43)</f>
        <v>1.7825</v>
      </c>
      <c r="O49" s="19">
        <f>((1.3))*(1+O43)</f>
        <v>1.4949999999999999</v>
      </c>
      <c r="P49" s="19">
        <f>((1.15))*(1+P43)</f>
        <v>1.3224999999999998</v>
      </c>
      <c r="Q49" s="19">
        <f>((1))*(1+Q43)</f>
        <v>1.1499999999999999</v>
      </c>
      <c r="R49" s="19">
        <f>((0.95))*(1+R43)</f>
        <v>1.0924999999999998</v>
      </c>
      <c r="S49" s="19">
        <f>((0.9)*(1+S43))</f>
        <v>1.0349999999999999</v>
      </c>
    </row>
    <row r="50" spans="1:19" s="95" customFormat="1" ht="15.75" x14ac:dyDescent="0.25">
      <c r="A50" s="69"/>
      <c r="B50" s="72"/>
      <c r="G50" s="148"/>
      <c r="H50" s="2">
        <v>3</v>
      </c>
      <c r="I50" s="19">
        <f>((2.8))*(1+I43)</f>
        <v>2.8</v>
      </c>
      <c r="J50" s="19">
        <f>(((2.75))*(1+J43))</f>
        <v>2.75</v>
      </c>
      <c r="K50" s="19">
        <f>(((2.7))*(1+K43))</f>
        <v>2.7</v>
      </c>
      <c r="L50" s="19">
        <f>((2.45))*(1+L43)</f>
        <v>2.6950000000000003</v>
      </c>
      <c r="M50" s="19">
        <f>((2.05))*(1+M43)</f>
        <v>2.3574999999999995</v>
      </c>
      <c r="N50" s="19">
        <f>((1.75))*(1+N43)</f>
        <v>2.0124999999999997</v>
      </c>
      <c r="O50" s="19">
        <f>((1.6))*(1+O43)</f>
        <v>1.8399999999999999</v>
      </c>
      <c r="P50" s="19">
        <f>((1.55))*(1+P43)</f>
        <v>1.7825</v>
      </c>
      <c r="Q50" s="19">
        <f>((1.5))*(1+Q43)</f>
        <v>1.7249999999999999</v>
      </c>
      <c r="R50" s="19">
        <f>((1.35))*(1+R43)</f>
        <v>1.5525</v>
      </c>
      <c r="S50" s="19">
        <f>((1.2))*(1+S43)</f>
        <v>1.38</v>
      </c>
    </row>
    <row r="51" spans="1:19" s="95" customFormat="1" ht="15.75" x14ac:dyDescent="0.25">
      <c r="A51" s="69"/>
      <c r="B51" s="72"/>
      <c r="G51" s="148"/>
      <c r="H51" s="2">
        <v>4</v>
      </c>
      <c r="I51" s="19">
        <f>((3.45))*(1+I43)</f>
        <v>3.45</v>
      </c>
      <c r="J51" s="19">
        <f>(((3.4))*(1+J43))</f>
        <v>3.4</v>
      </c>
      <c r="K51" s="19">
        <f>(((3.2))*(1+K43))</f>
        <v>3.2</v>
      </c>
      <c r="L51" s="19">
        <f>((3.05))*(1+L43)</f>
        <v>3.355</v>
      </c>
      <c r="M51" s="19">
        <f>((2.55))*(1+M43)</f>
        <v>2.9324999999999997</v>
      </c>
      <c r="N51" s="19">
        <f>((2.2))*(1+N43)</f>
        <v>2.5299999999999998</v>
      </c>
      <c r="O51" s="19">
        <f>((2.051))*(1+O43)</f>
        <v>2.3586499999999999</v>
      </c>
      <c r="P51" s="19">
        <f>((1.8))*(1+P43)</f>
        <v>2.0699999999999998</v>
      </c>
      <c r="Q51" s="19">
        <f>((1.65))*(1+Q43)</f>
        <v>1.8974999999999997</v>
      </c>
      <c r="R51" s="19">
        <f>((1.5))*(1+R43)</f>
        <v>1.7249999999999999</v>
      </c>
      <c r="S51" s="19">
        <f>((1.3))*(1+S43)</f>
        <v>1.4949999999999999</v>
      </c>
    </row>
    <row r="52" spans="1:19" s="95" customFormat="1" ht="15.75" x14ac:dyDescent="0.25">
      <c r="A52" s="69"/>
      <c r="B52" s="72"/>
      <c r="G52" s="148"/>
      <c r="H52" s="2">
        <v>5</v>
      </c>
      <c r="I52" s="19">
        <f>((3.95))*(1+I43)</f>
        <v>3.95</v>
      </c>
      <c r="J52" s="19">
        <f>(((3.9))*(1+J43))</f>
        <v>3.9</v>
      </c>
      <c r="K52" s="19">
        <f>(((3.7))*(1+K43))</f>
        <v>3.7</v>
      </c>
      <c r="L52" s="19">
        <f>((3.35))*(1+L43)</f>
        <v>3.6850000000000005</v>
      </c>
      <c r="M52" s="19">
        <f>((3))*(1+M43)</f>
        <v>3.4499999999999997</v>
      </c>
      <c r="N52" s="19">
        <f>((2.82))*(1+N43)</f>
        <v>3.2429999999999994</v>
      </c>
      <c r="O52" s="19">
        <f>((2.55))*(1+O43)</f>
        <v>2.9324999999999997</v>
      </c>
      <c r="P52" s="19">
        <f>((2.15))*(1+P43)</f>
        <v>2.4724999999999997</v>
      </c>
      <c r="Q52" s="19">
        <f>((1.95))*(1+Q43)</f>
        <v>2.2424999999999997</v>
      </c>
      <c r="R52" s="19">
        <f>((1.75))*(1+R43)</f>
        <v>2.0124999999999997</v>
      </c>
      <c r="S52" s="19">
        <f>((1.4))*(1+S43)</f>
        <v>1.6099999999999999</v>
      </c>
    </row>
    <row r="53" spans="1:19" s="95" customFormat="1" ht="15.75" x14ac:dyDescent="0.25">
      <c r="A53" s="69"/>
      <c r="B53" s="72"/>
      <c r="G53" s="148"/>
      <c r="H53" s="2">
        <v>6</v>
      </c>
      <c r="I53" s="19">
        <f>((4.45))*(1+I43)</f>
        <v>4.45</v>
      </c>
      <c r="J53" s="19">
        <f>(((4.4))*(1+J43))</f>
        <v>4.4000000000000004</v>
      </c>
      <c r="K53" s="19">
        <f>(((3.8))*(1+K43))</f>
        <v>3.8</v>
      </c>
      <c r="L53" s="19">
        <f>((3.45))*(1+L43)</f>
        <v>3.7950000000000004</v>
      </c>
      <c r="M53" s="19">
        <f>((3.15))*(1+M43)</f>
        <v>3.6224999999999996</v>
      </c>
      <c r="N53" s="19">
        <f>((2.95))*(1+N43)</f>
        <v>3.3925000000000001</v>
      </c>
      <c r="O53" s="19">
        <f>((2.7))*(1+O43)</f>
        <v>3.105</v>
      </c>
      <c r="P53" s="19">
        <f>((2.45))*(1+P43)</f>
        <v>2.8174999999999999</v>
      </c>
      <c r="Q53" s="19">
        <f>((2.2))*(1+Q43)</f>
        <v>2.5299999999999998</v>
      </c>
      <c r="R53" s="19">
        <f>((2))*(1+R43)</f>
        <v>2.2999999999999998</v>
      </c>
      <c r="S53" s="19">
        <f>((1.5))*(1+S43)</f>
        <v>1.7249999999999999</v>
      </c>
    </row>
    <row r="54" spans="1:19" s="95" customFormat="1" ht="15.75" x14ac:dyDescent="0.25">
      <c r="A54" s="69"/>
      <c r="B54" s="72"/>
      <c r="G54" s="148"/>
      <c r="H54" s="2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68"/>
    </row>
    <row r="55" spans="1:19" s="95" customFormat="1" ht="15.75" x14ac:dyDescent="0.25">
      <c r="A55" s="69"/>
      <c r="B55" s="72"/>
      <c r="G55" s="148"/>
      <c r="H55" s="2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68"/>
    </row>
    <row r="56" spans="1:19" s="95" customFormat="1" ht="15.75" x14ac:dyDescent="0.25">
      <c r="A56" s="69"/>
      <c r="B56" s="72"/>
      <c r="G56" s="148"/>
      <c r="H56" s="2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68"/>
    </row>
    <row r="57" spans="1:19" s="95" customFormat="1" ht="15.75" x14ac:dyDescent="0.25">
      <c r="A57" s="69"/>
      <c r="B57" s="72"/>
      <c r="G57" s="148"/>
      <c r="H57" s="2"/>
      <c r="I57" s="19"/>
      <c r="J57" s="19"/>
      <c r="K57" s="19"/>
      <c r="L57" s="19"/>
      <c r="M57" s="19"/>
      <c r="N57" s="19"/>
      <c r="O57" s="19"/>
      <c r="P57" s="19"/>
      <c r="Q57" s="19"/>
      <c r="R57" s="99"/>
      <c r="S57" s="68"/>
    </row>
    <row r="58" spans="1:19" s="95" customFormat="1" ht="15.75" x14ac:dyDescent="0.25">
      <c r="A58" s="69"/>
      <c r="B58" s="72"/>
    </row>
    <row r="59" spans="1:19" s="95" customFormat="1" ht="15.75" x14ac:dyDescent="0.25">
      <c r="A59" s="69"/>
      <c r="B59" s="72"/>
    </row>
    <row r="60" spans="1:19" s="95" customFormat="1" ht="15.75" x14ac:dyDescent="0.25">
      <c r="A60" s="69"/>
      <c r="B60" s="72"/>
    </row>
    <row r="61" spans="1:19" s="95" customFormat="1" ht="15.75" x14ac:dyDescent="0.25">
      <c r="A61" s="69"/>
      <c r="B61" s="72"/>
    </row>
    <row r="62" spans="1:19" s="95" customFormat="1" ht="15.75" x14ac:dyDescent="0.25">
      <c r="A62" s="69"/>
      <c r="B62" s="72"/>
    </row>
    <row r="63" spans="1:19" s="95" customFormat="1" ht="15.75" x14ac:dyDescent="0.25">
      <c r="A63" s="69"/>
      <c r="B63" s="72"/>
    </row>
    <row r="64" spans="1:19" ht="15.75" x14ac:dyDescent="0.25">
      <c r="A64" s="69"/>
      <c r="B64" s="72"/>
      <c r="C64" s="95"/>
      <c r="D64" s="95"/>
      <c r="E64" s="95"/>
      <c r="F64" s="95"/>
    </row>
    <row r="65" spans="1:18" ht="15.75" x14ac:dyDescent="0.25">
      <c r="A65" s="69"/>
      <c r="B65" s="72"/>
      <c r="C65" s="62"/>
      <c r="D65" s="62"/>
      <c r="E65" s="62"/>
      <c r="F65" s="62"/>
    </row>
    <row r="66" spans="1:18" x14ac:dyDescent="0.25">
      <c r="A66" s="69"/>
      <c r="B66" s="6"/>
      <c r="C66" s="6"/>
      <c r="D66" s="6"/>
      <c r="E66" s="6"/>
    </row>
    <row r="67" spans="1:18" x14ac:dyDescent="0.25">
      <c r="A67" s="69"/>
      <c r="B67" s="6"/>
      <c r="C67" s="6"/>
      <c r="D67" s="6"/>
      <c r="E67" s="6"/>
      <c r="N67" s="55"/>
    </row>
    <row r="68" spans="1:18" ht="15.75" x14ac:dyDescent="0.25">
      <c r="A68" s="69"/>
      <c r="B68" s="28"/>
      <c r="C68" s="6"/>
      <c r="D68" s="6"/>
      <c r="E68" s="6"/>
    </row>
    <row r="69" spans="1:18" x14ac:dyDescent="0.25">
      <c r="A69" s="69"/>
      <c r="G69" t="s">
        <v>52</v>
      </c>
    </row>
    <row r="70" spans="1:18" x14ac:dyDescent="0.25">
      <c r="A70" s="69"/>
    </row>
    <row r="71" spans="1:18" x14ac:dyDescent="0.25">
      <c r="A71" s="69"/>
      <c r="G71" s="64" t="s">
        <v>11</v>
      </c>
      <c r="H71" s="65"/>
      <c r="I71" s="3">
        <v>12</v>
      </c>
      <c r="J71" s="3">
        <v>81</v>
      </c>
      <c r="K71" s="3">
        <v>161</v>
      </c>
      <c r="L71" s="3">
        <v>241</v>
      </c>
      <c r="M71" s="3">
        <v>301</v>
      </c>
      <c r="N71" s="3">
        <v>381</v>
      </c>
      <c r="O71" s="3">
        <v>461</v>
      </c>
      <c r="P71" s="62"/>
      <c r="Q71" s="62"/>
      <c r="R71" s="62"/>
    </row>
    <row r="72" spans="1:18" x14ac:dyDescent="0.25">
      <c r="D72" s="55"/>
      <c r="G72" s="66" t="s">
        <v>12</v>
      </c>
      <c r="H72" s="67"/>
      <c r="I72" s="4">
        <v>80</v>
      </c>
      <c r="J72" s="4">
        <v>160</v>
      </c>
      <c r="K72" s="3">
        <v>240</v>
      </c>
      <c r="L72" s="3">
        <v>300</v>
      </c>
      <c r="M72" s="3">
        <v>380</v>
      </c>
      <c r="N72" s="3">
        <v>460</v>
      </c>
      <c r="O72" s="3">
        <v>500</v>
      </c>
      <c r="P72" s="62"/>
      <c r="Q72" s="62"/>
      <c r="R72" s="62"/>
    </row>
    <row r="73" spans="1:18" x14ac:dyDescent="0.25">
      <c r="G73" t="s">
        <v>51</v>
      </c>
      <c r="I73">
        <v>1</v>
      </c>
      <c r="J73">
        <v>2</v>
      </c>
      <c r="K73" s="62">
        <v>3</v>
      </c>
      <c r="L73" s="62">
        <v>4</v>
      </c>
      <c r="M73" s="62">
        <v>5</v>
      </c>
      <c r="N73" s="62">
        <v>6</v>
      </c>
      <c r="O73" s="62">
        <v>7</v>
      </c>
      <c r="P73" s="62"/>
      <c r="Q73" s="62"/>
      <c r="R73" s="62"/>
    </row>
    <row r="86" spans="1:4" x14ac:dyDescent="0.25">
      <c r="A86" t="s">
        <v>69</v>
      </c>
      <c r="B86" s="92">
        <v>4.5</v>
      </c>
      <c r="D86">
        <v>2000</v>
      </c>
    </row>
    <row r="87" spans="1:4" x14ac:dyDescent="0.25">
      <c r="B87" s="93">
        <v>4</v>
      </c>
      <c r="D87">
        <v>5000</v>
      </c>
    </row>
    <row r="89" spans="1:4" x14ac:dyDescent="0.25">
      <c r="A89" t="s">
        <v>70</v>
      </c>
      <c r="B89" t="s">
        <v>71</v>
      </c>
      <c r="D89">
        <v>7.87</v>
      </c>
    </row>
    <row r="90" spans="1:4" x14ac:dyDescent="0.25">
      <c r="B90" t="s">
        <v>72</v>
      </c>
      <c r="D90">
        <v>5.97</v>
      </c>
    </row>
  </sheetData>
  <dataConsolidate/>
  <mergeCells count="14">
    <mergeCell ref="G47:G57"/>
    <mergeCell ref="I1:P1"/>
    <mergeCell ref="A1:H1"/>
    <mergeCell ref="G2:H2"/>
    <mergeCell ref="G6:H6"/>
    <mergeCell ref="G7:H7"/>
    <mergeCell ref="G8:H8"/>
    <mergeCell ref="K4:M4"/>
    <mergeCell ref="K23:M23"/>
    <mergeCell ref="G11:G18"/>
    <mergeCell ref="G30:G40"/>
    <mergeCell ref="G9:H9"/>
    <mergeCell ref="G10:H10"/>
    <mergeCell ref="C9:D9"/>
  </mergeCells>
  <conditionalFormatting sqref="I12:V17">
    <cfRule type="cellIs" dxfId="6" priority="4" operator="equal">
      <formula>IF(locColors3&lt;=locColors1,HLOOKUP(numItems,loc2matrix, locColors3+3, TRUE),HLOOKUP(numItems,loc1matrix,locColors3+3,TRUE))</formula>
    </cfRule>
    <cfRule type="cellIs" dxfId="5" priority="5" operator="equal">
      <formula>IF(locColors2&lt;=locColors1,HLOOKUP(numItems,loc2matrix, locColors2+3, TRUE),HLOOKUP(numItems,loc1matrix,locColors2+3,TRUE))</formula>
    </cfRule>
    <cfRule type="cellIs" dxfId="4" priority="7" operator="equal">
      <formula>IF(locColors2&lt;=locColors1,HLOOKUP(numItems,loc1matrix, locColors1+3, TRUE),HLOOKUP(numItems,loc2matrix,locColors1+3,TRUE))</formula>
    </cfRule>
  </conditionalFormatting>
  <conditionalFormatting sqref="I30:V36">
    <cfRule type="cellIs" dxfId="3" priority="1" operator="equal">
      <formula>IF(locColors4&lt;=locColors1,HLOOKUP(numItems,loc2matrix, locColors4+3, TRUE),HLOOKUP(numItems,loc1matrix,locColors4+3,TRUE))</formula>
    </cfRule>
    <cfRule type="cellIs" dxfId="2" priority="2" operator="equal">
      <formula>IF(locColors3&lt;=locColors1,HLOOKUP(numItems,loc2matrix, locColors3+3, TRUE),HLOOKUP(numItems,loc1matrix,locColors3+3,TRUE))</formula>
    </cfRule>
    <cfRule type="cellIs" dxfId="1" priority="3" operator="equal">
      <formula>IF(locColors2&lt;=locColors1,HLOOKUP(numItems,loc2matrix, locColors2+3, TRUE),HLOOKUP(numItems,loc1matrix,locColors2+3,TRUE))</formula>
    </cfRule>
    <cfRule type="cellIs" dxfId="0" priority="6" operator="equal">
      <formula>IF(locColors2&lt;=locColors1,HLOOKUP(numItems,loc1matrix, locColors1+3, TRUE),HLOOKUP(numItems,loc2matrix,locColors1+3,TRUE))</formula>
    </cfRule>
  </conditionalFormatting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D54" sqref="D54"/>
    </sheetView>
  </sheetViews>
  <sheetFormatPr defaultColWidth="11.42578125" defaultRowHeight="21" x14ac:dyDescent="0.35"/>
  <cols>
    <col min="1" max="1" width="23.85546875" bestFit="1" customWidth="1"/>
    <col min="2" max="2" width="23.42578125" style="139" bestFit="1" customWidth="1"/>
    <col min="3" max="3" width="12.42578125" style="135" bestFit="1" customWidth="1"/>
    <col min="4" max="4" width="11.42578125" style="21"/>
    <col min="6" max="6" width="11.140625" bestFit="1" customWidth="1"/>
  </cols>
  <sheetData>
    <row r="1" spans="1:9" ht="20.100000000000001" customHeight="1" x14ac:dyDescent="0.35">
      <c r="A1" s="167" t="s">
        <v>20</v>
      </c>
      <c r="B1" s="167"/>
      <c r="C1" s="167"/>
      <c r="D1" s="167"/>
      <c r="E1" s="109"/>
      <c r="F1" s="109"/>
      <c r="G1" s="109"/>
      <c r="H1" s="109"/>
      <c r="I1" s="109"/>
    </row>
    <row r="2" spans="1:9" ht="66" customHeight="1" x14ac:dyDescent="0.35">
      <c r="A2" s="167"/>
      <c r="B2" s="167"/>
      <c r="C2" s="167"/>
      <c r="D2" s="167"/>
      <c r="E2" s="109"/>
      <c r="F2" s="109"/>
      <c r="G2" s="109"/>
      <c r="H2" s="109"/>
      <c r="I2" s="109"/>
    </row>
    <row r="3" spans="1:9" ht="21.95" customHeight="1" x14ac:dyDescent="0.35">
      <c r="A3" s="108" t="s">
        <v>80</v>
      </c>
      <c r="B3" s="137" t="s">
        <v>81</v>
      </c>
      <c r="C3" s="137" t="s">
        <v>82</v>
      </c>
      <c r="D3" s="108"/>
      <c r="E3" s="109" t="s">
        <v>21</v>
      </c>
      <c r="F3" s="109" t="s">
        <v>83</v>
      </c>
      <c r="G3" s="109" t="s">
        <v>84</v>
      </c>
      <c r="H3" s="109" t="s">
        <v>85</v>
      </c>
      <c r="I3" s="109" t="s">
        <v>86</v>
      </c>
    </row>
    <row r="4" spans="1:9" ht="20.100000000000001" customHeight="1" x14ac:dyDescent="0.35">
      <c r="A4" s="166" t="s">
        <v>87</v>
      </c>
      <c r="B4" s="166" t="s">
        <v>88</v>
      </c>
      <c r="C4" s="165">
        <v>2000</v>
      </c>
      <c r="D4" s="108" t="s">
        <v>23</v>
      </c>
      <c r="E4" s="109">
        <v>1.5</v>
      </c>
      <c r="F4" s="109">
        <v>2.9</v>
      </c>
      <c r="G4" s="109">
        <v>4.6500000000000004</v>
      </c>
      <c r="H4" s="109">
        <v>4.6500000000000004</v>
      </c>
      <c r="I4" s="109">
        <v>4.6500000000000004</v>
      </c>
    </row>
    <row r="5" spans="1:9" s="7" customFormat="1" ht="20.100000000000001" customHeight="1" x14ac:dyDescent="0.35">
      <c r="A5" s="166"/>
      <c r="B5" s="166"/>
      <c r="C5" s="165"/>
      <c r="D5" s="108" t="s">
        <v>89</v>
      </c>
      <c r="E5" s="109">
        <v>1.75</v>
      </c>
      <c r="F5" s="109">
        <v>3.6</v>
      </c>
      <c r="G5" s="109">
        <v>5.16</v>
      </c>
      <c r="H5" s="109">
        <v>5.16</v>
      </c>
      <c r="I5" s="109">
        <v>5.16</v>
      </c>
    </row>
    <row r="6" spans="1:9" ht="20.100000000000001" customHeight="1" x14ac:dyDescent="0.35">
      <c r="A6" s="166" t="s">
        <v>87</v>
      </c>
      <c r="B6" s="166" t="s">
        <v>88</v>
      </c>
      <c r="C6" s="165">
        <v>5000</v>
      </c>
      <c r="D6" s="108" t="s">
        <v>23</v>
      </c>
      <c r="E6" s="109">
        <v>1.32</v>
      </c>
      <c r="F6" s="109">
        <v>2.7</v>
      </c>
      <c r="G6" s="109">
        <v>4.01</v>
      </c>
      <c r="H6" s="109"/>
      <c r="I6" s="109"/>
    </row>
    <row r="7" spans="1:9" s="7" customFormat="1" ht="20.100000000000001" customHeight="1" x14ac:dyDescent="0.35">
      <c r="A7" s="166"/>
      <c r="B7" s="166"/>
      <c r="C7" s="165"/>
      <c r="D7" s="108" t="s">
        <v>89</v>
      </c>
      <c r="E7" s="109">
        <v>1.55</v>
      </c>
      <c r="F7" s="109">
        <v>3.25</v>
      </c>
      <c r="G7" s="109">
        <v>4.5</v>
      </c>
      <c r="H7" s="109">
        <v>4.67</v>
      </c>
      <c r="I7" s="109">
        <v>4.67</v>
      </c>
    </row>
    <row r="8" spans="1:9" ht="20.100000000000001" customHeight="1" x14ac:dyDescent="0.35">
      <c r="A8" s="166" t="s">
        <v>87</v>
      </c>
      <c r="B8" s="166" t="s">
        <v>88</v>
      </c>
      <c r="C8" s="165">
        <v>8000</v>
      </c>
      <c r="D8" s="108" t="s">
        <v>23</v>
      </c>
      <c r="E8" s="109">
        <v>1.47</v>
      </c>
      <c r="F8" s="109">
        <v>2.89</v>
      </c>
      <c r="G8" s="109">
        <v>4.67</v>
      </c>
      <c r="H8" s="109">
        <v>4.67</v>
      </c>
      <c r="I8" s="109">
        <v>4.67</v>
      </c>
    </row>
    <row r="9" spans="1:9" ht="20.100000000000001" customHeight="1" x14ac:dyDescent="0.35">
      <c r="A9" s="166"/>
      <c r="B9" s="166"/>
      <c r="C9" s="165"/>
      <c r="D9" s="108" t="s">
        <v>89</v>
      </c>
      <c r="E9" s="109">
        <v>1.75</v>
      </c>
      <c r="F9" s="109">
        <v>3.55</v>
      </c>
      <c r="G9" s="109">
        <v>5.26</v>
      </c>
      <c r="H9" s="109">
        <v>5.26</v>
      </c>
      <c r="I9" s="109">
        <v>5.26</v>
      </c>
    </row>
    <row r="10" spans="1:9" ht="20.100000000000001" customHeight="1" x14ac:dyDescent="0.35">
      <c r="A10" s="166" t="s">
        <v>87</v>
      </c>
      <c r="B10" s="166" t="s">
        <v>90</v>
      </c>
      <c r="C10" s="165">
        <v>64000</v>
      </c>
      <c r="D10" s="108" t="s">
        <v>23</v>
      </c>
      <c r="E10" s="109">
        <v>1.75</v>
      </c>
      <c r="F10" s="109">
        <v>3.59</v>
      </c>
      <c r="G10" s="109">
        <v>4.71</v>
      </c>
      <c r="H10" s="109"/>
      <c r="I10" s="109"/>
    </row>
    <row r="11" spans="1:9" ht="20.100000000000001" customHeight="1" x14ac:dyDescent="0.35">
      <c r="A11" s="166"/>
      <c r="B11" s="166"/>
      <c r="C11" s="165"/>
      <c r="D11" s="108" t="s">
        <v>89</v>
      </c>
      <c r="E11" s="109">
        <v>2.0499999999999998</v>
      </c>
      <c r="F11" s="109">
        <v>3.98</v>
      </c>
      <c r="G11" s="109">
        <v>5.22</v>
      </c>
      <c r="H11" s="109"/>
      <c r="I11" s="109"/>
    </row>
    <row r="12" spans="1:9" ht="20.100000000000001" customHeight="1" x14ac:dyDescent="0.35">
      <c r="A12" s="166" t="s">
        <v>87</v>
      </c>
      <c r="B12" s="166" t="s">
        <v>91</v>
      </c>
      <c r="C12" s="165" t="s">
        <v>94</v>
      </c>
      <c r="D12" s="108" t="s">
        <v>23</v>
      </c>
      <c r="E12" s="109">
        <v>2.89</v>
      </c>
      <c r="F12" s="109">
        <v>4.0199999999999996</v>
      </c>
      <c r="G12" s="109">
        <v>4.76</v>
      </c>
      <c r="H12" s="109"/>
      <c r="I12" s="109"/>
    </row>
    <row r="13" spans="1:9" ht="20.100000000000001" customHeight="1" x14ac:dyDescent="0.35">
      <c r="A13" s="166"/>
      <c r="B13" s="166"/>
      <c r="C13" s="165"/>
      <c r="D13" s="108" t="s">
        <v>89</v>
      </c>
      <c r="E13" s="109">
        <v>4.29</v>
      </c>
      <c r="F13" s="109">
        <v>4.0199999999999996</v>
      </c>
      <c r="G13" s="109">
        <v>4.76</v>
      </c>
      <c r="H13" s="109"/>
      <c r="I13" s="109"/>
    </row>
    <row r="14" spans="1:9" ht="20.100000000000001" customHeight="1" x14ac:dyDescent="0.35">
      <c r="A14" s="166" t="s">
        <v>87</v>
      </c>
      <c r="B14" s="166" t="s">
        <v>92</v>
      </c>
      <c r="C14" s="165" t="s">
        <v>95</v>
      </c>
      <c r="D14" s="108" t="s">
        <v>23</v>
      </c>
      <c r="E14" s="109">
        <v>1.95</v>
      </c>
      <c r="F14" s="109">
        <v>2.58</v>
      </c>
      <c r="G14" s="109">
        <v>3.28</v>
      </c>
      <c r="H14" s="109"/>
      <c r="I14" s="109"/>
    </row>
    <row r="15" spans="1:9" ht="20.100000000000001" customHeight="1" x14ac:dyDescent="0.35">
      <c r="A15" s="166"/>
      <c r="B15" s="166"/>
      <c r="C15" s="165"/>
      <c r="D15" s="108" t="s">
        <v>89</v>
      </c>
      <c r="E15" s="109">
        <v>2.5499999999999998</v>
      </c>
      <c r="F15" s="109">
        <v>3.79</v>
      </c>
      <c r="G15" s="109">
        <v>4.4800000000000004</v>
      </c>
      <c r="H15" s="109"/>
      <c r="I15" s="109"/>
    </row>
    <row r="16" spans="1:9" ht="20.100000000000001" customHeight="1" x14ac:dyDescent="0.35">
      <c r="A16" s="166" t="s">
        <v>87</v>
      </c>
      <c r="B16" s="168" t="s">
        <v>96</v>
      </c>
      <c r="C16" s="168">
        <v>18000</v>
      </c>
      <c r="D16" s="21" t="s">
        <v>97</v>
      </c>
      <c r="E16" s="21">
        <v>3.68</v>
      </c>
      <c r="F16" s="21">
        <v>5.49</v>
      </c>
      <c r="G16" s="21">
        <v>7.67</v>
      </c>
      <c r="H16" s="21">
        <v>7.67</v>
      </c>
      <c r="I16" s="21">
        <v>7.67</v>
      </c>
    </row>
    <row r="17" spans="1:9" ht="20.100000000000001" customHeight="1" x14ac:dyDescent="0.35">
      <c r="A17" s="166"/>
      <c r="B17" s="168"/>
      <c r="C17" s="168"/>
      <c r="D17" s="21" t="s">
        <v>98</v>
      </c>
      <c r="E17" s="21">
        <v>4.95</v>
      </c>
      <c r="F17" s="21">
        <v>6.95</v>
      </c>
      <c r="G17" s="21">
        <v>8.51</v>
      </c>
      <c r="H17" s="21">
        <v>8.51</v>
      </c>
      <c r="I17" s="21">
        <v>8.51</v>
      </c>
    </row>
    <row r="18" spans="1:9" ht="20.100000000000001" customHeight="1" x14ac:dyDescent="0.35">
      <c r="A18" s="166" t="s">
        <v>87</v>
      </c>
      <c r="B18" s="168" t="s">
        <v>99</v>
      </c>
      <c r="C18" s="168" t="s">
        <v>100</v>
      </c>
      <c r="D18" s="21" t="s">
        <v>97</v>
      </c>
      <c r="E18" s="21">
        <v>2.89</v>
      </c>
      <c r="F18" s="21">
        <v>4.8899999999999997</v>
      </c>
      <c r="G18" s="21">
        <v>6.58</v>
      </c>
      <c r="H18" s="21">
        <v>6.58</v>
      </c>
      <c r="I18" s="21">
        <v>6.58</v>
      </c>
    </row>
    <row r="19" spans="1:9" ht="20.100000000000001" customHeight="1" x14ac:dyDescent="0.35">
      <c r="A19" s="166"/>
      <c r="B19" s="168"/>
      <c r="C19" s="168"/>
      <c r="D19" s="21" t="s">
        <v>98</v>
      </c>
      <c r="E19" s="21">
        <v>3.89</v>
      </c>
      <c r="F19" s="21">
        <v>6.21</v>
      </c>
      <c r="G19" s="21">
        <v>7.9</v>
      </c>
      <c r="H19" s="21">
        <v>7.9</v>
      </c>
      <c r="I19" s="21">
        <v>7.9</v>
      </c>
    </row>
    <row r="20" spans="1:9" x14ac:dyDescent="0.35">
      <c r="A20" s="166" t="s">
        <v>87</v>
      </c>
      <c r="B20" s="168" t="s">
        <v>101</v>
      </c>
      <c r="C20" s="168">
        <v>18500</v>
      </c>
      <c r="D20" s="21" t="s">
        <v>97</v>
      </c>
      <c r="E20" s="21">
        <v>7.25</v>
      </c>
      <c r="F20" s="21">
        <v>9.9499999999999993</v>
      </c>
      <c r="G20" s="21">
        <v>12.62</v>
      </c>
      <c r="H20" s="21">
        <v>12.62</v>
      </c>
      <c r="I20" s="21">
        <v>12.62</v>
      </c>
    </row>
    <row r="21" spans="1:9" ht="20.100000000000001" customHeight="1" x14ac:dyDescent="0.35">
      <c r="A21" s="166"/>
      <c r="B21" s="168"/>
      <c r="C21" s="168"/>
      <c r="D21" s="21" t="s">
        <v>98</v>
      </c>
      <c r="E21" s="21">
        <v>7.79</v>
      </c>
      <c r="F21" s="21">
        <v>10.39</v>
      </c>
      <c r="G21" s="21">
        <v>13.8</v>
      </c>
      <c r="H21" s="21">
        <v>13.8</v>
      </c>
      <c r="I21" s="21">
        <v>13.8</v>
      </c>
    </row>
    <row r="22" spans="1:9" ht="20.100000000000001" customHeight="1" x14ac:dyDescent="0.35">
      <c r="A22" s="166" t="s">
        <v>87</v>
      </c>
      <c r="B22" s="168" t="s">
        <v>101</v>
      </c>
      <c r="C22" s="168">
        <v>12500</v>
      </c>
      <c r="D22" s="21" t="s">
        <v>97</v>
      </c>
      <c r="E22" s="21">
        <v>8.4499999999999993</v>
      </c>
      <c r="F22" s="21">
        <v>12.85</v>
      </c>
      <c r="G22" s="21">
        <v>16.3</v>
      </c>
      <c r="H22" s="21"/>
      <c r="I22" s="21"/>
    </row>
    <row r="23" spans="1:9" ht="20.100000000000001" customHeight="1" x14ac:dyDescent="0.35">
      <c r="A23" s="166"/>
      <c r="B23" s="168"/>
      <c r="C23" s="168"/>
      <c r="D23" s="21" t="s">
        <v>98</v>
      </c>
      <c r="E23" s="21">
        <v>9.5500000000000007</v>
      </c>
      <c r="F23" s="21">
        <v>14.28</v>
      </c>
      <c r="G23" s="21">
        <v>17.84</v>
      </c>
      <c r="H23" s="21"/>
      <c r="I23" s="21"/>
    </row>
    <row r="24" spans="1:9" ht="20.100000000000001" customHeight="1" x14ac:dyDescent="0.35">
      <c r="A24" s="166" t="s">
        <v>87</v>
      </c>
      <c r="B24" s="168" t="s">
        <v>102</v>
      </c>
      <c r="C24" s="168" t="s">
        <v>103</v>
      </c>
      <c r="D24" s="21" t="s">
        <v>97</v>
      </c>
      <c r="E24" s="21">
        <v>1.95</v>
      </c>
      <c r="F24" s="21">
        <v>3.42</v>
      </c>
      <c r="G24" s="21">
        <v>4.53</v>
      </c>
      <c r="H24" s="21"/>
      <c r="I24" s="21"/>
    </row>
    <row r="25" spans="1:9" ht="20.100000000000001" customHeight="1" x14ac:dyDescent="0.35">
      <c r="A25" s="166"/>
      <c r="B25" s="168"/>
      <c r="C25" s="168"/>
      <c r="D25" s="21" t="s">
        <v>98</v>
      </c>
      <c r="E25" s="21">
        <v>2.59</v>
      </c>
      <c r="F25" s="21">
        <v>4.8</v>
      </c>
      <c r="G25" s="21">
        <v>6.16</v>
      </c>
      <c r="H25" s="21"/>
      <c r="I25" s="21"/>
    </row>
    <row r="26" spans="1:9" ht="20.100000000000001" customHeight="1" x14ac:dyDescent="0.35">
      <c r="A26" s="166" t="s">
        <v>87</v>
      </c>
      <c r="B26" s="168" t="s">
        <v>104</v>
      </c>
      <c r="C26" s="168">
        <v>2200</v>
      </c>
      <c r="D26" s="21" t="s">
        <v>97</v>
      </c>
      <c r="E26" s="21">
        <v>3.09</v>
      </c>
      <c r="F26" s="21">
        <v>4.33</v>
      </c>
      <c r="G26" s="21">
        <v>5.38</v>
      </c>
      <c r="H26" s="21"/>
      <c r="I26" s="21"/>
    </row>
    <row r="27" spans="1:9" ht="20.100000000000001" customHeight="1" x14ac:dyDescent="0.35">
      <c r="A27" s="166"/>
      <c r="B27" s="168"/>
      <c r="C27" s="168"/>
      <c r="D27" s="21" t="s">
        <v>98</v>
      </c>
      <c r="E27" s="21">
        <v>3.95</v>
      </c>
      <c r="F27" s="21">
        <v>5.58</v>
      </c>
      <c r="G27" s="21">
        <v>6.65</v>
      </c>
      <c r="H27" s="21"/>
      <c r="I27" s="21"/>
    </row>
    <row r="28" spans="1:9" ht="20.100000000000001" customHeight="1" x14ac:dyDescent="0.35">
      <c r="A28" s="166" t="s">
        <v>87</v>
      </c>
      <c r="B28" s="168" t="s">
        <v>105</v>
      </c>
      <c r="C28" s="168" t="s">
        <v>106</v>
      </c>
      <c r="D28" s="21" t="s">
        <v>97</v>
      </c>
      <c r="E28" s="21">
        <v>3.55</v>
      </c>
      <c r="F28" s="21">
        <v>4.8499999999999996</v>
      </c>
      <c r="G28" s="21">
        <v>6.23</v>
      </c>
      <c r="H28" s="21">
        <v>6.23</v>
      </c>
      <c r="I28" s="21">
        <v>6.23</v>
      </c>
    </row>
    <row r="29" spans="1:9" ht="20.100000000000001" customHeight="1" x14ac:dyDescent="0.35">
      <c r="A29" s="166"/>
      <c r="B29" s="168"/>
      <c r="C29" s="168"/>
      <c r="D29" s="21" t="s">
        <v>98</v>
      </c>
      <c r="E29" s="21">
        <v>4.6500000000000004</v>
      </c>
      <c r="F29" s="21">
        <v>6.46</v>
      </c>
      <c r="G29" s="21">
        <v>7.84</v>
      </c>
      <c r="H29" s="21">
        <v>7.84</v>
      </c>
      <c r="I29" s="21">
        <v>7.84</v>
      </c>
    </row>
    <row r="30" spans="1:9" ht="20.100000000000001" customHeight="1" x14ac:dyDescent="0.35">
      <c r="A30" s="166" t="s">
        <v>87</v>
      </c>
      <c r="B30" s="168" t="s">
        <v>107</v>
      </c>
      <c r="C30" s="168">
        <v>2800</v>
      </c>
      <c r="D30" s="21" t="s">
        <v>97</v>
      </c>
      <c r="E30" s="21">
        <v>3.89</v>
      </c>
      <c r="F30" s="21">
        <v>5.59</v>
      </c>
      <c r="G30" s="21"/>
      <c r="H30" s="21"/>
      <c r="I30" s="21"/>
    </row>
    <row r="31" spans="1:9" ht="20.100000000000001" customHeight="1" x14ac:dyDescent="0.35">
      <c r="A31" s="166"/>
      <c r="B31" s="168"/>
      <c r="C31" s="168"/>
      <c r="D31" s="21" t="s">
        <v>98</v>
      </c>
      <c r="E31" s="21">
        <v>3.89</v>
      </c>
      <c r="F31" s="21">
        <v>5.59</v>
      </c>
      <c r="G31" s="21"/>
      <c r="H31" s="21"/>
      <c r="I31" s="21"/>
    </row>
    <row r="32" spans="1:9" ht="20.100000000000001" customHeight="1" x14ac:dyDescent="0.35">
      <c r="A32" s="166" t="s">
        <v>87</v>
      </c>
      <c r="B32" s="168" t="s">
        <v>108</v>
      </c>
      <c r="C32" s="168" t="s">
        <v>109</v>
      </c>
      <c r="D32" s="21" t="s">
        <v>97</v>
      </c>
      <c r="E32" s="21">
        <v>4.29</v>
      </c>
      <c r="F32" s="21">
        <v>7.13</v>
      </c>
      <c r="G32" s="21"/>
      <c r="H32" s="21"/>
      <c r="I32" s="21"/>
    </row>
    <row r="33" spans="1:9" ht="20.100000000000001" customHeight="1" x14ac:dyDescent="0.35">
      <c r="A33" s="166"/>
      <c r="B33" s="168"/>
      <c r="C33" s="168"/>
      <c r="D33" s="21" t="s">
        <v>98</v>
      </c>
      <c r="E33" s="21">
        <v>4.29</v>
      </c>
      <c r="F33" s="21">
        <v>7.13</v>
      </c>
      <c r="G33" s="21"/>
      <c r="H33" s="21"/>
      <c r="I33" s="21"/>
    </row>
    <row r="34" spans="1:9" ht="28.5" x14ac:dyDescent="0.45">
      <c r="A34" s="136" t="s">
        <v>93</v>
      </c>
      <c r="B34" s="138" t="s">
        <v>110</v>
      </c>
      <c r="C34" s="135">
        <v>3600</v>
      </c>
      <c r="D34" s="21" t="s">
        <v>97</v>
      </c>
      <c r="E34" s="21">
        <v>3.05</v>
      </c>
      <c r="F34" s="21">
        <v>4.05</v>
      </c>
      <c r="G34" s="21">
        <v>5.05</v>
      </c>
      <c r="H34" s="21">
        <v>6.05</v>
      </c>
      <c r="I34" s="21"/>
    </row>
    <row r="35" spans="1:9" ht="28.5" x14ac:dyDescent="0.45">
      <c r="A35" s="136" t="s">
        <v>93</v>
      </c>
      <c r="B35" s="138" t="s">
        <v>88</v>
      </c>
      <c r="C35" s="135">
        <v>3600</v>
      </c>
      <c r="D35" s="21" t="s">
        <v>98</v>
      </c>
      <c r="E35" s="21">
        <v>3.05</v>
      </c>
      <c r="F35" s="21">
        <v>4.05</v>
      </c>
      <c r="G35" s="21">
        <v>5.05</v>
      </c>
      <c r="H35" s="21">
        <v>6.05</v>
      </c>
      <c r="I35" s="21"/>
    </row>
    <row r="36" spans="1:9" ht="28.5" x14ac:dyDescent="0.45">
      <c r="A36" s="136" t="s">
        <v>93</v>
      </c>
      <c r="B36" s="138" t="s">
        <v>91</v>
      </c>
      <c r="C36" s="135">
        <v>6240</v>
      </c>
      <c r="D36" s="21" t="s">
        <v>97</v>
      </c>
      <c r="E36" s="21">
        <v>3.55</v>
      </c>
      <c r="F36" s="21">
        <v>4.3</v>
      </c>
      <c r="G36" s="132"/>
      <c r="H36" s="132"/>
      <c r="I36" s="132"/>
    </row>
    <row r="37" spans="1:9" ht="28.5" x14ac:dyDescent="0.45">
      <c r="A37" s="136" t="s">
        <v>93</v>
      </c>
      <c r="B37" s="138" t="s">
        <v>91</v>
      </c>
      <c r="C37" s="135">
        <v>6240</v>
      </c>
      <c r="D37" s="21" t="s">
        <v>98</v>
      </c>
      <c r="E37" s="21">
        <v>3.55</v>
      </c>
      <c r="F37" s="21">
        <v>4.3</v>
      </c>
      <c r="G37" s="132"/>
      <c r="H37" s="132"/>
      <c r="I37" s="132"/>
    </row>
    <row r="38" spans="1:9" ht="28.5" x14ac:dyDescent="0.45">
      <c r="A38" s="136" t="s">
        <v>93</v>
      </c>
      <c r="B38" s="138" t="s">
        <v>111</v>
      </c>
      <c r="C38" s="135">
        <v>1540</v>
      </c>
      <c r="D38" s="21" t="s">
        <v>97</v>
      </c>
      <c r="E38" s="21">
        <v>2.19</v>
      </c>
      <c r="F38" s="21">
        <v>2.89</v>
      </c>
      <c r="G38" s="132"/>
      <c r="H38" s="132"/>
      <c r="I38" s="132"/>
    </row>
    <row r="39" spans="1:9" ht="28.5" x14ac:dyDescent="0.45">
      <c r="A39" s="136" t="s">
        <v>93</v>
      </c>
      <c r="B39" s="138" t="s">
        <v>111</v>
      </c>
      <c r="C39" s="135">
        <v>1540</v>
      </c>
      <c r="D39" s="21" t="s">
        <v>98</v>
      </c>
      <c r="E39" s="21">
        <v>2.19</v>
      </c>
      <c r="F39" s="21">
        <v>2.89</v>
      </c>
      <c r="G39" s="132"/>
      <c r="H39" s="132"/>
      <c r="I39" s="132"/>
    </row>
    <row r="40" spans="1:9" ht="28.5" x14ac:dyDescent="0.45">
      <c r="A40" s="136" t="s">
        <v>93</v>
      </c>
      <c r="B40" s="138" t="s">
        <v>99</v>
      </c>
      <c r="C40" s="135" t="s">
        <v>112</v>
      </c>
      <c r="D40" s="21" t="s">
        <v>97</v>
      </c>
      <c r="E40" s="21">
        <v>4.95</v>
      </c>
      <c r="F40" s="21">
        <v>6.55</v>
      </c>
      <c r="G40" s="132"/>
      <c r="H40" s="132"/>
      <c r="I40" s="132"/>
    </row>
    <row r="41" spans="1:9" ht="28.5" x14ac:dyDescent="0.45">
      <c r="A41" s="136" t="s">
        <v>93</v>
      </c>
      <c r="B41" s="138" t="s">
        <v>99</v>
      </c>
      <c r="C41" s="135" t="s">
        <v>112</v>
      </c>
      <c r="D41" s="21" t="s">
        <v>98</v>
      </c>
      <c r="E41" s="21">
        <v>4.95</v>
      </c>
      <c r="F41" s="21">
        <v>6.55</v>
      </c>
      <c r="G41" s="132"/>
      <c r="H41" s="132"/>
      <c r="I41" s="132"/>
    </row>
    <row r="42" spans="1:9" ht="28.5" x14ac:dyDescent="0.45">
      <c r="A42" s="136" t="s">
        <v>93</v>
      </c>
      <c r="B42" s="138" t="s">
        <v>104</v>
      </c>
      <c r="C42" s="135">
        <v>3633</v>
      </c>
      <c r="D42" s="21" t="s">
        <v>97</v>
      </c>
      <c r="E42" s="21">
        <v>3.25</v>
      </c>
      <c r="F42" s="21">
        <v>3.99</v>
      </c>
      <c r="G42" s="132"/>
      <c r="H42" s="132"/>
      <c r="I42" s="132"/>
    </row>
    <row r="43" spans="1:9" ht="28.5" x14ac:dyDescent="0.45">
      <c r="A43" s="136" t="s">
        <v>93</v>
      </c>
      <c r="B43" s="138" t="s">
        <v>104</v>
      </c>
      <c r="C43" s="135">
        <v>3633</v>
      </c>
      <c r="D43" s="21" t="s">
        <v>98</v>
      </c>
      <c r="E43" s="21">
        <v>3.25</v>
      </c>
      <c r="F43" s="21">
        <v>3.99</v>
      </c>
      <c r="G43" s="132"/>
      <c r="H43" s="132"/>
      <c r="I43" s="132"/>
    </row>
    <row r="44" spans="1:9" ht="28.5" x14ac:dyDescent="0.45">
      <c r="A44" s="136" t="s">
        <v>113</v>
      </c>
      <c r="B44" s="138" t="s">
        <v>88</v>
      </c>
      <c r="C44" s="135">
        <v>3001</v>
      </c>
      <c r="D44" s="21" t="s">
        <v>97</v>
      </c>
      <c r="E44" s="21">
        <v>2.89</v>
      </c>
      <c r="F44" s="21">
        <v>4.04</v>
      </c>
      <c r="G44" s="21">
        <v>5.22</v>
      </c>
      <c r="H44" s="21">
        <v>6.4</v>
      </c>
      <c r="I44" s="132"/>
    </row>
    <row r="45" spans="1:9" ht="28.5" x14ac:dyDescent="0.45">
      <c r="A45" s="136" t="s">
        <v>113</v>
      </c>
      <c r="B45" s="138" t="s">
        <v>88</v>
      </c>
      <c r="C45" s="135">
        <v>3001</v>
      </c>
      <c r="D45" s="21" t="s">
        <v>89</v>
      </c>
      <c r="E45" s="21">
        <v>2.89</v>
      </c>
      <c r="F45" s="21">
        <v>4.04</v>
      </c>
      <c r="G45" s="21">
        <v>5.22</v>
      </c>
      <c r="H45" s="21">
        <v>6.4</v>
      </c>
      <c r="I45" s="132"/>
    </row>
    <row r="46" spans="1:9" ht="28.5" x14ac:dyDescent="0.45">
      <c r="A46" s="136" t="s">
        <v>113</v>
      </c>
      <c r="B46" s="138" t="s">
        <v>91</v>
      </c>
      <c r="C46" s="135">
        <v>3005</v>
      </c>
      <c r="D46" s="21" t="s">
        <v>23</v>
      </c>
      <c r="E46" s="21">
        <v>3.49</v>
      </c>
      <c r="F46" s="21">
        <v>4.5999999999999996</v>
      </c>
      <c r="G46" s="21">
        <v>5.77</v>
      </c>
      <c r="H46" s="132"/>
      <c r="I46" s="132"/>
    </row>
    <row r="47" spans="1:9" ht="28.5" x14ac:dyDescent="0.45">
      <c r="A47" s="136" t="s">
        <v>113</v>
      </c>
      <c r="B47" s="138" t="s">
        <v>91</v>
      </c>
      <c r="C47" s="135">
        <v>3005</v>
      </c>
      <c r="D47" s="21" t="s">
        <v>89</v>
      </c>
      <c r="E47" s="21">
        <v>3.49</v>
      </c>
      <c r="F47" s="21">
        <v>4.5999999999999996</v>
      </c>
      <c r="G47" s="21">
        <v>5.77</v>
      </c>
      <c r="H47" s="132"/>
      <c r="I47" s="132"/>
    </row>
    <row r="48" spans="1:9" ht="28.5" x14ac:dyDescent="0.45">
      <c r="A48" s="136" t="s">
        <v>113</v>
      </c>
      <c r="B48" s="138" t="s">
        <v>114</v>
      </c>
      <c r="C48" s="135">
        <v>6004</v>
      </c>
      <c r="D48" s="21" t="s">
        <v>97</v>
      </c>
      <c r="E48" s="21">
        <v>2.79</v>
      </c>
      <c r="F48" s="21">
        <v>3.63</v>
      </c>
      <c r="G48" s="132"/>
      <c r="H48" s="132"/>
      <c r="I48" s="132"/>
    </row>
    <row r="49" spans="1:9" ht="28.5" x14ac:dyDescent="0.45">
      <c r="A49" s="136" t="s">
        <v>113</v>
      </c>
      <c r="B49" s="138" t="s">
        <v>114</v>
      </c>
      <c r="C49" s="135">
        <v>6004</v>
      </c>
      <c r="D49" s="21" t="s">
        <v>98</v>
      </c>
      <c r="E49" s="21">
        <v>2.79</v>
      </c>
      <c r="F49" s="21">
        <v>3.63</v>
      </c>
      <c r="G49" s="132"/>
      <c r="H49" s="132"/>
      <c r="I49" s="132"/>
    </row>
    <row r="50" spans="1:9" ht="28.5" x14ac:dyDescent="0.45">
      <c r="A50" s="136" t="s">
        <v>113</v>
      </c>
      <c r="B50" s="138" t="s">
        <v>99</v>
      </c>
      <c r="C50" s="135">
        <v>3501</v>
      </c>
      <c r="D50" s="21" t="s">
        <v>97</v>
      </c>
      <c r="E50" s="21">
        <v>5.26</v>
      </c>
      <c r="F50" s="21">
        <v>6.83</v>
      </c>
      <c r="G50" s="132"/>
      <c r="H50" s="132"/>
      <c r="I50" s="132"/>
    </row>
    <row r="51" spans="1:9" ht="28.5" x14ac:dyDescent="0.45">
      <c r="A51" s="136" t="s">
        <v>113</v>
      </c>
      <c r="B51" s="138" t="s">
        <v>99</v>
      </c>
      <c r="C51" s="135">
        <v>3501</v>
      </c>
      <c r="D51" s="21" t="s">
        <v>89</v>
      </c>
      <c r="E51" s="21">
        <v>5.26</v>
      </c>
      <c r="F51" s="21">
        <v>6.83</v>
      </c>
      <c r="G51" s="132"/>
      <c r="H51" s="132"/>
      <c r="I51" s="132"/>
    </row>
    <row r="52" spans="1:9" ht="28.5" x14ac:dyDescent="0.45">
      <c r="A52" s="136" t="s">
        <v>113</v>
      </c>
      <c r="B52" s="138" t="s">
        <v>101</v>
      </c>
      <c r="C52" s="135">
        <v>3719</v>
      </c>
      <c r="D52" s="21" t="s">
        <v>23</v>
      </c>
      <c r="E52" s="21">
        <v>13.35</v>
      </c>
      <c r="F52" s="21">
        <v>15.53</v>
      </c>
      <c r="G52" s="132"/>
      <c r="H52" s="132"/>
      <c r="I52" s="132"/>
    </row>
    <row r="53" spans="1:9" ht="28.5" x14ac:dyDescent="0.45">
      <c r="A53" s="136" t="s">
        <v>113</v>
      </c>
      <c r="B53" s="138" t="s">
        <v>101</v>
      </c>
      <c r="C53" s="135">
        <v>3719</v>
      </c>
      <c r="D53" s="21" t="s">
        <v>89</v>
      </c>
      <c r="E53" s="21">
        <v>13.35</v>
      </c>
      <c r="F53" s="21">
        <v>15.53</v>
      </c>
      <c r="G53" s="132"/>
      <c r="H53" s="132"/>
      <c r="I53" s="132"/>
    </row>
    <row r="54" spans="1:9" ht="28.5" x14ac:dyDescent="0.45">
      <c r="A54" s="136" t="s">
        <v>113</v>
      </c>
      <c r="B54" s="138" t="s">
        <v>102</v>
      </c>
      <c r="C54" s="135">
        <v>6005</v>
      </c>
      <c r="D54" s="21" t="s">
        <v>23</v>
      </c>
      <c r="E54" s="21">
        <v>4.3499999999999996</v>
      </c>
      <c r="F54" s="21">
        <v>5.83</v>
      </c>
      <c r="G54" s="132"/>
      <c r="H54" s="132"/>
      <c r="I54" s="132"/>
    </row>
    <row r="55" spans="1:9" ht="28.5" x14ac:dyDescent="0.45">
      <c r="A55" s="136" t="s">
        <v>113</v>
      </c>
      <c r="B55" s="138" t="s">
        <v>102</v>
      </c>
      <c r="C55" s="135">
        <v>6005</v>
      </c>
      <c r="D55" s="21" t="s">
        <v>89</v>
      </c>
      <c r="E55" s="21">
        <v>4.75</v>
      </c>
      <c r="F55" s="21">
        <v>6.3</v>
      </c>
      <c r="G55" s="132"/>
      <c r="H55" s="132"/>
      <c r="I55" s="132"/>
    </row>
    <row r="56" spans="1:9" ht="28.5" x14ac:dyDescent="0.45">
      <c r="A56" s="136" t="s">
        <v>113</v>
      </c>
      <c r="B56" s="138" t="s">
        <v>104</v>
      </c>
      <c r="C56" s="135" t="s">
        <v>115</v>
      </c>
      <c r="D56" s="21" t="s">
        <v>23</v>
      </c>
      <c r="E56" s="21">
        <v>3.84</v>
      </c>
      <c r="F56" s="21">
        <v>5.33</v>
      </c>
      <c r="G56" s="132"/>
      <c r="H56" s="132"/>
      <c r="I56" s="132"/>
    </row>
    <row r="57" spans="1:9" ht="28.5" x14ac:dyDescent="0.45">
      <c r="A57" s="136" t="s">
        <v>113</v>
      </c>
      <c r="B57" s="138" t="s">
        <v>104</v>
      </c>
      <c r="C57" s="135" t="s">
        <v>115</v>
      </c>
      <c r="D57" s="21" t="s">
        <v>89</v>
      </c>
      <c r="E57" s="21">
        <v>3.84</v>
      </c>
      <c r="F57" s="21">
        <v>5.33</v>
      </c>
      <c r="G57" s="132"/>
      <c r="H57" s="132"/>
      <c r="I57" s="132"/>
    </row>
    <row r="58" spans="1:9" ht="28.5" x14ac:dyDescent="0.45">
      <c r="A58" s="136" t="s">
        <v>113</v>
      </c>
      <c r="B58" s="138" t="s">
        <v>116</v>
      </c>
      <c r="C58" s="135">
        <v>6488</v>
      </c>
      <c r="D58" s="21" t="s">
        <v>23</v>
      </c>
      <c r="E58" s="21">
        <v>3.54</v>
      </c>
      <c r="F58" s="21">
        <v>4.7</v>
      </c>
      <c r="G58" s="132"/>
      <c r="H58" s="132"/>
      <c r="I58" s="132"/>
    </row>
    <row r="59" spans="1:9" ht="28.5" x14ac:dyDescent="0.45">
      <c r="A59" s="136" t="s">
        <v>113</v>
      </c>
      <c r="B59" s="138" t="s">
        <v>116</v>
      </c>
      <c r="C59" s="135">
        <v>6488</v>
      </c>
      <c r="D59" s="21" t="s">
        <v>89</v>
      </c>
      <c r="E59" s="21">
        <v>3.54</v>
      </c>
      <c r="F59" s="21">
        <v>4.7</v>
      </c>
      <c r="G59" s="132"/>
      <c r="H59" s="132"/>
      <c r="I59" s="132"/>
    </row>
    <row r="60" spans="1:9" ht="28.5" x14ac:dyDescent="0.45">
      <c r="A60" s="136" t="s">
        <v>113</v>
      </c>
      <c r="B60" s="138"/>
      <c r="E60" s="132"/>
      <c r="F60" s="132"/>
      <c r="G60" s="132"/>
      <c r="H60" s="132"/>
      <c r="I60" s="132"/>
    </row>
    <row r="61" spans="1:9" ht="28.5" x14ac:dyDescent="0.45">
      <c r="A61" s="136" t="s">
        <v>113</v>
      </c>
      <c r="B61" s="138"/>
      <c r="E61" s="132"/>
      <c r="F61" s="132"/>
      <c r="G61" s="132"/>
      <c r="H61" s="132"/>
      <c r="I61" s="132"/>
    </row>
    <row r="62" spans="1:9" ht="28.5" x14ac:dyDescent="0.45">
      <c r="A62" s="136" t="s">
        <v>113</v>
      </c>
      <c r="B62" s="138"/>
      <c r="E62" s="132"/>
      <c r="F62" s="132"/>
      <c r="G62" s="132"/>
      <c r="H62" s="132"/>
      <c r="I62" s="132"/>
    </row>
    <row r="63" spans="1:9" ht="28.5" x14ac:dyDescent="0.45">
      <c r="A63" s="136" t="s">
        <v>113</v>
      </c>
      <c r="B63" s="138"/>
      <c r="E63" s="132"/>
      <c r="F63" s="132"/>
      <c r="G63" s="132"/>
      <c r="H63" s="132"/>
      <c r="I63" s="132"/>
    </row>
    <row r="64" spans="1:9" ht="28.5" x14ac:dyDescent="0.45">
      <c r="A64" s="136" t="s">
        <v>113</v>
      </c>
      <c r="B64" s="138"/>
      <c r="E64" s="132"/>
      <c r="F64" s="132"/>
      <c r="G64" s="132"/>
      <c r="H64" s="132"/>
      <c r="I64" s="132"/>
    </row>
    <row r="65" spans="1:9" ht="28.5" x14ac:dyDescent="0.45">
      <c r="A65" s="136" t="s">
        <v>113</v>
      </c>
      <c r="B65" s="138"/>
      <c r="E65" s="132"/>
      <c r="F65" s="132"/>
      <c r="G65" s="132"/>
      <c r="H65" s="132"/>
      <c r="I65" s="132"/>
    </row>
    <row r="66" spans="1:9" ht="28.5" x14ac:dyDescent="0.45">
      <c r="A66" s="136" t="s">
        <v>113</v>
      </c>
      <c r="B66" s="138"/>
      <c r="E66" s="132"/>
      <c r="F66" s="132"/>
      <c r="G66" s="132"/>
      <c r="H66" s="132"/>
      <c r="I66" s="132"/>
    </row>
    <row r="67" spans="1:9" ht="28.5" x14ac:dyDescent="0.45">
      <c r="A67" s="136" t="s">
        <v>113</v>
      </c>
      <c r="B67" s="138"/>
      <c r="E67" s="132"/>
      <c r="F67" s="132"/>
      <c r="G67" s="132"/>
      <c r="H67" s="132"/>
      <c r="I67" s="132"/>
    </row>
    <row r="68" spans="1:9" ht="28.5" x14ac:dyDescent="0.45">
      <c r="A68" s="136" t="s">
        <v>113</v>
      </c>
      <c r="B68" s="138"/>
      <c r="E68" s="132"/>
      <c r="F68" s="132"/>
      <c r="G68" s="132"/>
      <c r="H68" s="132"/>
      <c r="I68" s="132"/>
    </row>
    <row r="69" spans="1:9" x14ac:dyDescent="0.35">
      <c r="A69" s="21" t="s">
        <v>113</v>
      </c>
      <c r="E69" s="132"/>
      <c r="F69" s="132"/>
      <c r="G69" s="132"/>
      <c r="H69" s="132"/>
      <c r="I69" s="132"/>
    </row>
  </sheetData>
  <mergeCells count="46">
    <mergeCell ref="C14:C15"/>
    <mergeCell ref="C12:C13"/>
    <mergeCell ref="B16:B17"/>
    <mergeCell ref="B18:B19"/>
    <mergeCell ref="B20:B21"/>
    <mergeCell ref="C22:C23"/>
    <mergeCell ref="C20:C21"/>
    <mergeCell ref="C18:C19"/>
    <mergeCell ref="C16:C17"/>
    <mergeCell ref="C32:C33"/>
    <mergeCell ref="C30:C31"/>
    <mergeCell ref="C28:C29"/>
    <mergeCell ref="C26:C27"/>
    <mergeCell ref="C24:C25"/>
    <mergeCell ref="A26:A27"/>
    <mergeCell ref="A28:A29"/>
    <mergeCell ref="A30:A31"/>
    <mergeCell ref="A32:A33"/>
    <mergeCell ref="B22:B23"/>
    <mergeCell ref="B24:B25"/>
    <mergeCell ref="B26:B27"/>
    <mergeCell ref="B28:B29"/>
    <mergeCell ref="B30:B31"/>
    <mergeCell ref="B32:B33"/>
    <mergeCell ref="A16:A17"/>
    <mergeCell ref="A18:A19"/>
    <mergeCell ref="A20:A21"/>
    <mergeCell ref="A22:A23"/>
    <mergeCell ref="A24:A25"/>
    <mergeCell ref="A12:A13"/>
    <mergeCell ref="B12:B13"/>
    <mergeCell ref="A14:A15"/>
    <mergeCell ref="B14:B15"/>
    <mergeCell ref="A8:A9"/>
    <mergeCell ref="B8:B9"/>
    <mergeCell ref="C8:C9"/>
    <mergeCell ref="A10:A11"/>
    <mergeCell ref="B10:B11"/>
    <mergeCell ref="A1:D2"/>
    <mergeCell ref="A4:A5"/>
    <mergeCell ref="B4:B5"/>
    <mergeCell ref="C4:C5"/>
    <mergeCell ref="A6:A7"/>
    <mergeCell ref="B6:B7"/>
    <mergeCell ref="C6:C7"/>
    <mergeCell ref="C10:C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H6"/>
    </sheetView>
  </sheetViews>
  <sheetFormatPr defaultColWidth="8.85546875" defaultRowHeight="15" x14ac:dyDescent="0.25"/>
  <cols>
    <col min="3" max="3" width="17.7109375" style="58" bestFit="1" customWidth="1"/>
    <col min="4" max="4" width="16.42578125" style="58" customWidth="1"/>
    <col min="6" max="6" width="8.85546875" style="56"/>
    <col min="8" max="8" width="8.85546875" style="59"/>
  </cols>
  <sheetData>
    <row r="1" spans="1:8" ht="16.5" customHeight="1" x14ac:dyDescent="0.25">
      <c r="A1" t="s">
        <v>25</v>
      </c>
      <c r="B1" t="s">
        <v>26</v>
      </c>
      <c r="C1" s="58" t="s">
        <v>27</v>
      </c>
      <c r="D1" s="58" t="s">
        <v>30</v>
      </c>
      <c r="E1" t="s">
        <v>35</v>
      </c>
      <c r="F1" s="56" t="s">
        <v>36</v>
      </c>
      <c r="G1" t="s">
        <v>31</v>
      </c>
      <c r="H1" s="59" t="s">
        <v>32</v>
      </c>
    </row>
    <row r="2" spans="1:8" x14ac:dyDescent="0.25">
      <c r="A2" s="57">
        <v>41673</v>
      </c>
      <c r="B2" t="s">
        <v>28</v>
      </c>
      <c r="C2" s="60" t="s">
        <v>29</v>
      </c>
      <c r="D2" s="60">
        <v>8147719061</v>
      </c>
      <c r="E2">
        <v>16.12</v>
      </c>
      <c r="F2" s="56">
        <v>14.51</v>
      </c>
      <c r="G2">
        <v>2000</v>
      </c>
      <c r="H2" s="59" t="s">
        <v>33</v>
      </c>
    </row>
    <row r="3" spans="1:8" s="56" customFormat="1" x14ac:dyDescent="0.25">
      <c r="A3" s="57">
        <v>41673</v>
      </c>
      <c r="B3" s="56" t="s">
        <v>28</v>
      </c>
      <c r="C3" s="60" t="s">
        <v>29</v>
      </c>
      <c r="D3" s="58"/>
      <c r="E3" s="56">
        <v>14.85</v>
      </c>
      <c r="F3" s="56">
        <v>13.37</v>
      </c>
      <c r="G3" s="56">
        <v>2000</v>
      </c>
      <c r="H3" s="59" t="s">
        <v>34</v>
      </c>
    </row>
    <row r="4" spans="1:8" x14ac:dyDescent="0.25">
      <c r="A4" s="57">
        <v>41673</v>
      </c>
      <c r="B4" t="s">
        <v>37</v>
      </c>
      <c r="C4" s="61" t="s">
        <v>38</v>
      </c>
      <c r="D4" s="55" t="s">
        <v>39</v>
      </c>
      <c r="E4">
        <v>9.8800000000000008</v>
      </c>
      <c r="F4" s="56">
        <v>11.95</v>
      </c>
      <c r="G4" t="s">
        <v>40</v>
      </c>
      <c r="H4" s="59" t="s">
        <v>41</v>
      </c>
    </row>
    <row r="5" spans="1:8" x14ac:dyDescent="0.25">
      <c r="B5" t="s">
        <v>42</v>
      </c>
      <c r="E5">
        <v>8.25</v>
      </c>
      <c r="H5" s="59" t="s">
        <v>43</v>
      </c>
    </row>
    <row r="6" spans="1:8" x14ac:dyDescent="0.25">
      <c r="B6" t="s">
        <v>44</v>
      </c>
      <c r="E6">
        <v>5.83</v>
      </c>
      <c r="H6" s="59" t="s">
        <v>45</v>
      </c>
    </row>
  </sheetData>
  <hyperlinks>
    <hyperlink ref="C2" r:id="rId1"/>
    <hyperlink ref="C3" r:id="rId2" display="mailto:jpr35@pitt.edu"/>
    <hyperlink ref="D2" r:id="rId3" display="tel:8147719061"/>
    <hyperlink ref="D4" r:id="rId4" display="tel:570-789-1121"/>
  </hyperlink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24" workbookViewId="0">
      <selection activeCell="C36" sqref="C36"/>
    </sheetView>
  </sheetViews>
  <sheetFormatPr defaultColWidth="11.42578125" defaultRowHeight="15" x14ac:dyDescent="0.25"/>
  <sheetData>
    <row r="1" spans="1:10" s="62" customFormat="1" ht="36" customHeight="1" x14ac:dyDescent="0.5">
      <c r="A1" s="73" t="s">
        <v>53</v>
      </c>
      <c r="B1" s="169" t="s">
        <v>54</v>
      </c>
      <c r="C1" s="169"/>
      <c r="D1" s="169"/>
      <c r="E1" s="169"/>
      <c r="F1" s="169"/>
      <c r="G1" s="169"/>
      <c r="H1" s="169"/>
      <c r="J1" s="62" t="s">
        <v>64</v>
      </c>
    </row>
    <row r="2" spans="1:10" s="62" customFormat="1" ht="36" customHeight="1" x14ac:dyDescent="0.5">
      <c r="A2" s="73" t="s">
        <v>63</v>
      </c>
      <c r="B2" s="74">
        <v>2</v>
      </c>
      <c r="C2" s="74">
        <v>3</v>
      </c>
      <c r="D2" s="74">
        <v>4</v>
      </c>
      <c r="E2" s="74">
        <v>5</v>
      </c>
      <c r="F2" s="74">
        <v>6</v>
      </c>
      <c r="G2" s="74">
        <v>7</v>
      </c>
      <c r="H2" s="74">
        <v>8</v>
      </c>
    </row>
    <row r="3" spans="1:10" s="62" customFormat="1" ht="36" customHeight="1" x14ac:dyDescent="0.35">
      <c r="A3" s="21" t="s">
        <v>62</v>
      </c>
      <c r="B3" s="21" t="s">
        <v>55</v>
      </c>
      <c r="C3" s="21" t="s">
        <v>56</v>
      </c>
      <c r="D3" s="21" t="s">
        <v>57</v>
      </c>
      <c r="E3" s="21" t="s">
        <v>58</v>
      </c>
      <c r="F3" s="21" t="s">
        <v>59</v>
      </c>
      <c r="G3" s="21" t="s">
        <v>60</v>
      </c>
      <c r="H3" s="21" t="s">
        <v>61</v>
      </c>
    </row>
    <row r="4" spans="1:10" x14ac:dyDescent="0.25">
      <c r="A4">
        <v>1</v>
      </c>
      <c r="B4">
        <v>6.24</v>
      </c>
      <c r="C4">
        <v>6.68</v>
      </c>
      <c r="D4">
        <v>6.87</v>
      </c>
      <c r="E4">
        <v>7.17</v>
      </c>
      <c r="F4">
        <v>7.49</v>
      </c>
      <c r="G4">
        <v>7.59</v>
      </c>
      <c r="H4">
        <v>7.71</v>
      </c>
      <c r="J4" s="70">
        <f>AVERAGE(B4:H4)</f>
        <v>7.1071428571428585</v>
      </c>
    </row>
    <row r="5" spans="1:10" x14ac:dyDescent="0.25">
      <c r="A5">
        <v>2</v>
      </c>
      <c r="B5">
        <v>6.84</v>
      </c>
      <c r="C5">
        <v>7.3</v>
      </c>
      <c r="D5">
        <v>7.88</v>
      </c>
      <c r="E5">
        <v>8.0500000000000007</v>
      </c>
      <c r="F5">
        <v>8.4700000000000006</v>
      </c>
      <c r="G5">
        <v>8.58</v>
      </c>
      <c r="H5">
        <v>8.89</v>
      </c>
      <c r="J5" s="70">
        <f t="shared" ref="J5:J53" si="0">AVERAGE(B5:H5)</f>
        <v>8.0014285714285709</v>
      </c>
    </row>
    <row r="6" spans="1:10" x14ac:dyDescent="0.25">
      <c r="A6">
        <v>3</v>
      </c>
      <c r="B6">
        <v>6.95</v>
      </c>
      <c r="C6">
        <v>7.61</v>
      </c>
      <c r="D6">
        <v>8.31</v>
      </c>
      <c r="E6">
        <v>8.57</v>
      </c>
      <c r="F6">
        <v>9.01</v>
      </c>
      <c r="G6">
        <v>9.2200000000000006</v>
      </c>
      <c r="H6">
        <v>9.84</v>
      </c>
      <c r="J6" s="70">
        <f t="shared" si="0"/>
        <v>8.5014285714285727</v>
      </c>
    </row>
    <row r="7" spans="1:10" x14ac:dyDescent="0.25">
      <c r="A7">
        <v>4</v>
      </c>
      <c r="B7">
        <v>7.11</v>
      </c>
      <c r="C7">
        <v>7.8</v>
      </c>
      <c r="D7">
        <v>8.7200000000000006</v>
      </c>
      <c r="E7">
        <v>9.11</v>
      </c>
      <c r="F7">
        <v>9.4600000000000009</v>
      </c>
      <c r="G7">
        <v>9.81</v>
      </c>
      <c r="H7">
        <v>10.54</v>
      </c>
      <c r="J7" s="70">
        <f t="shared" si="0"/>
        <v>8.9357142857142868</v>
      </c>
    </row>
    <row r="8" spans="1:10" x14ac:dyDescent="0.25">
      <c r="A8">
        <v>5</v>
      </c>
      <c r="B8">
        <v>7.3</v>
      </c>
      <c r="C8">
        <v>7.88</v>
      </c>
      <c r="D8">
        <v>9.06</v>
      </c>
      <c r="E8">
        <v>9.4700000000000006</v>
      </c>
      <c r="F8">
        <v>9.7899999999999991</v>
      </c>
      <c r="G8">
        <v>10.210000000000001</v>
      </c>
      <c r="H8">
        <v>11.09</v>
      </c>
      <c r="J8" s="70">
        <f t="shared" si="0"/>
        <v>9.2571428571428562</v>
      </c>
    </row>
    <row r="9" spans="1:10" x14ac:dyDescent="0.25">
      <c r="A9">
        <v>6</v>
      </c>
      <c r="B9">
        <v>7.48</v>
      </c>
      <c r="C9">
        <v>8.1</v>
      </c>
      <c r="D9">
        <v>9.17</v>
      </c>
      <c r="E9">
        <v>9.66</v>
      </c>
      <c r="F9">
        <v>9.93</v>
      </c>
      <c r="G9">
        <v>10.46</v>
      </c>
      <c r="H9">
        <v>11.29</v>
      </c>
      <c r="J9" s="70">
        <f t="shared" si="0"/>
        <v>9.4414285714285722</v>
      </c>
    </row>
    <row r="10" spans="1:10" x14ac:dyDescent="0.25">
      <c r="A10">
        <v>7</v>
      </c>
      <c r="B10">
        <v>7.82</v>
      </c>
      <c r="C10">
        <v>8.31</v>
      </c>
      <c r="D10" s="62">
        <v>9.33</v>
      </c>
      <c r="E10">
        <v>9.8800000000000008</v>
      </c>
      <c r="F10">
        <v>10.210000000000001</v>
      </c>
      <c r="G10">
        <v>10.74</v>
      </c>
      <c r="H10">
        <v>11.61</v>
      </c>
      <c r="J10" s="70">
        <f t="shared" si="0"/>
        <v>9.7000000000000011</v>
      </c>
    </row>
    <row r="11" spans="1:10" x14ac:dyDescent="0.25">
      <c r="A11">
        <v>8</v>
      </c>
      <c r="B11">
        <v>8.11</v>
      </c>
      <c r="C11">
        <v>8.51</v>
      </c>
      <c r="D11" s="62">
        <v>9.57</v>
      </c>
      <c r="E11">
        <v>10.07</v>
      </c>
      <c r="F11">
        <v>10.52</v>
      </c>
      <c r="G11">
        <v>11.07</v>
      </c>
      <c r="H11">
        <v>12.12</v>
      </c>
      <c r="J11" s="70">
        <f t="shared" si="0"/>
        <v>9.9957142857142856</v>
      </c>
    </row>
    <row r="12" spans="1:10" x14ac:dyDescent="0.25">
      <c r="A12">
        <v>9</v>
      </c>
      <c r="B12">
        <v>8.27</v>
      </c>
      <c r="C12">
        <v>8.7100000000000009</v>
      </c>
      <c r="D12" s="62">
        <v>9.7100000000000009</v>
      </c>
      <c r="E12">
        <v>10.24</v>
      </c>
      <c r="F12">
        <v>10.74</v>
      </c>
      <c r="G12">
        <v>11.64</v>
      </c>
      <c r="H12">
        <v>12.88</v>
      </c>
      <c r="J12" s="70">
        <f t="shared" si="0"/>
        <v>10.312857142857142</v>
      </c>
    </row>
    <row r="13" spans="1:10" x14ac:dyDescent="0.25">
      <c r="A13">
        <v>10</v>
      </c>
      <c r="B13">
        <v>8.5399999999999991</v>
      </c>
      <c r="C13">
        <v>8.75</v>
      </c>
      <c r="D13" s="62">
        <v>9.86</v>
      </c>
      <c r="E13">
        <v>10.53</v>
      </c>
      <c r="F13">
        <v>11.18</v>
      </c>
      <c r="G13">
        <v>12.44</v>
      </c>
      <c r="H13">
        <v>13.73</v>
      </c>
      <c r="J13" s="70">
        <f t="shared" si="0"/>
        <v>10.718571428571428</v>
      </c>
    </row>
    <row r="14" spans="1:10" x14ac:dyDescent="0.25">
      <c r="A14">
        <v>11</v>
      </c>
      <c r="B14">
        <v>8.83</v>
      </c>
      <c r="C14">
        <v>9.1</v>
      </c>
      <c r="D14" s="62">
        <v>9.9499999999999993</v>
      </c>
      <c r="E14">
        <v>10.6</v>
      </c>
      <c r="F14">
        <v>11.45</v>
      </c>
      <c r="G14">
        <v>13.23</v>
      </c>
      <c r="H14">
        <v>14.51</v>
      </c>
      <c r="J14" s="70">
        <f t="shared" si="0"/>
        <v>11.095714285714285</v>
      </c>
    </row>
    <row r="15" spans="1:10" x14ac:dyDescent="0.25">
      <c r="A15">
        <v>12</v>
      </c>
      <c r="B15">
        <v>9.0500000000000007</v>
      </c>
      <c r="C15">
        <v>9.3800000000000008</v>
      </c>
      <c r="D15" s="62">
        <v>10.039999999999999</v>
      </c>
      <c r="E15">
        <v>10.85</v>
      </c>
      <c r="F15">
        <v>11.86</v>
      </c>
      <c r="G15">
        <v>14.02</v>
      </c>
      <c r="H15">
        <v>15.48</v>
      </c>
      <c r="J15" s="70">
        <f t="shared" si="0"/>
        <v>11.525714285714287</v>
      </c>
    </row>
    <row r="16" spans="1:10" x14ac:dyDescent="0.25">
      <c r="A16">
        <v>13</v>
      </c>
      <c r="B16">
        <v>9.27</v>
      </c>
      <c r="C16">
        <v>9.61</v>
      </c>
      <c r="D16" s="62">
        <v>10.17</v>
      </c>
      <c r="E16">
        <v>11.05</v>
      </c>
      <c r="F16">
        <v>12.34</v>
      </c>
      <c r="G16">
        <v>14.88</v>
      </c>
      <c r="H16">
        <v>16.48</v>
      </c>
      <c r="J16" s="70">
        <f t="shared" si="0"/>
        <v>11.971428571428572</v>
      </c>
    </row>
    <row r="17" spans="1:10" x14ac:dyDescent="0.25">
      <c r="A17">
        <v>14</v>
      </c>
      <c r="B17">
        <v>9.42</v>
      </c>
      <c r="C17">
        <v>9.8699999999999992</v>
      </c>
      <c r="D17" s="62">
        <v>10.27</v>
      </c>
      <c r="E17">
        <v>11.21</v>
      </c>
      <c r="F17">
        <v>12.93</v>
      </c>
      <c r="G17">
        <v>15.65</v>
      </c>
      <c r="H17">
        <v>17.43</v>
      </c>
      <c r="J17" s="70">
        <f t="shared" si="0"/>
        <v>12.397142857142857</v>
      </c>
    </row>
    <row r="18" spans="1:10" x14ac:dyDescent="0.25">
      <c r="A18">
        <v>15</v>
      </c>
      <c r="B18">
        <v>9.56</v>
      </c>
      <c r="C18">
        <v>10.18</v>
      </c>
      <c r="D18" s="62">
        <v>10.38</v>
      </c>
      <c r="E18">
        <v>11.62</v>
      </c>
      <c r="F18">
        <v>13.52</v>
      </c>
      <c r="G18">
        <v>16.45</v>
      </c>
      <c r="H18">
        <v>18.309999999999999</v>
      </c>
      <c r="J18" s="70">
        <f t="shared" si="0"/>
        <v>12.860000000000001</v>
      </c>
    </row>
    <row r="19" spans="1:10" x14ac:dyDescent="0.25">
      <c r="A19">
        <v>16</v>
      </c>
      <c r="B19">
        <v>9.67</v>
      </c>
      <c r="C19">
        <v>10.27</v>
      </c>
      <c r="D19" s="62">
        <v>10.41</v>
      </c>
      <c r="E19">
        <v>11.81</v>
      </c>
      <c r="F19">
        <v>13.96</v>
      </c>
      <c r="G19">
        <v>16.98</v>
      </c>
      <c r="H19">
        <v>18.86</v>
      </c>
      <c r="J19" s="70">
        <f t="shared" si="0"/>
        <v>13.137142857142857</v>
      </c>
    </row>
    <row r="20" spans="1:10" x14ac:dyDescent="0.25">
      <c r="A20">
        <v>17</v>
      </c>
      <c r="B20">
        <v>9.75</v>
      </c>
      <c r="C20">
        <v>10.59</v>
      </c>
      <c r="D20" s="62">
        <v>10.63</v>
      </c>
      <c r="E20">
        <v>12.25</v>
      </c>
      <c r="F20">
        <v>14.67</v>
      </c>
      <c r="G20">
        <v>17.850000000000001</v>
      </c>
      <c r="H20">
        <v>19.77</v>
      </c>
      <c r="J20" s="70">
        <f t="shared" si="0"/>
        <v>13.644285714285715</v>
      </c>
    </row>
    <row r="21" spans="1:10" x14ac:dyDescent="0.25">
      <c r="A21">
        <v>18</v>
      </c>
      <c r="B21">
        <v>9.86</v>
      </c>
      <c r="C21">
        <v>10.73</v>
      </c>
      <c r="D21" s="62">
        <v>10.94</v>
      </c>
      <c r="E21">
        <v>12.85</v>
      </c>
      <c r="F21">
        <v>15.28</v>
      </c>
      <c r="G21">
        <v>18.57</v>
      </c>
      <c r="H21">
        <v>20.73</v>
      </c>
      <c r="J21" s="70">
        <f t="shared" si="0"/>
        <v>14.137142857142859</v>
      </c>
    </row>
    <row r="22" spans="1:10" x14ac:dyDescent="0.25">
      <c r="A22">
        <v>19</v>
      </c>
      <c r="B22">
        <v>9.98</v>
      </c>
      <c r="C22">
        <v>11.1</v>
      </c>
      <c r="D22" s="62">
        <v>11.32</v>
      </c>
      <c r="E22">
        <v>13.35</v>
      </c>
      <c r="F22">
        <v>15.93</v>
      </c>
      <c r="G22">
        <v>19.32</v>
      </c>
      <c r="H22">
        <v>21.7</v>
      </c>
      <c r="J22" s="70">
        <f t="shared" si="0"/>
        <v>14.671428571428573</v>
      </c>
    </row>
    <row r="23" spans="1:10" x14ac:dyDescent="0.25">
      <c r="A23">
        <v>20</v>
      </c>
      <c r="B23">
        <v>10.16</v>
      </c>
      <c r="C23">
        <v>11.46</v>
      </c>
      <c r="D23" s="62">
        <v>11.7</v>
      </c>
      <c r="E23">
        <v>13.81</v>
      </c>
      <c r="F23">
        <v>16.63</v>
      </c>
      <c r="G23">
        <v>20.05</v>
      </c>
      <c r="H23">
        <v>22.71</v>
      </c>
      <c r="J23" s="70">
        <f t="shared" si="0"/>
        <v>15.217142857142859</v>
      </c>
    </row>
    <row r="24" spans="1:10" x14ac:dyDescent="0.25">
      <c r="A24">
        <v>21</v>
      </c>
      <c r="B24">
        <v>10.33</v>
      </c>
      <c r="C24">
        <v>11.75</v>
      </c>
      <c r="D24" s="62">
        <v>12.05</v>
      </c>
      <c r="E24">
        <v>14.31</v>
      </c>
      <c r="F24">
        <v>17.309999999999999</v>
      </c>
      <c r="G24">
        <v>20.8</v>
      </c>
      <c r="H24">
        <v>23.62</v>
      </c>
      <c r="J24" s="70">
        <f t="shared" si="0"/>
        <v>15.738571428571429</v>
      </c>
    </row>
    <row r="25" spans="1:10" x14ac:dyDescent="0.25">
      <c r="A25">
        <v>22</v>
      </c>
      <c r="B25">
        <v>10.56</v>
      </c>
      <c r="C25">
        <v>11.97</v>
      </c>
      <c r="D25" s="62">
        <v>12.49</v>
      </c>
      <c r="E25">
        <v>14.75</v>
      </c>
      <c r="F25">
        <v>18.02</v>
      </c>
      <c r="G25">
        <v>21.57</v>
      </c>
      <c r="H25">
        <v>24.65</v>
      </c>
      <c r="J25" s="70">
        <f t="shared" si="0"/>
        <v>16.287142857142861</v>
      </c>
    </row>
    <row r="26" spans="1:10" x14ac:dyDescent="0.25">
      <c r="A26">
        <v>23</v>
      </c>
      <c r="B26">
        <v>10.67</v>
      </c>
      <c r="C26">
        <v>12.29</v>
      </c>
      <c r="D26" s="62">
        <v>12.89</v>
      </c>
      <c r="E26">
        <v>15.19</v>
      </c>
      <c r="F26">
        <v>18.7</v>
      </c>
      <c r="G26">
        <v>22.29</v>
      </c>
      <c r="H26">
        <v>25.64</v>
      </c>
      <c r="J26" s="70">
        <f t="shared" si="0"/>
        <v>16.809999999999999</v>
      </c>
    </row>
    <row r="27" spans="1:10" x14ac:dyDescent="0.25">
      <c r="A27">
        <v>24</v>
      </c>
      <c r="B27">
        <v>10.88</v>
      </c>
      <c r="C27">
        <v>12.58</v>
      </c>
      <c r="D27" s="62">
        <v>13.3</v>
      </c>
      <c r="E27">
        <v>15.67</v>
      </c>
      <c r="F27">
        <v>19.41</v>
      </c>
      <c r="G27">
        <v>23.05</v>
      </c>
      <c r="H27">
        <v>26.65</v>
      </c>
      <c r="J27" s="70">
        <f t="shared" si="0"/>
        <v>17.362857142857141</v>
      </c>
    </row>
    <row r="28" spans="1:10" x14ac:dyDescent="0.25">
      <c r="A28">
        <v>25</v>
      </c>
      <c r="B28">
        <v>11.16</v>
      </c>
      <c r="C28">
        <v>12.9</v>
      </c>
      <c r="D28" s="62">
        <v>13.66</v>
      </c>
      <c r="E28">
        <v>16.12</v>
      </c>
      <c r="F28">
        <v>20.079999999999998</v>
      </c>
      <c r="G28">
        <v>23.77</v>
      </c>
      <c r="H28">
        <v>27.64</v>
      </c>
      <c r="J28" s="70">
        <f t="shared" si="0"/>
        <v>17.904285714285713</v>
      </c>
    </row>
    <row r="29" spans="1:10" x14ac:dyDescent="0.25">
      <c r="A29">
        <v>26</v>
      </c>
      <c r="B29">
        <v>11.42</v>
      </c>
      <c r="C29">
        <v>13.15</v>
      </c>
      <c r="D29" s="62">
        <v>14.03</v>
      </c>
      <c r="E29">
        <v>16.62</v>
      </c>
      <c r="F29">
        <v>20.81</v>
      </c>
      <c r="G29">
        <v>24.44</v>
      </c>
      <c r="H29">
        <v>28.56</v>
      </c>
      <c r="J29" s="70">
        <f t="shared" si="0"/>
        <v>18.432857142857141</v>
      </c>
    </row>
    <row r="30" spans="1:10" x14ac:dyDescent="0.25">
      <c r="A30">
        <v>27</v>
      </c>
      <c r="B30">
        <v>11.69</v>
      </c>
      <c r="C30">
        <v>13.47</v>
      </c>
      <c r="D30" s="62">
        <v>14.37</v>
      </c>
      <c r="E30">
        <v>17.13</v>
      </c>
      <c r="F30">
        <v>21.49</v>
      </c>
      <c r="G30">
        <v>25.24</v>
      </c>
      <c r="H30">
        <v>29.54</v>
      </c>
      <c r="J30" s="70">
        <f t="shared" si="0"/>
        <v>18.989999999999998</v>
      </c>
    </row>
    <row r="31" spans="1:10" x14ac:dyDescent="0.25">
      <c r="A31">
        <v>28</v>
      </c>
      <c r="B31">
        <v>11.9</v>
      </c>
      <c r="C31">
        <v>13.79</v>
      </c>
      <c r="D31" s="62">
        <v>14.83</v>
      </c>
      <c r="E31">
        <v>17.66</v>
      </c>
      <c r="F31">
        <v>22.18</v>
      </c>
      <c r="G31">
        <v>25.95</v>
      </c>
      <c r="H31">
        <v>30.56</v>
      </c>
      <c r="J31" s="70">
        <f t="shared" si="0"/>
        <v>19.552857142857139</v>
      </c>
    </row>
    <row r="32" spans="1:10" x14ac:dyDescent="0.25">
      <c r="A32">
        <v>29</v>
      </c>
      <c r="B32">
        <v>12.15</v>
      </c>
      <c r="C32">
        <v>14.05</v>
      </c>
      <c r="D32" s="62">
        <v>15.25</v>
      </c>
      <c r="E32">
        <v>18.07</v>
      </c>
      <c r="F32">
        <v>22.81</v>
      </c>
      <c r="G32">
        <v>26.59</v>
      </c>
      <c r="H32">
        <v>31.48</v>
      </c>
      <c r="J32" s="70">
        <f t="shared" si="0"/>
        <v>20.057142857142857</v>
      </c>
    </row>
    <row r="33" spans="1:10" x14ac:dyDescent="0.25">
      <c r="A33">
        <v>30</v>
      </c>
      <c r="B33">
        <v>12.45</v>
      </c>
      <c r="C33">
        <v>14.4</v>
      </c>
      <c r="D33" s="62">
        <v>15.71</v>
      </c>
      <c r="E33">
        <v>18.600000000000001</v>
      </c>
      <c r="F33">
        <v>23.51</v>
      </c>
      <c r="G33">
        <v>27.3</v>
      </c>
      <c r="H33">
        <v>32.49</v>
      </c>
      <c r="J33" s="70">
        <f t="shared" si="0"/>
        <v>20.637142857142859</v>
      </c>
    </row>
    <row r="34" spans="1:10" x14ac:dyDescent="0.25">
      <c r="A34">
        <v>31</v>
      </c>
      <c r="B34">
        <v>12.63</v>
      </c>
      <c r="C34">
        <v>14.61</v>
      </c>
      <c r="D34" s="62">
        <v>16.07</v>
      </c>
      <c r="E34">
        <v>19.09</v>
      </c>
      <c r="F34">
        <v>24.12</v>
      </c>
      <c r="G34">
        <v>28.03</v>
      </c>
      <c r="H34">
        <v>33.4</v>
      </c>
      <c r="J34" s="70">
        <f t="shared" si="0"/>
        <v>21.13571428571429</v>
      </c>
    </row>
    <row r="35" spans="1:10" x14ac:dyDescent="0.25">
      <c r="A35">
        <v>32</v>
      </c>
      <c r="B35">
        <v>12.69</v>
      </c>
      <c r="C35">
        <v>14.92</v>
      </c>
      <c r="D35" s="62">
        <v>16.5</v>
      </c>
      <c r="E35">
        <v>19.62</v>
      </c>
      <c r="F35">
        <v>24.81</v>
      </c>
      <c r="G35">
        <v>28.79</v>
      </c>
      <c r="H35">
        <v>34.409999999999997</v>
      </c>
      <c r="J35" s="70">
        <f t="shared" si="0"/>
        <v>21.677142857142858</v>
      </c>
    </row>
    <row r="36" spans="1:10" x14ac:dyDescent="0.25">
      <c r="A36">
        <v>33</v>
      </c>
      <c r="B36">
        <v>12.91</v>
      </c>
      <c r="C36">
        <v>15.26</v>
      </c>
      <c r="D36" s="62">
        <v>16.899999999999999</v>
      </c>
      <c r="E36">
        <v>20.14</v>
      </c>
      <c r="F36">
        <v>25.46</v>
      </c>
      <c r="G36">
        <v>29.54</v>
      </c>
      <c r="H36">
        <v>35.35</v>
      </c>
      <c r="J36" s="70">
        <f t="shared" si="0"/>
        <v>22.222857142857144</v>
      </c>
    </row>
    <row r="37" spans="1:10" x14ac:dyDescent="0.25">
      <c r="A37">
        <v>34</v>
      </c>
      <c r="B37">
        <v>12.99</v>
      </c>
      <c r="C37">
        <v>15.6</v>
      </c>
      <c r="D37" s="62">
        <v>17.28</v>
      </c>
      <c r="E37">
        <v>20.65</v>
      </c>
      <c r="F37">
        <v>26.18</v>
      </c>
      <c r="G37">
        <v>30.33</v>
      </c>
      <c r="H37">
        <v>36.340000000000003</v>
      </c>
      <c r="J37" s="70">
        <f t="shared" si="0"/>
        <v>22.767142857142858</v>
      </c>
    </row>
    <row r="38" spans="1:10" x14ac:dyDescent="0.25">
      <c r="A38">
        <v>35</v>
      </c>
      <c r="B38">
        <v>13.22</v>
      </c>
      <c r="C38">
        <v>15.96</v>
      </c>
      <c r="D38" s="62">
        <v>17.690000000000001</v>
      </c>
      <c r="E38">
        <v>21.15</v>
      </c>
      <c r="F38">
        <v>26.83</v>
      </c>
      <c r="G38">
        <v>31.1</v>
      </c>
      <c r="H38">
        <v>37.299999999999997</v>
      </c>
      <c r="J38" s="70">
        <f t="shared" si="0"/>
        <v>23.321428571428573</v>
      </c>
    </row>
    <row r="39" spans="1:10" x14ac:dyDescent="0.25">
      <c r="A39">
        <v>36</v>
      </c>
      <c r="B39">
        <v>13.41</v>
      </c>
      <c r="C39">
        <v>16.12</v>
      </c>
      <c r="D39" s="62">
        <v>18</v>
      </c>
      <c r="E39">
        <v>21.68</v>
      </c>
      <c r="F39">
        <v>27.5</v>
      </c>
      <c r="G39">
        <v>31.87</v>
      </c>
      <c r="H39">
        <v>38.04</v>
      </c>
      <c r="J39" s="70">
        <f t="shared" si="0"/>
        <v>23.802857142857142</v>
      </c>
    </row>
    <row r="40" spans="1:10" x14ac:dyDescent="0.25">
      <c r="A40">
        <v>37</v>
      </c>
      <c r="B40">
        <v>13.64</v>
      </c>
      <c r="C40">
        <v>16.489999999999998</v>
      </c>
      <c r="D40" s="62">
        <v>18.350000000000001</v>
      </c>
      <c r="E40">
        <v>22.15</v>
      </c>
      <c r="F40">
        <v>28.09</v>
      </c>
      <c r="G40">
        <v>32.57</v>
      </c>
      <c r="H40">
        <v>38.78</v>
      </c>
      <c r="J40" s="70">
        <f t="shared" si="0"/>
        <v>24.295714285714286</v>
      </c>
    </row>
    <row r="41" spans="1:10" x14ac:dyDescent="0.25">
      <c r="A41">
        <v>38</v>
      </c>
      <c r="B41">
        <v>13.83</v>
      </c>
      <c r="C41">
        <v>16.739999999999998</v>
      </c>
      <c r="D41" s="62">
        <v>18.760000000000002</v>
      </c>
      <c r="E41">
        <v>22.69</v>
      </c>
      <c r="F41">
        <v>28.72</v>
      </c>
      <c r="G41">
        <v>33.33</v>
      </c>
      <c r="H41">
        <v>39.49</v>
      </c>
      <c r="J41" s="70">
        <f t="shared" si="0"/>
        <v>24.794285714285714</v>
      </c>
    </row>
    <row r="42" spans="1:10" x14ac:dyDescent="0.25">
      <c r="A42">
        <v>39</v>
      </c>
      <c r="B42">
        <v>14.03</v>
      </c>
      <c r="C42">
        <v>17.07</v>
      </c>
      <c r="D42" s="62">
        <v>19.190000000000001</v>
      </c>
      <c r="E42">
        <v>23.16</v>
      </c>
      <c r="F42">
        <v>29.45</v>
      </c>
      <c r="G42">
        <v>34.24</v>
      </c>
      <c r="H42">
        <v>40.299999999999997</v>
      </c>
      <c r="J42" s="70">
        <f t="shared" si="0"/>
        <v>25.348571428571429</v>
      </c>
    </row>
    <row r="43" spans="1:10" x14ac:dyDescent="0.25">
      <c r="A43">
        <v>40</v>
      </c>
      <c r="B43">
        <v>14.18</v>
      </c>
      <c r="C43">
        <v>17.46</v>
      </c>
      <c r="D43" s="62">
        <v>19.62</v>
      </c>
      <c r="E43">
        <v>23.64</v>
      </c>
      <c r="F43">
        <v>30.05</v>
      </c>
      <c r="G43">
        <v>34.97</v>
      </c>
      <c r="H43">
        <v>40.97</v>
      </c>
      <c r="J43" s="70">
        <f t="shared" si="0"/>
        <v>25.841428571428573</v>
      </c>
    </row>
    <row r="44" spans="1:10" x14ac:dyDescent="0.25">
      <c r="A44">
        <v>41</v>
      </c>
      <c r="B44">
        <v>14.37</v>
      </c>
      <c r="C44">
        <v>17.7</v>
      </c>
      <c r="D44" s="62">
        <v>19.95</v>
      </c>
      <c r="E44">
        <v>24.09</v>
      </c>
      <c r="F44">
        <v>30.72</v>
      </c>
      <c r="G44">
        <v>35.72</v>
      </c>
      <c r="H44">
        <v>41.44</v>
      </c>
      <c r="J44" s="70">
        <f t="shared" si="0"/>
        <v>26.284285714285716</v>
      </c>
    </row>
    <row r="45" spans="1:10" x14ac:dyDescent="0.25">
      <c r="A45">
        <v>42</v>
      </c>
      <c r="B45">
        <v>14.59</v>
      </c>
      <c r="C45">
        <v>17.920000000000002</v>
      </c>
      <c r="D45" s="62">
        <v>20.329999999999998</v>
      </c>
      <c r="E45">
        <v>24.54</v>
      </c>
      <c r="F45">
        <v>31.45</v>
      </c>
      <c r="G45">
        <v>36.659999999999997</v>
      </c>
      <c r="H45">
        <v>42.06</v>
      </c>
      <c r="J45" s="70">
        <f t="shared" si="0"/>
        <v>26.792857142857144</v>
      </c>
    </row>
    <row r="46" spans="1:10" x14ac:dyDescent="0.25">
      <c r="A46">
        <v>43</v>
      </c>
      <c r="B46">
        <v>14.78</v>
      </c>
      <c r="C46">
        <v>18.22</v>
      </c>
      <c r="D46" s="62">
        <v>20.76</v>
      </c>
      <c r="E46">
        <v>25.06</v>
      </c>
      <c r="F46">
        <v>32.22</v>
      </c>
      <c r="G46">
        <v>37.64</v>
      </c>
      <c r="H46">
        <v>42.79</v>
      </c>
      <c r="J46" s="70">
        <f t="shared" si="0"/>
        <v>27.352857142857143</v>
      </c>
    </row>
    <row r="47" spans="1:10" x14ac:dyDescent="0.25">
      <c r="A47">
        <v>44</v>
      </c>
      <c r="B47">
        <v>14.97</v>
      </c>
      <c r="C47">
        <v>18.54</v>
      </c>
      <c r="D47" s="62">
        <v>21.1</v>
      </c>
      <c r="E47">
        <v>25.51</v>
      </c>
      <c r="F47">
        <v>32.81</v>
      </c>
      <c r="G47">
        <v>38.44</v>
      </c>
      <c r="H47">
        <v>43.24</v>
      </c>
      <c r="J47" s="70">
        <f t="shared" si="0"/>
        <v>27.801428571428573</v>
      </c>
    </row>
    <row r="48" spans="1:10" x14ac:dyDescent="0.25">
      <c r="A48">
        <v>45</v>
      </c>
      <c r="B48">
        <v>15.12</v>
      </c>
      <c r="C48">
        <v>18.829999999999998</v>
      </c>
      <c r="D48" s="62">
        <v>21.49</v>
      </c>
      <c r="E48">
        <v>26.02</v>
      </c>
      <c r="F48">
        <v>33.36</v>
      </c>
      <c r="G48">
        <v>39.200000000000003</v>
      </c>
      <c r="H48">
        <v>43.96</v>
      </c>
      <c r="J48" s="70">
        <f t="shared" si="0"/>
        <v>28.282857142857143</v>
      </c>
    </row>
    <row r="49" spans="1:10" x14ac:dyDescent="0.25">
      <c r="A49">
        <v>46</v>
      </c>
      <c r="B49">
        <v>15.18</v>
      </c>
      <c r="C49">
        <v>19.02</v>
      </c>
      <c r="D49" s="62">
        <v>21.77</v>
      </c>
      <c r="E49">
        <v>26.49</v>
      </c>
      <c r="F49">
        <v>33.909999999999997</v>
      </c>
      <c r="G49">
        <v>39.99</v>
      </c>
      <c r="H49">
        <v>44.69</v>
      </c>
      <c r="J49" s="70">
        <f t="shared" si="0"/>
        <v>28.721428571428568</v>
      </c>
    </row>
    <row r="50" spans="1:10" x14ac:dyDescent="0.25">
      <c r="A50">
        <v>47</v>
      </c>
      <c r="B50">
        <v>15.29</v>
      </c>
      <c r="C50">
        <v>19.09</v>
      </c>
      <c r="D50" s="62">
        <v>22.11</v>
      </c>
      <c r="E50">
        <v>26.94</v>
      </c>
      <c r="F50">
        <v>34.369999999999997</v>
      </c>
      <c r="G50">
        <v>40.770000000000003</v>
      </c>
      <c r="H50">
        <v>45.41</v>
      </c>
      <c r="J50" s="70">
        <f t="shared" si="0"/>
        <v>29.139999999999997</v>
      </c>
    </row>
    <row r="51" spans="1:10" x14ac:dyDescent="0.25">
      <c r="A51">
        <v>48</v>
      </c>
      <c r="B51">
        <v>15.41</v>
      </c>
      <c r="C51">
        <v>19.23</v>
      </c>
      <c r="D51" s="62">
        <v>22.4</v>
      </c>
      <c r="E51">
        <v>27.39</v>
      </c>
      <c r="F51">
        <v>34.89</v>
      </c>
      <c r="G51">
        <v>41.55</v>
      </c>
      <c r="H51">
        <v>46.13</v>
      </c>
      <c r="J51" s="70">
        <f t="shared" si="0"/>
        <v>29.571428571428573</v>
      </c>
    </row>
    <row r="52" spans="1:10" x14ac:dyDescent="0.25">
      <c r="A52">
        <v>49</v>
      </c>
      <c r="B52">
        <v>15.4</v>
      </c>
      <c r="C52">
        <v>19.36</v>
      </c>
      <c r="D52" s="62">
        <v>22.7</v>
      </c>
      <c r="E52">
        <v>27.87</v>
      </c>
      <c r="F52">
        <v>35.33</v>
      </c>
      <c r="G52">
        <v>42.28</v>
      </c>
      <c r="H52">
        <v>46.85</v>
      </c>
      <c r="J52" s="70">
        <f t="shared" si="0"/>
        <v>29.97</v>
      </c>
    </row>
    <row r="53" spans="1:10" x14ac:dyDescent="0.25">
      <c r="A53">
        <v>50</v>
      </c>
      <c r="B53">
        <v>15.55</v>
      </c>
      <c r="C53">
        <v>19.47</v>
      </c>
      <c r="D53" s="62">
        <v>22.94</v>
      </c>
      <c r="E53">
        <v>27.96</v>
      </c>
      <c r="F53">
        <v>35.44</v>
      </c>
      <c r="G53">
        <v>42.38</v>
      </c>
      <c r="H53">
        <v>47.56</v>
      </c>
      <c r="J53" s="70">
        <f t="shared" si="0"/>
        <v>30.185714285714283</v>
      </c>
    </row>
  </sheetData>
  <mergeCells count="1">
    <mergeCell ref="B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"/>
  <sheetViews>
    <sheetView workbookViewId="0">
      <selection activeCell="B4" sqref="B4"/>
    </sheetView>
  </sheetViews>
  <sheetFormatPr defaultColWidth="11.42578125" defaultRowHeight="15" x14ac:dyDescent="0.25"/>
  <sheetData>
    <row r="4" spans="1:2" x14ac:dyDescent="0.25">
      <c r="A4" s="57">
        <v>42122</v>
      </c>
      <c r="B4" t="s">
        <v>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HeadingPairs>
  <TitlesOfParts>
    <vt:vector size="54" baseType="lpstr">
      <vt:lpstr>Screen Printing Quote</vt:lpstr>
      <vt:lpstr>Shirt Cost</vt:lpstr>
      <vt:lpstr>Sheet1</vt:lpstr>
      <vt:lpstr>shipping</vt:lpstr>
      <vt:lpstr>cksihrts</vt:lpstr>
      <vt:lpstr>artCharge</vt:lpstr>
      <vt:lpstr>blankItemCost</vt:lpstr>
      <vt:lpstr>chargeMatrix</vt:lpstr>
      <vt:lpstr>colorCount1</vt:lpstr>
      <vt:lpstr>colorCount2</vt:lpstr>
      <vt:lpstr>colorCount3</vt:lpstr>
      <vt:lpstr>colorCount4</vt:lpstr>
      <vt:lpstr>colorCount5</vt:lpstr>
      <vt:lpstr>colorCount6</vt:lpstr>
      <vt:lpstr>colorCount7</vt:lpstr>
      <vt:lpstr>colorCount8</vt:lpstr>
      <vt:lpstr>itemPrice</vt:lpstr>
      <vt:lpstr>itemTotal</vt:lpstr>
      <vt:lpstr>loc1matrix</vt:lpstr>
      <vt:lpstr>loc1Price</vt:lpstr>
      <vt:lpstr>loc2matrix</vt:lpstr>
      <vt:lpstr>loc2Price</vt:lpstr>
      <vt:lpstr>loc3matrix</vt:lpstr>
      <vt:lpstr>locColors1</vt:lpstr>
      <vt:lpstr>locColors2</vt:lpstr>
      <vt:lpstr>locColors3</vt:lpstr>
      <vt:lpstr>locColors4</vt:lpstr>
      <vt:lpstr>locSHIPPING</vt:lpstr>
      <vt:lpstr>markup1</vt:lpstr>
      <vt:lpstr>markup2</vt:lpstr>
      <vt:lpstr>markup3</vt:lpstr>
      <vt:lpstr>markup4</vt:lpstr>
      <vt:lpstr>markup5</vt:lpstr>
      <vt:lpstr>markup6</vt:lpstr>
      <vt:lpstr>markup7</vt:lpstr>
      <vt:lpstr>markup8</vt:lpstr>
      <vt:lpstr>minRanges</vt:lpstr>
      <vt:lpstr>numItems</vt:lpstr>
      <vt:lpstr>perColor1</vt:lpstr>
      <vt:lpstr>perColor2</vt:lpstr>
      <vt:lpstr>perColor3</vt:lpstr>
      <vt:lpstr>perColor4</vt:lpstr>
      <vt:lpstr>perColor5</vt:lpstr>
      <vt:lpstr>perColor6</vt:lpstr>
      <vt:lpstr>perColor7</vt:lpstr>
      <vt:lpstr>perColor8</vt:lpstr>
      <vt:lpstr>perScreen</vt:lpstr>
      <vt:lpstr>priceMatrix</vt:lpstr>
      <vt:lpstr>setupCharge</vt:lpstr>
      <vt:lpstr>Shipping_cost</vt:lpstr>
      <vt:lpstr>subTotal</vt:lpstr>
      <vt:lpstr>taxAmount</vt:lpstr>
      <vt:lpstr>taxRate</vt:lpstr>
      <vt:lpstr>total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Jones</dc:creator>
  <cp:lastModifiedBy>thanh</cp:lastModifiedBy>
  <dcterms:created xsi:type="dcterms:W3CDTF">2012-09-27T13:28:08Z</dcterms:created>
  <dcterms:modified xsi:type="dcterms:W3CDTF">2016-03-11T03:04:45Z</dcterms:modified>
</cp:coreProperties>
</file>