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-tuananguyen/Downloads/VPI/2025/BAN_KT/Code/source/data/formatted/excel/"/>
    </mc:Choice>
  </mc:AlternateContent>
  <xr:revisionPtr revIDLastSave="0" documentId="13_ncr:1_{AEF2A263-882E-CF4D-BFD5-F24D4BEF3A2A}" xr6:coauthVersionLast="47" xr6:coauthVersionMax="47" xr10:uidLastSave="{00000000-0000-0000-0000-000000000000}"/>
  <bookViews>
    <workbookView xWindow="0" yWindow="500" windowWidth="51200" windowHeight="27280" xr2:uid="{857D51C2-383A-C84D-B4E3-FB6029DCC9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84" i="1" l="1"/>
  <c r="Z184" i="1"/>
  <c r="M184" i="1"/>
  <c r="L184" i="1"/>
  <c r="B184" i="1"/>
  <c r="AD183" i="1"/>
  <c r="Z183" i="1"/>
  <c r="U183" i="1"/>
  <c r="M183" i="1"/>
  <c r="L183" i="1"/>
  <c r="B183" i="1"/>
  <c r="AD182" i="1"/>
  <c r="Z182" i="1"/>
  <c r="U182" i="1"/>
  <c r="M182" i="1"/>
  <c r="L182" i="1"/>
  <c r="B182" i="1"/>
  <c r="AD181" i="1"/>
  <c r="Z181" i="1"/>
  <c r="U181" i="1"/>
  <c r="M181" i="1"/>
  <c r="L181" i="1"/>
  <c r="B181" i="1"/>
  <c r="AD180" i="1"/>
  <c r="Z180" i="1"/>
  <c r="U180" i="1"/>
  <c r="M180" i="1"/>
  <c r="L180" i="1"/>
  <c r="B180" i="1"/>
  <c r="AD179" i="1"/>
  <c r="Z179" i="1"/>
  <c r="U179" i="1"/>
  <c r="M179" i="1"/>
  <c r="L179" i="1"/>
  <c r="B179" i="1"/>
  <c r="AD178" i="1"/>
  <c r="Z178" i="1"/>
  <c r="U178" i="1"/>
  <c r="M178" i="1"/>
  <c r="L178" i="1"/>
  <c r="B178" i="1"/>
  <c r="AD177" i="1"/>
  <c r="Z177" i="1"/>
  <c r="U177" i="1"/>
  <c r="M177" i="1"/>
  <c r="L177" i="1"/>
  <c r="B177" i="1"/>
  <c r="AD176" i="1"/>
  <c r="Z176" i="1"/>
  <c r="U176" i="1"/>
  <c r="L176" i="1"/>
  <c r="B176" i="1"/>
  <c r="AD175" i="1"/>
  <c r="Z175" i="1"/>
  <c r="U175" i="1"/>
  <c r="B175" i="1"/>
  <c r="AD174" i="1"/>
  <c r="Z174" i="1"/>
  <c r="U174" i="1"/>
  <c r="B174" i="1"/>
  <c r="AD173" i="1"/>
  <c r="Z173" i="1"/>
  <c r="U173" i="1"/>
  <c r="AD172" i="1"/>
  <c r="Z172" i="1"/>
  <c r="U172" i="1"/>
  <c r="M172" i="1"/>
  <c r="L172" i="1"/>
  <c r="B172" i="1"/>
  <c r="AD171" i="1"/>
  <c r="Z171" i="1"/>
  <c r="U171" i="1"/>
  <c r="M171" i="1"/>
  <c r="L171" i="1"/>
  <c r="B171" i="1"/>
  <c r="AD170" i="1"/>
  <c r="Z170" i="1"/>
  <c r="U170" i="1"/>
  <c r="B170" i="1"/>
  <c r="AD169" i="1"/>
  <c r="Z169" i="1"/>
  <c r="U169" i="1"/>
  <c r="B169" i="1"/>
  <c r="AD168" i="1"/>
  <c r="Z168" i="1"/>
  <c r="U168" i="1"/>
  <c r="M168" i="1"/>
  <c r="L168" i="1"/>
  <c r="B168" i="1"/>
  <c r="AD167" i="1"/>
  <c r="Z167" i="1"/>
  <c r="U167" i="1"/>
  <c r="M167" i="1"/>
  <c r="B167" i="1"/>
  <c r="AD166" i="1"/>
  <c r="Z166" i="1"/>
  <c r="U166" i="1"/>
  <c r="M166" i="1"/>
  <c r="B166" i="1"/>
  <c r="AD165" i="1"/>
  <c r="Z165" i="1"/>
  <c r="M165" i="1"/>
  <c r="L165" i="1"/>
  <c r="B165" i="1"/>
  <c r="AD164" i="1"/>
  <c r="Z164" i="1"/>
  <c r="U164" i="1"/>
  <c r="M164" i="1"/>
  <c r="L164" i="1"/>
  <c r="B164" i="1"/>
  <c r="AD163" i="1"/>
  <c r="Z163" i="1"/>
  <c r="U163" i="1"/>
  <c r="B163" i="1"/>
  <c r="AD162" i="1"/>
  <c r="Z162" i="1"/>
  <c r="U162" i="1"/>
  <c r="M162" i="1"/>
  <c r="L162" i="1"/>
  <c r="B162" i="1"/>
  <c r="AD161" i="1"/>
  <c r="Z161" i="1"/>
  <c r="U161" i="1"/>
  <c r="B161" i="1"/>
  <c r="AD160" i="1"/>
  <c r="Z160" i="1"/>
  <c r="U160" i="1"/>
  <c r="B160" i="1"/>
  <c r="AD159" i="1"/>
  <c r="Z159" i="1"/>
  <c r="U159" i="1"/>
  <c r="B159" i="1"/>
  <c r="AD158" i="1"/>
  <c r="Z158" i="1"/>
  <c r="U158" i="1"/>
  <c r="M158" i="1"/>
  <c r="L158" i="1"/>
  <c r="B158" i="1"/>
  <c r="AD157" i="1"/>
  <c r="Z157" i="1"/>
  <c r="U157" i="1"/>
  <c r="M157" i="1"/>
  <c r="L157" i="1"/>
  <c r="B157" i="1"/>
  <c r="AD156" i="1"/>
  <c r="Z156" i="1"/>
  <c r="U156" i="1"/>
  <c r="M156" i="1"/>
  <c r="L156" i="1"/>
  <c r="B156" i="1"/>
  <c r="AD155" i="1"/>
  <c r="Z155" i="1"/>
  <c r="U155" i="1"/>
  <c r="M155" i="1"/>
  <c r="L155" i="1"/>
  <c r="B155" i="1"/>
  <c r="AD154" i="1"/>
  <c r="Z154" i="1"/>
  <c r="U154" i="1"/>
  <c r="M154" i="1"/>
  <c r="L154" i="1"/>
  <c r="B154" i="1"/>
  <c r="AD122" i="1"/>
  <c r="Z122" i="1"/>
  <c r="U122" i="1"/>
  <c r="B122" i="1"/>
  <c r="AD121" i="1"/>
  <c r="Z121" i="1"/>
  <c r="U121" i="1"/>
  <c r="B121" i="1"/>
  <c r="Z120" i="1"/>
  <c r="U120" i="1"/>
  <c r="B120" i="1"/>
  <c r="Z119" i="1"/>
  <c r="U119" i="1"/>
  <c r="M119" i="1"/>
  <c r="L119" i="1"/>
  <c r="B119" i="1"/>
  <c r="Z118" i="1"/>
  <c r="U118" i="1"/>
  <c r="M118" i="1"/>
  <c r="L118" i="1"/>
  <c r="B118" i="1"/>
  <c r="Z117" i="1"/>
  <c r="U117" i="1"/>
  <c r="B117" i="1"/>
  <c r="Z116" i="1"/>
  <c r="U116" i="1"/>
  <c r="M116" i="1"/>
  <c r="L116" i="1"/>
  <c r="B116" i="1"/>
  <c r="Z115" i="1"/>
  <c r="U115" i="1"/>
  <c r="M115" i="1"/>
  <c r="L115" i="1"/>
  <c r="B115" i="1"/>
  <c r="Z114" i="1"/>
  <c r="U114" i="1"/>
  <c r="B114" i="1"/>
  <c r="Z113" i="1"/>
  <c r="U113" i="1"/>
  <c r="B113" i="1"/>
  <c r="Z112" i="1"/>
  <c r="U112" i="1"/>
  <c r="M112" i="1"/>
  <c r="L112" i="1"/>
  <c r="B112" i="1"/>
  <c r="Z111" i="1"/>
  <c r="U111" i="1"/>
  <c r="M111" i="1"/>
  <c r="L111" i="1"/>
  <c r="B111" i="1"/>
  <c r="Z110" i="1"/>
  <c r="U110" i="1"/>
  <c r="M110" i="1"/>
  <c r="L110" i="1"/>
  <c r="B110" i="1"/>
  <c r="Z109" i="1"/>
  <c r="U109" i="1"/>
  <c r="M109" i="1"/>
  <c r="L109" i="1"/>
  <c r="B109" i="1"/>
  <c r="B105" i="1"/>
  <c r="AD92" i="1"/>
  <c r="Z92" i="1"/>
  <c r="U92" i="1"/>
  <c r="M92" i="1"/>
  <c r="B92" i="1"/>
  <c r="AD91" i="1"/>
  <c r="Z91" i="1"/>
  <c r="U91" i="1"/>
  <c r="M91" i="1"/>
  <c r="B91" i="1"/>
  <c r="AD90" i="1"/>
  <c r="Z90" i="1"/>
  <c r="U90" i="1"/>
  <c r="M90" i="1"/>
  <c r="B90" i="1"/>
  <c r="AD89" i="1"/>
  <c r="Z89" i="1"/>
  <c r="U89" i="1"/>
  <c r="M89" i="1"/>
  <c r="B89" i="1"/>
  <c r="Z88" i="1"/>
  <c r="U88" i="1"/>
  <c r="Z87" i="1"/>
  <c r="U87" i="1"/>
  <c r="Z86" i="1"/>
  <c r="U86" i="1"/>
  <c r="Z85" i="1"/>
  <c r="U85" i="1"/>
  <c r="M85" i="1"/>
  <c r="L85" i="1"/>
  <c r="Z84" i="1"/>
  <c r="U84" i="1"/>
  <c r="M84" i="1"/>
  <c r="L84" i="1"/>
  <c r="Z83" i="1"/>
  <c r="U83" i="1"/>
  <c r="M83" i="1"/>
  <c r="L83" i="1"/>
  <c r="Z82" i="1"/>
  <c r="U82" i="1"/>
  <c r="M82" i="1"/>
  <c r="L82" i="1"/>
  <c r="Z81" i="1"/>
  <c r="U81" i="1"/>
  <c r="M81" i="1"/>
  <c r="L81" i="1"/>
  <c r="Z80" i="1"/>
  <c r="U80" i="1"/>
  <c r="M80" i="1"/>
  <c r="L80" i="1"/>
  <c r="Z79" i="1"/>
  <c r="U79" i="1"/>
  <c r="M79" i="1"/>
  <c r="L79" i="1"/>
  <c r="Z78" i="1"/>
  <c r="U78" i="1"/>
  <c r="M78" i="1"/>
  <c r="Z77" i="1"/>
  <c r="U77" i="1"/>
  <c r="M77" i="1"/>
  <c r="L77" i="1"/>
  <c r="Z76" i="1"/>
  <c r="U76" i="1"/>
  <c r="M76" i="1"/>
  <c r="L76" i="1"/>
  <c r="Z75" i="1"/>
  <c r="U75" i="1"/>
  <c r="M75" i="1"/>
  <c r="L75" i="1"/>
  <c r="Z74" i="1"/>
  <c r="U74" i="1"/>
  <c r="M74" i="1"/>
  <c r="L74" i="1"/>
  <c r="Z73" i="1"/>
  <c r="U73" i="1"/>
  <c r="M73" i="1"/>
  <c r="L73" i="1"/>
  <c r="Z72" i="1"/>
  <c r="U72" i="1"/>
  <c r="M72" i="1"/>
  <c r="L72" i="1"/>
  <c r="Z71" i="1"/>
  <c r="U71" i="1"/>
  <c r="Z70" i="1"/>
  <c r="U70" i="1"/>
  <c r="M70" i="1"/>
  <c r="L70" i="1"/>
  <c r="Z69" i="1"/>
  <c r="U69" i="1"/>
  <c r="M69" i="1"/>
  <c r="L69" i="1"/>
  <c r="Z68" i="1"/>
  <c r="U68" i="1"/>
  <c r="M68" i="1"/>
  <c r="L68" i="1"/>
  <c r="Z67" i="1"/>
  <c r="U67" i="1"/>
  <c r="M67" i="1"/>
  <c r="L67" i="1"/>
  <c r="Z66" i="1"/>
  <c r="U66" i="1"/>
  <c r="M66" i="1"/>
  <c r="L66" i="1"/>
  <c r="Z65" i="1"/>
  <c r="U65" i="1"/>
  <c r="Z64" i="1"/>
  <c r="U64" i="1"/>
  <c r="Z63" i="1"/>
  <c r="U63" i="1"/>
  <c r="M63" i="1"/>
  <c r="L63" i="1"/>
  <c r="Z62" i="1"/>
  <c r="U62" i="1"/>
  <c r="M62" i="1"/>
  <c r="L62" i="1"/>
  <c r="AE61" i="1"/>
  <c r="AD61" i="1"/>
  <c r="Z61" i="1"/>
  <c r="U61" i="1"/>
  <c r="M61" i="1"/>
  <c r="AE60" i="1"/>
  <c r="AD60" i="1"/>
  <c r="Z60" i="1"/>
  <c r="U60" i="1"/>
  <c r="M60" i="1"/>
  <c r="AE59" i="1"/>
  <c r="AD59" i="1"/>
  <c r="Z59" i="1"/>
  <c r="U59" i="1"/>
  <c r="M59" i="1"/>
  <c r="L59" i="1"/>
  <c r="AE58" i="1"/>
  <c r="AD58" i="1"/>
  <c r="Z58" i="1"/>
  <c r="U58" i="1"/>
  <c r="M58" i="1"/>
  <c r="L58" i="1"/>
  <c r="AE57" i="1"/>
  <c r="AD57" i="1"/>
  <c r="Z57" i="1"/>
  <c r="U57" i="1"/>
  <c r="M57" i="1"/>
  <c r="L57" i="1"/>
  <c r="AE56" i="1"/>
  <c r="AD56" i="1"/>
  <c r="Z56" i="1"/>
  <c r="U56" i="1"/>
  <c r="AE55" i="1"/>
  <c r="AD55" i="1"/>
  <c r="Z55" i="1"/>
  <c r="U55" i="1"/>
  <c r="AE54" i="1"/>
  <c r="AD54" i="1"/>
  <c r="Z54" i="1"/>
  <c r="U54" i="1"/>
  <c r="AE53" i="1"/>
  <c r="AD53" i="1"/>
  <c r="Z53" i="1"/>
  <c r="U53" i="1"/>
  <c r="M53" i="1"/>
  <c r="AE52" i="1"/>
  <c r="AD52" i="1"/>
  <c r="Z52" i="1"/>
  <c r="U52" i="1"/>
  <c r="AE51" i="1"/>
  <c r="AD51" i="1"/>
  <c r="Z51" i="1"/>
  <c r="U51" i="1"/>
  <c r="M51" i="1"/>
  <c r="L51" i="1"/>
  <c r="AE50" i="1"/>
  <c r="AD50" i="1"/>
  <c r="Z50" i="1"/>
  <c r="U50" i="1"/>
  <c r="M50" i="1"/>
  <c r="L50" i="1"/>
  <c r="AE49" i="1"/>
  <c r="AD49" i="1"/>
  <c r="Z49" i="1"/>
  <c r="U49" i="1"/>
  <c r="M49" i="1"/>
  <c r="L49" i="1"/>
  <c r="AE48" i="1"/>
  <c r="AD48" i="1"/>
  <c r="Z48" i="1"/>
  <c r="U48" i="1"/>
  <c r="M48" i="1"/>
  <c r="L48" i="1"/>
  <c r="AE47" i="1"/>
  <c r="AD47" i="1"/>
  <c r="Z47" i="1"/>
  <c r="U47" i="1"/>
  <c r="M47" i="1"/>
  <c r="L47" i="1"/>
  <c r="AE46" i="1"/>
  <c r="AD46" i="1"/>
  <c r="Z46" i="1"/>
  <c r="U46" i="1"/>
  <c r="M46" i="1"/>
  <c r="L46" i="1"/>
  <c r="AE45" i="1"/>
  <c r="AD45" i="1"/>
  <c r="Z45" i="1"/>
  <c r="U45" i="1"/>
  <c r="M45" i="1"/>
  <c r="L45" i="1"/>
  <c r="AE44" i="1"/>
  <c r="AD44" i="1"/>
  <c r="Z44" i="1"/>
  <c r="U44" i="1"/>
  <c r="M44" i="1"/>
  <c r="L44" i="1"/>
  <c r="AE43" i="1"/>
  <c r="AD43" i="1"/>
  <c r="Z43" i="1"/>
  <c r="U43" i="1"/>
  <c r="M43" i="1"/>
  <c r="L43" i="1"/>
  <c r="AE42" i="1"/>
  <c r="AD42" i="1"/>
  <c r="Z42" i="1"/>
  <c r="U42" i="1"/>
  <c r="M42" i="1"/>
  <c r="L42" i="1"/>
  <c r="AE41" i="1"/>
  <c r="AD41" i="1"/>
  <c r="Z41" i="1"/>
  <c r="U41" i="1"/>
  <c r="M41" i="1"/>
  <c r="AE40" i="1"/>
  <c r="AD40" i="1"/>
  <c r="Z40" i="1"/>
  <c r="U40" i="1"/>
  <c r="M40" i="1"/>
  <c r="AE39" i="1"/>
  <c r="AD39" i="1"/>
  <c r="Z39" i="1"/>
  <c r="U39" i="1"/>
  <c r="M39" i="1"/>
  <c r="L39" i="1"/>
  <c r="AE38" i="1"/>
  <c r="AD38" i="1"/>
  <c r="Z38" i="1"/>
  <c r="U38" i="1"/>
  <c r="M38" i="1"/>
  <c r="L38" i="1"/>
  <c r="AE37" i="1"/>
  <c r="AD37" i="1"/>
  <c r="Z37" i="1"/>
  <c r="U37" i="1"/>
  <c r="M37" i="1"/>
  <c r="L37" i="1"/>
  <c r="AE36" i="1"/>
  <c r="AD36" i="1"/>
  <c r="Z36" i="1"/>
  <c r="U36" i="1"/>
  <c r="AE35" i="1"/>
  <c r="AD35" i="1"/>
  <c r="U35" i="1"/>
  <c r="AE34" i="1"/>
  <c r="U34" i="1"/>
  <c r="U33" i="1"/>
  <c r="B33" i="1"/>
  <c r="U32" i="1"/>
  <c r="B32" i="1"/>
  <c r="U31" i="1"/>
  <c r="B31" i="1"/>
  <c r="U30" i="1"/>
  <c r="B30" i="1"/>
  <c r="U29" i="1"/>
  <c r="B29" i="1"/>
  <c r="U28" i="1"/>
  <c r="B28" i="1"/>
  <c r="B27" i="1"/>
  <c r="B26" i="1"/>
  <c r="M25" i="1"/>
  <c r="L25" i="1"/>
  <c r="B25" i="1"/>
  <c r="M24" i="1"/>
  <c r="L24" i="1"/>
  <c r="B24" i="1"/>
  <c r="B23" i="1"/>
  <c r="B22" i="1"/>
  <c r="L21" i="1"/>
  <c r="B21" i="1"/>
  <c r="L20" i="1"/>
  <c r="B20" i="1"/>
  <c r="L19" i="1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Huu Khang</author>
    <author>Pham Hong Son</author>
  </authors>
  <commentList>
    <comment ref="O1" authorId="0" shapeId="0" xr:uid="{2A07517E-C2E0-E440-82E5-EF14455DDFAF}">
      <text>
        <r>
          <rPr>
            <b/>
            <sz val="8"/>
            <color rgb="FF000000"/>
            <rFont val="Tahoma"/>
            <family val="2"/>
          </rPr>
          <t>Nguyen Huu Khang: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Chỉ tính phía VN (50%)
</t>
        </r>
      </text>
    </comment>
    <comment ref="U1" authorId="0" shapeId="0" xr:uid="{D3FC5E5B-CC93-EE45-98C6-A0ABBE229317}">
      <text>
        <r>
          <rPr>
            <b/>
            <sz val="8"/>
            <color indexed="8"/>
            <rFont val="Tahoma"/>
            <family val="2"/>
            <charset val="204"/>
          </rPr>
          <t>Nguyen Huu Khang:</t>
        </r>
        <r>
          <rPr>
            <sz val="8"/>
            <color indexed="8"/>
            <rFont val="Tahoma"/>
            <family val="2"/>
            <charset val="204"/>
          </rPr>
          <t xml:space="preserve">
</t>
        </r>
        <r>
          <rPr>
            <sz val="8"/>
            <color indexed="8"/>
            <rFont val="Tahoma"/>
            <family val="2"/>
            <charset val="204"/>
          </rPr>
          <t>Convert từ m3 sang thùng: 6.2898107704</t>
        </r>
      </text>
    </comment>
    <comment ref="AD1" authorId="0" shapeId="0" xr:uid="{06F94332-EE19-284B-BEAF-71B395E7CEAC}">
      <text>
        <r>
          <rPr>
            <b/>
            <sz val="8"/>
            <color rgb="FF000000"/>
            <rFont val="Tahoma"/>
            <family val="2"/>
          </rPr>
          <t>Nguyen Huu Khang: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Chỉ tính phía VN (49%)</t>
        </r>
      </text>
    </comment>
    <comment ref="AF1" authorId="1" shapeId="0" xr:uid="{7BAD3DDA-5AAB-D947-B5C9-EFB3776EE738}">
      <text>
        <r>
          <rPr>
            <b/>
            <sz val="9"/>
            <color indexed="81"/>
            <rFont val="Tahoma"/>
            <family val="2"/>
          </rPr>
          <t>Pham Hong Son:</t>
        </r>
        <r>
          <rPr>
            <sz val="9"/>
            <color indexed="81"/>
            <rFont val="Tahoma"/>
            <family val="2"/>
          </rPr>
          <t xml:space="preserve">
*0.4
</t>
        </r>
      </text>
    </comment>
  </commentList>
</comments>
</file>

<file path=xl/sharedStrings.xml><?xml version="1.0" encoding="utf-8"?>
<sst xmlns="http://schemas.openxmlformats.org/spreadsheetml/2006/main" count="64" uniqueCount="63">
  <si>
    <t>DATE</t>
  </si>
  <si>
    <t>Bach Ho
Crude oil (T)</t>
  </si>
  <si>
    <t>Rong
(T)</t>
  </si>
  <si>
    <t>Gau Trang
(T)</t>
  </si>
  <si>
    <t>Tho Trang
(T)</t>
  </si>
  <si>
    <t>Nam Rong
VSP (T)</t>
  </si>
  <si>
    <t>Doi Moi
VRJ (T)</t>
  </si>
  <si>
    <t>Su Tu Den
(bbls)</t>
  </si>
  <si>
    <t>Su Tu Vang
(bbls)</t>
  </si>
  <si>
    <t>Su Tu Den ĐB
(bbls)</t>
  </si>
  <si>
    <t>Su Tu Trang
(bbls)</t>
  </si>
  <si>
    <t>Su Tu Nau 
(bbls)</t>
  </si>
  <si>
    <t>Rang Dong
(bbls)</t>
  </si>
  <si>
    <t>Phương Dong
(bbls)</t>
  </si>
  <si>
    <t>PM3CAA
(bbls)</t>
  </si>
  <si>
    <t>Block 46CN
(bbls)</t>
  </si>
  <si>
    <t>Ruby
(bbls)</t>
  </si>
  <si>
    <t>Ca Ngu Vang
(bbls)</t>
  </si>
  <si>
    <t>Te Giac Trang
(bbls)</t>
  </si>
  <si>
    <t>Dai Hung
(bbls)</t>
  </si>
  <si>
    <t>Lan Tay
(bbls)</t>
  </si>
  <si>
    <t>RĐ-RĐT
(bbls)</t>
  </si>
  <si>
    <t>Chim Sao
(bbls)</t>
  </si>
  <si>
    <t>Hai Su Trang (bbls)</t>
  </si>
  <si>
    <t>Thang Long +Đông Đô    (bbls)</t>
  </si>
  <si>
    <t>Ca Tam (ton)</t>
  </si>
  <si>
    <t>Hai Thach-Mộc Tinh  (bbls)</t>
  </si>
  <si>
    <t>Cond. DC (Bể CL) &amp; GPP Ca Mau (T)</t>
  </si>
  <si>
    <t>Sao Vang    (bbl)</t>
  </si>
  <si>
    <t>Nhenhexky
(T)</t>
  </si>
  <si>
    <t>Thien Ung (ton) 1m3=0.75 ton</t>
  </si>
  <si>
    <t xml:space="preserve"> Algeria(bbls)</t>
  </si>
  <si>
    <t>BH</t>
  </si>
  <si>
    <t>R</t>
  </si>
  <si>
    <t>GT</t>
  </si>
  <si>
    <t>ThT</t>
  </si>
  <si>
    <t>NR</t>
  </si>
  <si>
    <t>DM</t>
  </si>
  <si>
    <t>STD</t>
  </si>
  <si>
    <t>STV</t>
  </si>
  <si>
    <t>STD-DB</t>
  </si>
  <si>
    <t>STT</t>
  </si>
  <si>
    <t>STN</t>
  </si>
  <si>
    <t>RangDong</t>
  </si>
  <si>
    <t>PhuongDong</t>
  </si>
  <si>
    <t>PM3CAA</t>
  </si>
  <si>
    <t>46CN</t>
  </si>
  <si>
    <t>Ruby</t>
  </si>
  <si>
    <t>CNV</t>
  </si>
  <si>
    <t>TGT</t>
  </si>
  <si>
    <t>DH</t>
  </si>
  <si>
    <t>LT</t>
  </si>
  <si>
    <t>RD-RDT</t>
  </si>
  <si>
    <t>CS</t>
  </si>
  <si>
    <t>HST</t>
  </si>
  <si>
    <t>TLDD</t>
  </si>
  <si>
    <t>CT</t>
  </si>
  <si>
    <t>HT-MT</t>
  </si>
  <si>
    <t>DC-GPP</t>
  </si>
  <si>
    <t>SV</t>
  </si>
  <si>
    <t>Nhenhexky</t>
  </si>
  <si>
    <t>ThienUng</t>
  </si>
  <si>
    <t>Algeria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</si>
</sst>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0.0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17"/>
      <name val="Arial"/>
      <family val="2"/>
      <charset val="204"/>
    </font>
    <font>
      <sz val="10"/>
      <name val="Arial"/>
      <family val="2"/>
    </font>
    <font>
      <b/>
      <sz val="9"/>
      <color indexed="17"/>
      <name val="Arial"/>
      <family val="2"/>
      <charset val="163"/>
    </font>
    <font>
      <sz val="10"/>
      <color indexed="10"/>
      <name val="Arial"/>
      <family val="2"/>
      <charset val="204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8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</cellStyleXfs>
  <cellXfs count="14">
    <xf numFmtId="0" fontId="0" fillId="0" borderId="0" xfId="0"/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3" fontId="2" fillId="4" borderId="3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2" xfId="1" applyNumberFormat="1" applyFont="1" applyFill="1" applyBorder="1" applyAlignment="1">
      <alignment horizontal="center" vertical="center" wrapText="1"/>
    </xf>
    <xf numFmtId="164" fontId="2" fillId="4" borderId="3" xfId="1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165" fontId="0" fillId="2" borderId="4" xfId="0" applyNumberFormat="1" applyFill="1" applyBorder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</cellXfs>
  <cellStyles count="10">
    <cellStyle name="Comma" xfId="1" builtinId="3"/>
    <cellStyle name="Comma 10 10" xfId="6" xr:uid="{1E57FDBF-8B06-EF49-89FF-10A7FD0E48F5}"/>
    <cellStyle name="Normal" xfId="0" builtinId="0"/>
    <cellStyle name="Normal 103" xfId="2" xr:uid="{62F1B734-EF6D-5D4C-8854-9A2D8B65B8AD}"/>
    <cellStyle name="Normal 104" xfId="3" xr:uid="{59FC3AB4-3FE5-0440-94B7-36BD81C66FF8}"/>
    <cellStyle name="Normal 105" xfId="4" xr:uid="{AF27A6C8-6BA6-F74E-82F7-9033DCF79DDF}"/>
    <cellStyle name="Normal 106" xfId="5" xr:uid="{A751E1C6-5A4A-2948-BE4E-B14575C80FA4}"/>
    <cellStyle name="Normal 107" xfId="9" xr:uid="{6A62C462-7C75-F74E-9C5C-E4A125F82211}"/>
    <cellStyle name="Normal 153" xfId="8" xr:uid="{90672985-F5EB-9640-838C-6E80E921FCAC}"/>
    <cellStyle name="Normal 22 2" xfId="7" xr:uid="{A6B3E316-C366-0C4D-9C2E-E26DF8D78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422D-35FB-FA43-A9C0-E53BA71E8E89}">
  <dimension ref="A1:AF184"/>
  <sheetViews>
    <sheetView tabSelected="1" workbookViewId="0">
      <selection activeCell="M9" sqref="M9"/>
    </sheetView>
  </sheetViews>
  <sheetFormatPr baseColWidth="10" defaultRowHeight="16" x14ac:dyDescent="0.2"/>
  <cols>
    <col min="1" max="1" width="9.83203125" bestFit="1" customWidth="1"/>
    <col min="2" max="3" width="11.6640625" bestFit="1" customWidth="1"/>
    <col min="4" max="7" width="10.6640625" bestFit="1" customWidth="1"/>
    <col min="8" max="8" width="12.6640625" bestFit="1" customWidth="1"/>
    <col min="9" max="10" width="11.6640625" bestFit="1" customWidth="1"/>
    <col min="11" max="11" width="12.6640625" bestFit="1" customWidth="1"/>
    <col min="12" max="13" width="11.6640625" bestFit="1" customWidth="1"/>
    <col min="14" max="14" width="11.5" bestFit="1" customWidth="1"/>
    <col min="15" max="15" width="12.6640625" bestFit="1" customWidth="1"/>
    <col min="16" max="16" width="10.6640625" bestFit="1" customWidth="1"/>
    <col min="17" max="18" width="11.6640625" bestFit="1" customWidth="1"/>
    <col min="19" max="20" width="12.6640625" bestFit="1" customWidth="1"/>
    <col min="21" max="22" width="10.6640625" bestFit="1" customWidth="1"/>
    <col min="23" max="23" width="12.6640625" bestFit="1" customWidth="1"/>
    <col min="24" max="25" width="11.6640625" bestFit="1" customWidth="1"/>
    <col min="26" max="26" width="10.6640625" bestFit="1" customWidth="1"/>
    <col min="27" max="27" width="11.6640625" bestFit="1" customWidth="1"/>
    <col min="28" max="28" width="10.6640625" bestFit="1" customWidth="1"/>
    <col min="29" max="29" width="12.6640625" bestFit="1" customWidth="1"/>
    <col min="30" max="30" width="11.6640625" bestFit="1" customWidth="1"/>
    <col min="31" max="31" width="10.5" bestFit="1" customWidth="1"/>
    <col min="32" max="32" width="11.6640625" bestFit="1" customWidth="1"/>
  </cols>
  <sheetData>
    <row r="1" spans="1:32" ht="52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10" t="s">
        <v>25</v>
      </c>
      <c r="AA1" s="7" t="s">
        <v>26</v>
      </c>
      <c r="AB1" s="6" t="s">
        <v>27</v>
      </c>
      <c r="AC1" s="9" t="s">
        <v>28</v>
      </c>
      <c r="AD1" s="9" t="s">
        <v>29</v>
      </c>
      <c r="AE1" s="9" t="s">
        <v>30</v>
      </c>
      <c r="AF1" s="9" t="s">
        <v>31</v>
      </c>
    </row>
    <row r="2" spans="1:32" x14ac:dyDescent="0.2">
      <c r="A2" t="s">
        <v>0</v>
      </c>
      <c r="B2" s="11" t="s">
        <v>32</v>
      </c>
      <c r="C2" s="11" t="s">
        <v>33</v>
      </c>
      <c r="D2" s="11" t="s">
        <v>34</v>
      </c>
      <c r="E2" s="11" t="s">
        <v>35</v>
      </c>
      <c r="F2" s="11" t="s">
        <v>36</v>
      </c>
      <c r="G2" s="11" t="s">
        <v>37</v>
      </c>
      <c r="H2" s="11" t="s">
        <v>38</v>
      </c>
      <c r="I2" s="11" t="s">
        <v>39</v>
      </c>
      <c r="J2" s="11" t="s">
        <v>40</v>
      </c>
      <c r="K2" s="11" t="s">
        <v>41</v>
      </c>
      <c r="L2" s="11" t="s">
        <v>42</v>
      </c>
      <c r="M2" s="11" t="s">
        <v>43</v>
      </c>
      <c r="N2" s="11" t="s">
        <v>44</v>
      </c>
      <c r="O2" s="11" t="s">
        <v>45</v>
      </c>
      <c r="P2" s="11" t="s">
        <v>46</v>
      </c>
      <c r="Q2" s="11" t="s">
        <v>47</v>
      </c>
      <c r="R2" s="11" t="s">
        <v>48</v>
      </c>
      <c r="S2" s="11" t="s">
        <v>49</v>
      </c>
      <c r="T2" s="11" t="s">
        <v>50</v>
      </c>
      <c r="U2" s="11" t="s">
        <v>51</v>
      </c>
      <c r="V2" s="11" t="s">
        <v>52</v>
      </c>
      <c r="W2" s="11" t="s">
        <v>53</v>
      </c>
      <c r="X2" s="11" t="s">
        <v>54</v>
      </c>
      <c r="Y2" s="11" t="s">
        <v>55</v>
      </c>
      <c r="Z2" s="11" t="s">
        <v>56</v>
      </c>
      <c r="AA2" s="11" t="s">
        <v>57</v>
      </c>
      <c r="AB2" s="11" t="s">
        <v>58</v>
      </c>
      <c r="AC2" s="11" t="s">
        <v>59</v>
      </c>
      <c r="AD2" s="11" t="s">
        <v>60</v>
      </c>
      <c r="AE2" s="11" t="s">
        <v>61</v>
      </c>
      <c r="AF2" s="11" t="s">
        <v>62</v>
      </c>
    </row>
    <row r="3" spans="1:32" x14ac:dyDescent="0.2">
      <c r="A3" s="12">
        <v>45658</v>
      </c>
      <c r="B3" s="13">
        <v>3505</v>
      </c>
      <c r="C3" s="13">
        <v>1001</v>
      </c>
      <c r="D3" s="13">
        <v>88</v>
      </c>
      <c r="E3" s="13">
        <v>153</v>
      </c>
      <c r="F3" s="13">
        <v>80</v>
      </c>
      <c r="G3" s="13">
        <v>80</v>
      </c>
      <c r="H3" s="13">
        <v>8170</v>
      </c>
      <c r="I3" s="13">
        <v>813</v>
      </c>
      <c r="J3" s="13">
        <v>2527</v>
      </c>
      <c r="K3" s="13">
        <v>13115</v>
      </c>
      <c r="L3" s="13">
        <v>3642</v>
      </c>
      <c r="M3" s="13">
        <v>8687</v>
      </c>
      <c r="N3" s="13">
        <v>413</v>
      </c>
      <c r="O3" s="13">
        <v>9801</v>
      </c>
      <c r="P3" s="13">
        <v>375</v>
      </c>
      <c r="Q3" s="13">
        <v>7129</v>
      </c>
      <c r="R3" s="13">
        <v>2457</v>
      </c>
      <c r="S3" s="13">
        <v>10929</v>
      </c>
      <c r="T3" s="13">
        <v>8461</v>
      </c>
      <c r="U3" s="13">
        <v>81.767399999999995</v>
      </c>
      <c r="V3" s="13">
        <v>741</v>
      </c>
      <c r="W3" s="13">
        <v>9053</v>
      </c>
      <c r="X3" s="13">
        <v>3931</v>
      </c>
      <c r="Y3" s="13">
        <v>3301</v>
      </c>
      <c r="Z3" s="13">
        <v>398</v>
      </c>
      <c r="AA3" s="13">
        <v>4156</v>
      </c>
      <c r="AB3" s="13">
        <v>165</v>
      </c>
      <c r="AC3" s="13">
        <v>8408</v>
      </c>
      <c r="AD3" s="13">
        <v>4010</v>
      </c>
      <c r="AE3" s="13">
        <v>27.869999999999997</v>
      </c>
      <c r="AF3" s="13">
        <v>6811</v>
      </c>
    </row>
    <row r="4" spans="1:32" x14ac:dyDescent="0.2">
      <c r="A4" s="12">
        <v>45659</v>
      </c>
      <c r="B4" s="13">
        <v>5799</v>
      </c>
      <c r="C4" s="13">
        <v>1403</v>
      </c>
      <c r="D4" s="13">
        <v>129</v>
      </c>
      <c r="E4" s="13">
        <v>234</v>
      </c>
      <c r="F4" s="13">
        <v>114</v>
      </c>
      <c r="G4" s="13">
        <v>130</v>
      </c>
      <c r="H4" s="13">
        <v>8223</v>
      </c>
      <c r="I4" s="13">
        <v>669</v>
      </c>
      <c r="J4" s="13">
        <v>2094</v>
      </c>
      <c r="K4" s="13">
        <v>12781</v>
      </c>
      <c r="L4" s="13">
        <v>3564</v>
      </c>
      <c r="M4" s="13">
        <v>8638</v>
      </c>
      <c r="N4" s="13">
        <v>364</v>
      </c>
      <c r="O4" s="13">
        <v>9851</v>
      </c>
      <c r="P4" s="13">
        <v>343</v>
      </c>
      <c r="Q4" s="13">
        <v>7434</v>
      </c>
      <c r="R4" s="13">
        <v>2547</v>
      </c>
      <c r="S4" s="13">
        <v>10808</v>
      </c>
      <c r="T4" s="13">
        <v>8233</v>
      </c>
      <c r="U4" s="13">
        <v>50.318399999999997</v>
      </c>
      <c r="V4" s="13">
        <v>769</v>
      </c>
      <c r="W4" s="13">
        <v>9040</v>
      </c>
      <c r="X4" s="13">
        <v>4037</v>
      </c>
      <c r="Y4" s="13">
        <v>2942</v>
      </c>
      <c r="Z4" s="13">
        <v>398</v>
      </c>
      <c r="AA4" s="13">
        <v>2867</v>
      </c>
      <c r="AB4" s="13">
        <v>165</v>
      </c>
      <c r="AC4" s="13">
        <v>7522</v>
      </c>
      <c r="AD4" s="13">
        <v>4010</v>
      </c>
      <c r="AE4" s="13">
        <v>41.085000000000001</v>
      </c>
      <c r="AF4" s="13">
        <v>7208</v>
      </c>
    </row>
    <row r="5" spans="1:32" x14ac:dyDescent="0.2">
      <c r="A5" s="12">
        <v>45660</v>
      </c>
      <c r="B5" s="13">
        <v>5793</v>
      </c>
      <c r="C5" s="13">
        <v>1446</v>
      </c>
      <c r="D5" s="13">
        <v>127</v>
      </c>
      <c r="E5" s="13">
        <v>228</v>
      </c>
      <c r="F5" s="13">
        <v>116</v>
      </c>
      <c r="G5" s="13">
        <v>130</v>
      </c>
      <c r="H5" s="13">
        <v>7713.2020000000002</v>
      </c>
      <c r="I5" s="13">
        <v>637.553</v>
      </c>
      <c r="J5" s="13">
        <v>1963.9580000000001</v>
      </c>
      <c r="K5" s="13">
        <v>12395</v>
      </c>
      <c r="L5" s="13">
        <v>3608.2687833599998</v>
      </c>
      <c r="M5" s="13">
        <v>8638</v>
      </c>
      <c r="N5" s="13">
        <v>364</v>
      </c>
      <c r="O5" s="13">
        <v>8954</v>
      </c>
      <c r="P5" s="13">
        <v>338</v>
      </c>
      <c r="Q5" s="13">
        <v>7429</v>
      </c>
      <c r="R5" s="13">
        <v>2799</v>
      </c>
      <c r="S5" s="13">
        <v>10989</v>
      </c>
      <c r="T5" s="13">
        <v>8008</v>
      </c>
      <c r="U5" s="13">
        <v>106.92659999999999</v>
      </c>
      <c r="V5" s="13">
        <v>831</v>
      </c>
      <c r="W5" s="13">
        <v>8993</v>
      </c>
      <c r="X5" s="13">
        <v>3692</v>
      </c>
      <c r="Y5" s="13">
        <v>2942</v>
      </c>
      <c r="Z5" s="13">
        <v>398</v>
      </c>
      <c r="AA5" s="13">
        <v>3161</v>
      </c>
      <c r="AB5" s="13">
        <v>165</v>
      </c>
      <c r="AC5" s="13">
        <v>9579</v>
      </c>
      <c r="AD5" s="13">
        <v>4010</v>
      </c>
      <c r="AE5" s="13">
        <v>39.877499999999998</v>
      </c>
      <c r="AF5" s="13">
        <v>6841</v>
      </c>
    </row>
    <row r="6" spans="1:32" x14ac:dyDescent="0.2">
      <c r="A6" s="12">
        <v>45661</v>
      </c>
      <c r="B6" s="13">
        <v>5833</v>
      </c>
      <c r="C6" s="13">
        <v>1456</v>
      </c>
      <c r="D6" s="13">
        <v>128</v>
      </c>
      <c r="E6" s="13">
        <v>230</v>
      </c>
      <c r="F6" s="13">
        <v>123</v>
      </c>
      <c r="G6" s="13">
        <v>130</v>
      </c>
      <c r="H6" s="13">
        <v>7813.491</v>
      </c>
      <c r="I6" s="13">
        <v>419.476</v>
      </c>
      <c r="J6" s="13">
        <v>1099.5730000000001</v>
      </c>
      <c r="K6" s="13">
        <v>12988</v>
      </c>
      <c r="L6" s="13">
        <v>3530.3133600400001</v>
      </c>
      <c r="M6" s="13">
        <v>8545</v>
      </c>
      <c r="N6" s="13">
        <v>334</v>
      </c>
      <c r="O6" s="13">
        <v>8842</v>
      </c>
      <c r="P6" s="13">
        <v>349</v>
      </c>
      <c r="Q6" s="13">
        <v>7458</v>
      </c>
      <c r="R6" s="13">
        <v>2847</v>
      </c>
      <c r="S6" s="13">
        <v>11031</v>
      </c>
      <c r="T6" s="13">
        <v>8016</v>
      </c>
      <c r="U6" s="13">
        <v>106.92659999999999</v>
      </c>
      <c r="V6" s="13">
        <v>829</v>
      </c>
      <c r="W6" s="13">
        <v>8985</v>
      </c>
      <c r="X6" s="13">
        <v>3985</v>
      </c>
      <c r="Y6" s="13">
        <v>2942</v>
      </c>
      <c r="Z6" s="13">
        <v>398</v>
      </c>
      <c r="AA6" s="13">
        <v>3077</v>
      </c>
      <c r="AB6" s="13">
        <v>165</v>
      </c>
      <c r="AC6" s="13">
        <v>9609</v>
      </c>
      <c r="AD6" s="13">
        <v>4010</v>
      </c>
      <c r="AE6" s="13">
        <v>40.462500000000006</v>
      </c>
      <c r="AF6" s="13">
        <v>6992</v>
      </c>
    </row>
    <row r="7" spans="1:32" x14ac:dyDescent="0.2">
      <c r="A7" s="12">
        <v>45662</v>
      </c>
      <c r="B7" s="13">
        <v>5749</v>
      </c>
      <c r="C7" s="13">
        <v>1439</v>
      </c>
      <c r="D7" s="13">
        <v>124</v>
      </c>
      <c r="E7" s="13">
        <v>215</v>
      </c>
      <c r="F7" s="13">
        <v>117</v>
      </c>
      <c r="G7" s="13">
        <v>130</v>
      </c>
      <c r="H7" s="13">
        <v>7747.9070000000002</v>
      </c>
      <c r="I7" s="13">
        <v>489.68400000000003</v>
      </c>
      <c r="J7" s="13">
        <v>1331.0170000000001</v>
      </c>
      <c r="K7" s="13">
        <v>12503</v>
      </c>
      <c r="L7" s="13">
        <v>3689.6099791199999</v>
      </c>
      <c r="M7" s="13">
        <v>8485</v>
      </c>
      <c r="N7" s="13">
        <v>318</v>
      </c>
      <c r="O7" s="13">
        <v>9424</v>
      </c>
      <c r="P7" s="13">
        <v>352</v>
      </c>
      <c r="Q7" s="13">
        <v>7480</v>
      </c>
      <c r="R7" s="13">
        <v>2889</v>
      </c>
      <c r="S7" s="13">
        <v>10882</v>
      </c>
      <c r="T7" s="13">
        <v>7852</v>
      </c>
      <c r="U7" s="13">
        <v>81.767399999999995</v>
      </c>
      <c r="V7" s="13">
        <v>809</v>
      </c>
      <c r="W7" s="13">
        <v>8957</v>
      </c>
      <c r="X7" s="13">
        <v>3826</v>
      </c>
      <c r="Y7" s="13">
        <v>2945</v>
      </c>
      <c r="Z7" s="13">
        <v>398</v>
      </c>
      <c r="AA7" s="13">
        <v>3527</v>
      </c>
      <c r="AB7" s="13">
        <v>165</v>
      </c>
      <c r="AC7" s="13">
        <v>9552</v>
      </c>
      <c r="AD7" s="13">
        <v>4010</v>
      </c>
      <c r="AE7" s="13">
        <v>40.3125</v>
      </c>
      <c r="AF7" s="13">
        <v>6745</v>
      </c>
    </row>
    <row r="8" spans="1:32" x14ac:dyDescent="0.2">
      <c r="A8" s="12">
        <v>45663</v>
      </c>
      <c r="B8" s="13">
        <v>5743</v>
      </c>
      <c r="C8" s="13">
        <v>1419</v>
      </c>
      <c r="D8" s="13">
        <v>128</v>
      </c>
      <c r="E8" s="13">
        <v>226</v>
      </c>
      <c r="F8" s="13">
        <v>111</v>
      </c>
      <c r="G8" s="13">
        <v>130</v>
      </c>
      <c r="H8" s="13">
        <v>7660.3040000000001</v>
      </c>
      <c r="I8" s="13">
        <v>469.47399999999999</v>
      </c>
      <c r="J8" s="13">
        <v>1191.646</v>
      </c>
      <c r="K8" s="13">
        <v>12496</v>
      </c>
      <c r="L8" s="13">
        <v>3593</v>
      </c>
      <c r="M8" s="13">
        <v>8497</v>
      </c>
      <c r="N8" s="13">
        <v>319</v>
      </c>
      <c r="O8" s="13">
        <v>9646</v>
      </c>
      <c r="P8" s="13">
        <v>349</v>
      </c>
      <c r="Q8" s="13">
        <v>7486</v>
      </c>
      <c r="R8" s="13">
        <v>2943</v>
      </c>
      <c r="S8" s="13">
        <v>10332</v>
      </c>
      <c r="T8" s="13">
        <v>7856</v>
      </c>
      <c r="U8" s="13">
        <v>81.767399999999995</v>
      </c>
      <c r="V8" s="13">
        <v>811</v>
      </c>
      <c r="W8" s="13">
        <v>8961</v>
      </c>
      <c r="X8" s="13">
        <v>4082</v>
      </c>
      <c r="Y8" s="13">
        <v>2944</v>
      </c>
      <c r="Z8" s="13">
        <v>398</v>
      </c>
      <c r="AA8" s="13">
        <v>3971</v>
      </c>
      <c r="AB8" s="13">
        <v>165</v>
      </c>
      <c r="AC8" s="13">
        <v>8703</v>
      </c>
      <c r="AD8" s="13">
        <v>4010</v>
      </c>
      <c r="AE8" s="13">
        <v>39.952500000000001</v>
      </c>
      <c r="AF8" s="13">
        <v>6782</v>
      </c>
    </row>
    <row r="9" spans="1:32" x14ac:dyDescent="0.2">
      <c r="A9" s="12">
        <v>45664</v>
      </c>
      <c r="B9" s="13">
        <v>5600</v>
      </c>
      <c r="C9" s="13">
        <v>1433</v>
      </c>
      <c r="D9" s="13">
        <v>128</v>
      </c>
      <c r="E9" s="13">
        <v>223</v>
      </c>
      <c r="F9" s="13">
        <v>116</v>
      </c>
      <c r="G9" s="13">
        <v>130</v>
      </c>
      <c r="H9" s="13">
        <v>7947.3829999999998</v>
      </c>
      <c r="I9" s="13">
        <v>577.68200000000002</v>
      </c>
      <c r="J9" s="13">
        <v>1591.114</v>
      </c>
      <c r="K9" s="13">
        <v>6708</v>
      </c>
      <c r="L9" s="13">
        <v>3646.4386847599999</v>
      </c>
      <c r="M9" s="13">
        <v>8516</v>
      </c>
      <c r="N9" s="13">
        <v>320</v>
      </c>
      <c r="O9" s="13">
        <v>9820</v>
      </c>
      <c r="P9" s="13">
        <v>425</v>
      </c>
      <c r="Q9" s="13">
        <v>7486</v>
      </c>
      <c r="R9" s="13">
        <v>3021</v>
      </c>
      <c r="S9" s="13">
        <v>10836</v>
      </c>
      <c r="T9" s="13">
        <v>8000</v>
      </c>
      <c r="U9" s="13">
        <v>106.92659999999999</v>
      </c>
      <c r="V9" s="13">
        <v>833</v>
      </c>
      <c r="W9" s="13">
        <v>8938</v>
      </c>
      <c r="X9" s="13">
        <v>3758</v>
      </c>
      <c r="Y9" s="13">
        <v>2944</v>
      </c>
      <c r="Z9" s="13">
        <v>398</v>
      </c>
      <c r="AA9" s="13">
        <v>3978</v>
      </c>
      <c r="AB9" s="13">
        <v>165</v>
      </c>
      <c r="AC9" s="13">
        <v>8626</v>
      </c>
      <c r="AD9" s="13">
        <v>4010</v>
      </c>
      <c r="AE9" s="13">
        <v>40.349999999999994</v>
      </c>
      <c r="AF9" s="13">
        <v>6730</v>
      </c>
    </row>
    <row r="10" spans="1:32" x14ac:dyDescent="0.2">
      <c r="A10" s="12">
        <v>45665</v>
      </c>
      <c r="B10" s="13">
        <v>5744</v>
      </c>
      <c r="C10" s="13">
        <v>1366</v>
      </c>
      <c r="D10" s="13">
        <v>132</v>
      </c>
      <c r="E10" s="13">
        <v>237</v>
      </c>
      <c r="F10" s="13">
        <v>119</v>
      </c>
      <c r="G10" s="13">
        <v>130</v>
      </c>
      <c r="H10" s="13">
        <v>7947.3829999999998</v>
      </c>
      <c r="I10" s="13">
        <v>577.68200000000002</v>
      </c>
      <c r="J10" s="13">
        <v>1591.114</v>
      </c>
      <c r="K10" s="13">
        <v>5694</v>
      </c>
      <c r="L10" s="13">
        <v>3646.4386847599999</v>
      </c>
      <c r="M10" s="13">
        <v>8536</v>
      </c>
      <c r="N10" s="13">
        <v>319</v>
      </c>
      <c r="O10" s="13">
        <v>9539</v>
      </c>
      <c r="P10" s="13">
        <v>412</v>
      </c>
      <c r="Q10" s="13">
        <v>7486</v>
      </c>
      <c r="R10" s="13">
        <v>3021</v>
      </c>
      <c r="S10" s="13">
        <v>10836</v>
      </c>
      <c r="T10" s="13">
        <v>8000</v>
      </c>
      <c r="U10" s="13">
        <v>106.92659999999999</v>
      </c>
      <c r="V10" s="13">
        <v>831</v>
      </c>
      <c r="W10" s="13">
        <v>8897</v>
      </c>
      <c r="X10" s="13">
        <v>3758</v>
      </c>
      <c r="Y10" s="13">
        <v>2870</v>
      </c>
      <c r="Z10" s="13">
        <v>398</v>
      </c>
      <c r="AA10" s="13">
        <v>5790</v>
      </c>
      <c r="AB10" s="13">
        <v>165</v>
      </c>
      <c r="AC10" s="13">
        <v>8676</v>
      </c>
      <c r="AD10" s="13">
        <v>4010</v>
      </c>
      <c r="AE10" s="13">
        <v>39.322499999999998</v>
      </c>
      <c r="AF10" s="13">
        <v>6877</v>
      </c>
    </row>
    <row r="11" spans="1:32" x14ac:dyDescent="0.2">
      <c r="A11" s="12">
        <v>45666</v>
      </c>
      <c r="B11" s="13">
        <v>5699</v>
      </c>
      <c r="C11" s="13">
        <v>1361</v>
      </c>
      <c r="D11" s="13">
        <v>128</v>
      </c>
      <c r="E11" s="13">
        <v>225</v>
      </c>
      <c r="F11" s="13">
        <v>110</v>
      </c>
      <c r="G11" s="13">
        <v>130</v>
      </c>
      <c r="H11" s="13">
        <v>7947.3829999999998</v>
      </c>
      <c r="I11" s="13">
        <v>577.68200000000002</v>
      </c>
      <c r="J11" s="13">
        <v>1591.114</v>
      </c>
      <c r="K11" s="13">
        <v>6450</v>
      </c>
      <c r="L11" s="13">
        <v>3646.4386847599999</v>
      </c>
      <c r="M11" s="13">
        <v>8559</v>
      </c>
      <c r="N11" s="13">
        <v>248</v>
      </c>
      <c r="O11" s="13">
        <v>7215</v>
      </c>
      <c r="P11" s="13">
        <v>417</v>
      </c>
      <c r="Q11" s="13">
        <v>7487</v>
      </c>
      <c r="R11" s="13">
        <v>3155</v>
      </c>
      <c r="S11" s="13">
        <v>10724</v>
      </c>
      <c r="T11" s="13">
        <v>8144</v>
      </c>
      <c r="U11" s="13">
        <v>106.92659999999999</v>
      </c>
      <c r="V11" s="13">
        <v>850</v>
      </c>
      <c r="W11" s="13">
        <v>8999</v>
      </c>
      <c r="X11" s="13">
        <v>3879</v>
      </c>
      <c r="Y11" s="13">
        <v>2944</v>
      </c>
      <c r="Z11" s="13">
        <v>398</v>
      </c>
      <c r="AA11" s="13">
        <v>4443</v>
      </c>
      <c r="AB11" s="13">
        <v>165</v>
      </c>
      <c r="AC11" s="13">
        <v>8710</v>
      </c>
      <c r="AD11" s="13">
        <v>4010</v>
      </c>
      <c r="AE11" s="13">
        <v>40.417500000000004</v>
      </c>
      <c r="AF11" s="13">
        <v>6707</v>
      </c>
    </row>
    <row r="12" spans="1:32" x14ac:dyDescent="0.2">
      <c r="A12" s="12">
        <v>45667</v>
      </c>
      <c r="B12" s="13">
        <v>5817</v>
      </c>
      <c r="C12" s="13">
        <v>1444</v>
      </c>
      <c r="D12" s="13">
        <v>130</v>
      </c>
      <c r="E12" s="13">
        <v>232</v>
      </c>
      <c r="F12" s="13">
        <v>115</v>
      </c>
      <c r="G12" s="13">
        <v>130</v>
      </c>
      <c r="H12" s="13">
        <v>8140.6940000000004</v>
      </c>
      <c r="I12" s="13">
        <v>445.73399999999998</v>
      </c>
      <c r="J12" s="13">
        <v>1307.529</v>
      </c>
      <c r="K12" s="13">
        <v>6980</v>
      </c>
      <c r="L12" s="13">
        <v>3627.16932628</v>
      </c>
      <c r="M12" s="13">
        <v>8636</v>
      </c>
      <c r="N12" s="13">
        <v>191</v>
      </c>
      <c r="O12" s="13">
        <v>9640</v>
      </c>
      <c r="P12" s="13">
        <v>378</v>
      </c>
      <c r="Q12" s="13">
        <v>7506</v>
      </c>
      <c r="R12" s="13">
        <v>3009</v>
      </c>
      <c r="S12" s="13">
        <v>10803</v>
      </c>
      <c r="T12" s="13">
        <v>7767</v>
      </c>
      <c r="U12" s="13">
        <v>106.92659999999999</v>
      </c>
      <c r="V12" s="13">
        <v>833</v>
      </c>
      <c r="W12" s="13">
        <v>8885</v>
      </c>
      <c r="X12" s="13">
        <v>3853</v>
      </c>
      <c r="Y12" s="13">
        <v>2992</v>
      </c>
      <c r="Z12" s="13">
        <v>398</v>
      </c>
      <c r="AA12" s="13">
        <v>5122</v>
      </c>
      <c r="AB12" s="13">
        <v>165</v>
      </c>
      <c r="AC12" s="13">
        <v>8917</v>
      </c>
      <c r="AD12" s="13">
        <v>4010</v>
      </c>
      <c r="AE12" s="13">
        <v>39.06</v>
      </c>
      <c r="AF12" s="13">
        <v>6585</v>
      </c>
    </row>
    <row r="13" spans="1:32" x14ac:dyDescent="0.2">
      <c r="A13" s="12">
        <v>45668</v>
      </c>
      <c r="B13" s="13">
        <v>5731</v>
      </c>
      <c r="C13" s="13">
        <v>1380</v>
      </c>
      <c r="D13" s="13">
        <v>127</v>
      </c>
      <c r="E13" s="13">
        <v>220</v>
      </c>
      <c r="F13" s="13">
        <v>109</v>
      </c>
      <c r="G13" s="13">
        <v>130</v>
      </c>
      <c r="H13" s="13">
        <v>8142.8360000000002</v>
      </c>
      <c r="I13" s="13">
        <v>514.67899999999997</v>
      </c>
      <c r="J13" s="13">
        <v>1414.914</v>
      </c>
      <c r="K13" s="13">
        <v>6928</v>
      </c>
      <c r="L13" s="13">
        <v>3554.8896747600002</v>
      </c>
      <c r="M13" s="13">
        <v>8691</v>
      </c>
      <c r="N13" s="13">
        <v>188</v>
      </c>
      <c r="O13" s="13">
        <v>10002</v>
      </c>
      <c r="P13" s="13">
        <v>393</v>
      </c>
      <c r="Q13" s="13">
        <v>7525</v>
      </c>
      <c r="R13" s="13">
        <v>2883</v>
      </c>
      <c r="S13" s="13">
        <v>10657</v>
      </c>
      <c r="T13" s="13">
        <v>0</v>
      </c>
      <c r="U13" s="13">
        <v>75.477599999999995</v>
      </c>
      <c r="V13" s="13">
        <v>814</v>
      </c>
      <c r="W13" s="13">
        <v>8886</v>
      </c>
      <c r="X13" s="13">
        <v>3998</v>
      </c>
      <c r="Y13" s="13">
        <v>2989</v>
      </c>
      <c r="Z13" s="13">
        <v>398</v>
      </c>
      <c r="AA13" s="13">
        <v>3742</v>
      </c>
      <c r="AB13" s="13">
        <v>165</v>
      </c>
      <c r="AC13" s="13">
        <v>8840</v>
      </c>
      <c r="AD13" s="13">
        <v>4010</v>
      </c>
      <c r="AE13" s="13">
        <v>26.009999999999998</v>
      </c>
      <c r="AF13" s="13">
        <v>6837</v>
      </c>
    </row>
    <row r="14" spans="1:32" x14ac:dyDescent="0.2">
      <c r="A14" s="12">
        <v>45669</v>
      </c>
      <c r="B14" s="13">
        <v>5780</v>
      </c>
      <c r="C14" s="13">
        <v>1435</v>
      </c>
      <c r="D14" s="13">
        <v>130</v>
      </c>
      <c r="E14" s="13">
        <v>239</v>
      </c>
      <c r="F14" s="13">
        <v>115</v>
      </c>
      <c r="G14" s="13">
        <v>130</v>
      </c>
      <c r="H14" s="13">
        <v>8257.51</v>
      </c>
      <c r="I14" s="13">
        <v>497.21100000000001</v>
      </c>
      <c r="J14" s="13">
        <v>1344.1559999999999</v>
      </c>
      <c r="K14" s="13">
        <v>5188</v>
      </c>
      <c r="L14" s="13">
        <v>3558</v>
      </c>
      <c r="M14" s="13">
        <v>8746</v>
      </c>
      <c r="N14" s="13">
        <v>176</v>
      </c>
      <c r="O14" s="13">
        <v>9999</v>
      </c>
      <c r="P14" s="13">
        <v>397</v>
      </c>
      <c r="Q14" s="13">
        <v>7556</v>
      </c>
      <c r="R14" s="13">
        <v>2907</v>
      </c>
      <c r="S14" s="13">
        <v>9717</v>
      </c>
      <c r="T14" s="13">
        <v>0</v>
      </c>
      <c r="U14" s="13">
        <v>75.477599999999995</v>
      </c>
      <c r="V14" s="13">
        <v>814</v>
      </c>
      <c r="W14" s="13">
        <v>8935</v>
      </c>
      <c r="X14" s="13">
        <v>4008</v>
      </c>
      <c r="Y14" s="13">
        <v>2990</v>
      </c>
      <c r="Z14" s="13">
        <v>398</v>
      </c>
      <c r="AA14" s="13">
        <v>4106</v>
      </c>
      <c r="AB14" s="13">
        <v>165</v>
      </c>
      <c r="AC14" s="13">
        <v>8871</v>
      </c>
      <c r="AD14" s="13">
        <v>4010</v>
      </c>
      <c r="AE14" s="13">
        <v>26.924999999999997</v>
      </c>
      <c r="AF14" s="13">
        <v>6777</v>
      </c>
    </row>
    <row r="15" spans="1:32" x14ac:dyDescent="0.2">
      <c r="A15" s="12">
        <v>45670</v>
      </c>
      <c r="B15" s="13">
        <v>5749</v>
      </c>
      <c r="C15" s="13">
        <v>1407</v>
      </c>
      <c r="D15" s="13">
        <v>126</v>
      </c>
      <c r="E15" s="13">
        <v>231</v>
      </c>
      <c r="F15" s="13">
        <v>110</v>
      </c>
      <c r="G15" s="13">
        <v>130</v>
      </c>
      <c r="H15" s="13">
        <v>8410</v>
      </c>
      <c r="I15" s="13">
        <v>461</v>
      </c>
      <c r="J15" s="13">
        <v>1328</v>
      </c>
      <c r="K15" s="13">
        <v>7034</v>
      </c>
      <c r="L15" s="13">
        <v>3543</v>
      </c>
      <c r="M15" s="13">
        <v>8725</v>
      </c>
      <c r="N15" s="13">
        <v>180</v>
      </c>
      <c r="O15" s="13">
        <v>10029</v>
      </c>
      <c r="P15" s="13">
        <v>394</v>
      </c>
      <c r="Q15" s="13">
        <v>8123</v>
      </c>
      <c r="R15" s="13">
        <v>2865</v>
      </c>
      <c r="S15" s="13">
        <v>9786</v>
      </c>
      <c r="T15" s="13">
        <v>0</v>
      </c>
      <c r="U15" s="13">
        <v>75.477599999999995</v>
      </c>
      <c r="V15" s="13">
        <v>835</v>
      </c>
      <c r="W15" s="13">
        <v>9096</v>
      </c>
      <c r="X15" s="13">
        <v>4179</v>
      </c>
      <c r="Y15" s="13">
        <v>2778</v>
      </c>
      <c r="Z15" s="13">
        <v>398</v>
      </c>
      <c r="AA15" s="13">
        <v>4664</v>
      </c>
      <c r="AB15" s="13">
        <v>165</v>
      </c>
      <c r="AC15" s="13">
        <v>8856</v>
      </c>
      <c r="AD15" s="13">
        <v>4010</v>
      </c>
      <c r="AE15" s="13">
        <v>26.414999999999999</v>
      </c>
      <c r="AF15" s="13">
        <v>6786</v>
      </c>
    </row>
    <row r="16" spans="1:32" x14ac:dyDescent="0.2">
      <c r="A16" s="12">
        <v>45671</v>
      </c>
      <c r="B16" s="13">
        <v>5708</v>
      </c>
      <c r="C16" s="13">
        <v>1370</v>
      </c>
      <c r="D16" s="13">
        <v>128</v>
      </c>
      <c r="E16" s="13">
        <v>240</v>
      </c>
      <c r="F16" s="13">
        <v>110</v>
      </c>
      <c r="G16" s="13">
        <v>130</v>
      </c>
      <c r="H16" s="13">
        <v>8270</v>
      </c>
      <c r="I16" s="13">
        <v>406</v>
      </c>
      <c r="J16" s="13">
        <v>1157</v>
      </c>
      <c r="K16" s="13">
        <v>7336</v>
      </c>
      <c r="L16" s="13">
        <v>3580</v>
      </c>
      <c r="M16" s="13">
        <v>8850</v>
      </c>
      <c r="N16" s="13">
        <v>58</v>
      </c>
      <c r="O16" s="13">
        <v>9677</v>
      </c>
      <c r="P16" s="13">
        <v>394</v>
      </c>
      <c r="Q16" s="13">
        <v>8009</v>
      </c>
      <c r="R16" s="13">
        <v>2799</v>
      </c>
      <c r="S16" s="13">
        <v>10188</v>
      </c>
      <c r="T16" s="13">
        <v>1862</v>
      </c>
      <c r="U16" s="13">
        <v>75.477599999999995</v>
      </c>
      <c r="V16" s="13">
        <v>850</v>
      </c>
      <c r="W16" s="13">
        <v>7728</v>
      </c>
      <c r="X16" s="13">
        <v>3895</v>
      </c>
      <c r="Y16" s="13">
        <v>2991</v>
      </c>
      <c r="Z16" s="13">
        <v>398</v>
      </c>
      <c r="AA16" s="13">
        <v>4665</v>
      </c>
      <c r="AB16" s="13">
        <v>165</v>
      </c>
      <c r="AC16" s="13">
        <v>8963</v>
      </c>
      <c r="AD16" s="13">
        <v>4010</v>
      </c>
      <c r="AE16" s="13">
        <v>27.21</v>
      </c>
      <c r="AF16" s="13">
        <v>6795</v>
      </c>
    </row>
    <row r="17" spans="1:32" x14ac:dyDescent="0.2">
      <c r="A17" s="12">
        <v>45672</v>
      </c>
      <c r="B17" s="13">
        <v>5759</v>
      </c>
      <c r="C17" s="13">
        <v>1385</v>
      </c>
      <c r="D17" s="13">
        <v>128</v>
      </c>
      <c r="E17" s="13">
        <v>235</v>
      </c>
      <c r="F17" s="13">
        <v>110</v>
      </c>
      <c r="G17" s="13">
        <v>130</v>
      </c>
      <c r="H17" s="13">
        <v>8261.2690000000002</v>
      </c>
      <c r="I17" s="13">
        <v>377.13799999999998</v>
      </c>
      <c r="J17" s="13">
        <v>1057.5360000000001</v>
      </c>
      <c r="K17" s="13">
        <v>7348</v>
      </c>
      <c r="L17" s="13">
        <v>3551.7508543600002</v>
      </c>
      <c r="M17" s="13">
        <v>8595</v>
      </c>
      <c r="N17" s="13">
        <v>814</v>
      </c>
      <c r="O17" s="13">
        <v>9403</v>
      </c>
      <c r="P17" s="13">
        <v>391</v>
      </c>
      <c r="Q17" s="13">
        <v>7868</v>
      </c>
      <c r="R17" s="13">
        <v>2811</v>
      </c>
      <c r="S17" s="13">
        <v>10652</v>
      </c>
      <c r="T17" s="13">
        <v>8223</v>
      </c>
      <c r="U17" s="13">
        <v>106.92659999999999</v>
      </c>
      <c r="V17" s="13">
        <v>832</v>
      </c>
      <c r="W17" s="13">
        <v>8114</v>
      </c>
      <c r="X17" s="13">
        <v>3670</v>
      </c>
      <c r="Y17" s="13">
        <v>2987</v>
      </c>
      <c r="Z17" s="13">
        <v>398</v>
      </c>
      <c r="AA17" s="13">
        <v>4666</v>
      </c>
      <c r="AB17" s="13">
        <v>165</v>
      </c>
      <c r="AC17" s="13">
        <v>8640</v>
      </c>
      <c r="AD17" s="13">
        <v>4010</v>
      </c>
      <c r="AE17" s="13">
        <v>26.4375</v>
      </c>
      <c r="AF17" s="13">
        <v>6712</v>
      </c>
    </row>
    <row r="18" spans="1:32" x14ac:dyDescent="0.2">
      <c r="A18" s="12">
        <v>45673</v>
      </c>
      <c r="B18" s="13">
        <v>5699</v>
      </c>
      <c r="C18" s="13">
        <v>1397</v>
      </c>
      <c r="D18" s="13">
        <v>129</v>
      </c>
      <c r="E18" s="13">
        <v>242</v>
      </c>
      <c r="F18" s="13">
        <v>111</v>
      </c>
      <c r="G18" s="13">
        <v>130</v>
      </c>
      <c r="H18" s="13">
        <v>8404</v>
      </c>
      <c r="I18" s="13">
        <v>421</v>
      </c>
      <c r="J18" s="13">
        <v>1157</v>
      </c>
      <c r="K18" s="13">
        <v>7354</v>
      </c>
      <c r="L18" s="13">
        <v>3583</v>
      </c>
      <c r="M18" s="13">
        <v>8380</v>
      </c>
      <c r="N18" s="13">
        <v>658</v>
      </c>
      <c r="O18" s="13">
        <v>9519</v>
      </c>
      <c r="P18" s="13">
        <v>397</v>
      </c>
      <c r="Q18" s="13">
        <v>7872</v>
      </c>
      <c r="R18" s="13">
        <v>2949</v>
      </c>
      <c r="S18" s="13">
        <v>10441</v>
      </c>
      <c r="T18" s="13">
        <v>8565</v>
      </c>
      <c r="U18" s="13">
        <v>106.92659999999999</v>
      </c>
      <c r="V18" s="13">
        <v>792</v>
      </c>
      <c r="W18" s="13">
        <v>8560</v>
      </c>
      <c r="X18" s="13">
        <v>4072</v>
      </c>
      <c r="Y18" s="13">
        <v>3405</v>
      </c>
      <c r="Z18" s="13">
        <v>398</v>
      </c>
      <c r="AA18" s="13">
        <v>4466</v>
      </c>
      <c r="AB18" s="13">
        <v>165</v>
      </c>
      <c r="AC18" s="13">
        <v>8541</v>
      </c>
      <c r="AD18" s="13">
        <v>4010</v>
      </c>
      <c r="AE18" s="13">
        <v>26.369999999999997</v>
      </c>
      <c r="AF18" s="13">
        <v>6772</v>
      </c>
    </row>
    <row r="19" spans="1:32" x14ac:dyDescent="0.2">
      <c r="A19" s="12">
        <v>45674</v>
      </c>
      <c r="B19" s="13">
        <f>7714-(C19+D19+E19+F19)</f>
        <v>5776</v>
      </c>
      <c r="C19" s="13">
        <v>1468</v>
      </c>
      <c r="D19" s="13">
        <v>128</v>
      </c>
      <c r="E19" s="13">
        <v>232</v>
      </c>
      <c r="F19" s="13">
        <v>110</v>
      </c>
      <c r="G19" s="13">
        <v>130</v>
      </c>
      <c r="H19" s="13">
        <v>8511.49</v>
      </c>
      <c r="I19" s="13">
        <v>404.61500000000001</v>
      </c>
      <c r="J19" s="13">
        <v>1067.3140000000001</v>
      </c>
      <c r="K19" s="13">
        <v>10142</v>
      </c>
      <c r="L19" s="13">
        <f>3366.1291502+297</f>
        <v>3663.1291501999999</v>
      </c>
      <c r="M19" s="13">
        <v>8393</v>
      </c>
      <c r="N19" s="13">
        <v>620</v>
      </c>
      <c r="O19" s="13">
        <v>9275</v>
      </c>
      <c r="P19" s="13">
        <v>394</v>
      </c>
      <c r="Q19" s="13">
        <v>7829</v>
      </c>
      <c r="R19" s="13">
        <v>2649</v>
      </c>
      <c r="S19" s="13">
        <v>10451</v>
      </c>
      <c r="T19" s="13">
        <v>6130</v>
      </c>
      <c r="U19" s="13">
        <v>106.92659999999999</v>
      </c>
      <c r="V19" s="13">
        <v>793</v>
      </c>
      <c r="W19" s="13">
        <v>8688</v>
      </c>
      <c r="X19" s="13">
        <v>3478</v>
      </c>
      <c r="Y19" s="13">
        <v>3576</v>
      </c>
      <c r="Z19" s="13">
        <v>398</v>
      </c>
      <c r="AA19" s="13">
        <v>3779</v>
      </c>
      <c r="AB19" s="13">
        <v>165</v>
      </c>
      <c r="AC19" s="13">
        <v>8416</v>
      </c>
      <c r="AD19" s="13">
        <v>4010</v>
      </c>
      <c r="AE19" s="13">
        <v>25.4175</v>
      </c>
      <c r="AF19" s="13">
        <v>6808</v>
      </c>
    </row>
    <row r="20" spans="1:32" x14ac:dyDescent="0.2">
      <c r="A20" s="12">
        <v>45675</v>
      </c>
      <c r="B20" s="13">
        <f>7855-(C20+D20+E20+F20)</f>
        <v>5873</v>
      </c>
      <c r="C20" s="13">
        <v>1492</v>
      </c>
      <c r="D20" s="13">
        <v>132</v>
      </c>
      <c r="E20" s="13">
        <v>248</v>
      </c>
      <c r="F20" s="13">
        <v>110</v>
      </c>
      <c r="G20" s="13">
        <v>130</v>
      </c>
      <c r="H20" s="13">
        <v>8875.0429999999997</v>
      </c>
      <c r="I20" s="13">
        <v>410.97300000000001</v>
      </c>
      <c r="J20" s="13">
        <v>1093.857</v>
      </c>
      <c r="K20" s="13">
        <v>11816</v>
      </c>
      <c r="L20" s="13">
        <f>3313.34313556+290</f>
        <v>3603.3431355600001</v>
      </c>
      <c r="M20" s="13">
        <v>8364</v>
      </c>
      <c r="N20" s="13">
        <v>537</v>
      </c>
      <c r="O20" s="13">
        <v>9981</v>
      </c>
      <c r="P20" s="13">
        <v>400</v>
      </c>
      <c r="Q20" s="13">
        <v>7875</v>
      </c>
      <c r="R20" s="13">
        <v>2973</v>
      </c>
      <c r="S20" s="13">
        <v>10410</v>
      </c>
      <c r="T20" s="13">
        <v>0</v>
      </c>
      <c r="U20" s="13">
        <v>106.92659999999999</v>
      </c>
      <c r="V20" s="13">
        <v>789</v>
      </c>
      <c r="W20" s="13">
        <v>8560</v>
      </c>
      <c r="X20" s="13">
        <v>3712</v>
      </c>
      <c r="Y20" s="13">
        <v>3519</v>
      </c>
      <c r="Z20" s="13">
        <v>398</v>
      </c>
      <c r="AA20" s="13">
        <v>3471</v>
      </c>
      <c r="AB20" s="13">
        <v>165</v>
      </c>
      <c r="AC20" s="13">
        <v>8593</v>
      </c>
      <c r="AD20" s="13">
        <v>4010</v>
      </c>
      <c r="AE20" s="13">
        <v>25.934999999999999</v>
      </c>
      <c r="AF20" s="13">
        <v>6719</v>
      </c>
    </row>
    <row r="21" spans="1:32" x14ac:dyDescent="0.2">
      <c r="A21" s="12">
        <v>45676</v>
      </c>
      <c r="B21" s="13">
        <f>7837-(C21+D21+E21+F21)</f>
        <v>5867</v>
      </c>
      <c r="C21" s="13">
        <v>1494</v>
      </c>
      <c r="D21" s="13">
        <v>133</v>
      </c>
      <c r="E21" s="13">
        <v>235</v>
      </c>
      <c r="F21" s="13">
        <v>108</v>
      </c>
      <c r="G21" s="13">
        <v>130</v>
      </c>
      <c r="H21" s="13">
        <v>8892.5040000000008</v>
      </c>
      <c r="I21" s="13">
        <v>519.06299999999999</v>
      </c>
      <c r="J21" s="13">
        <v>1273.9359999999999</v>
      </c>
      <c r="K21" s="13">
        <v>11584</v>
      </c>
      <c r="L21" s="13">
        <f>3499.16502932+314</f>
        <v>3813.16502932</v>
      </c>
      <c r="M21" s="13">
        <v>8414</v>
      </c>
      <c r="N21" s="13">
        <v>494</v>
      </c>
      <c r="O21" s="13">
        <v>9546</v>
      </c>
      <c r="P21" s="13">
        <v>400</v>
      </c>
      <c r="Q21" s="13">
        <v>7879</v>
      </c>
      <c r="R21" s="13">
        <v>2925</v>
      </c>
      <c r="S21" s="13">
        <v>10342</v>
      </c>
      <c r="T21" s="13">
        <v>498</v>
      </c>
      <c r="U21" s="13">
        <v>106.92659999999999</v>
      </c>
      <c r="V21" s="13">
        <v>787</v>
      </c>
      <c r="W21" s="13">
        <v>8549</v>
      </c>
      <c r="X21" s="13">
        <v>3712</v>
      </c>
      <c r="Y21" s="13">
        <v>3615</v>
      </c>
      <c r="Z21" s="13">
        <v>398</v>
      </c>
      <c r="AA21" s="13">
        <v>3468</v>
      </c>
      <c r="AB21" s="13">
        <v>165</v>
      </c>
      <c r="AC21" s="13">
        <v>8588</v>
      </c>
      <c r="AD21" s="13">
        <v>4010</v>
      </c>
      <c r="AE21" s="13">
        <v>27.150000000000002</v>
      </c>
      <c r="AF21" s="13">
        <v>6614</v>
      </c>
    </row>
    <row r="22" spans="1:32" x14ac:dyDescent="0.2">
      <c r="A22" s="12">
        <v>45677</v>
      </c>
      <c r="B22" s="13">
        <f>7803-(C22+D22+E22+F22)</f>
        <v>5877</v>
      </c>
      <c r="C22" s="13">
        <v>1453</v>
      </c>
      <c r="D22" s="13">
        <v>130</v>
      </c>
      <c r="E22" s="13">
        <v>231</v>
      </c>
      <c r="F22" s="13">
        <v>112</v>
      </c>
      <c r="G22" s="13">
        <v>130</v>
      </c>
      <c r="H22" s="13">
        <v>9237</v>
      </c>
      <c r="I22" s="13">
        <v>731</v>
      </c>
      <c r="J22" s="13">
        <v>1787</v>
      </c>
      <c r="K22" s="13">
        <v>11471</v>
      </c>
      <c r="L22" s="13">
        <v>3776</v>
      </c>
      <c r="M22" s="13">
        <v>8404</v>
      </c>
      <c r="N22" s="13">
        <v>434</v>
      </c>
      <c r="O22" s="13">
        <v>9311</v>
      </c>
      <c r="P22" s="13">
        <v>395</v>
      </c>
      <c r="Q22" s="13">
        <v>7638</v>
      </c>
      <c r="R22" s="13">
        <v>2853</v>
      </c>
      <c r="S22" s="13">
        <v>10476</v>
      </c>
      <c r="T22" s="13">
        <v>8439</v>
      </c>
      <c r="U22" s="13">
        <v>106.92659999999999</v>
      </c>
      <c r="V22" s="13">
        <v>809</v>
      </c>
      <c r="W22" s="13">
        <v>8397</v>
      </c>
      <c r="X22" s="13">
        <v>3989</v>
      </c>
      <c r="Y22" s="13">
        <v>3618</v>
      </c>
      <c r="Z22" s="13">
        <v>398</v>
      </c>
      <c r="AA22" s="13">
        <v>3270</v>
      </c>
      <c r="AB22" s="13">
        <v>165</v>
      </c>
      <c r="AC22" s="13">
        <v>8530</v>
      </c>
      <c r="AD22" s="13">
        <v>4010</v>
      </c>
      <c r="AE22" s="13">
        <v>27.142499999999998</v>
      </c>
      <c r="AF22" s="13">
        <v>6651</v>
      </c>
    </row>
    <row r="23" spans="1:32" x14ac:dyDescent="0.2">
      <c r="A23" s="12">
        <v>45678</v>
      </c>
      <c r="B23" s="13">
        <f>7668-(C23+D23+E23+F23)</f>
        <v>5746</v>
      </c>
      <c r="C23" s="13">
        <v>1464</v>
      </c>
      <c r="D23" s="13">
        <v>129</v>
      </c>
      <c r="E23" s="13">
        <v>224</v>
      </c>
      <c r="F23" s="13">
        <v>105</v>
      </c>
      <c r="G23" s="13">
        <v>130</v>
      </c>
      <c r="H23" s="13">
        <v>8993</v>
      </c>
      <c r="I23" s="13">
        <v>725</v>
      </c>
      <c r="J23" s="13">
        <v>1742</v>
      </c>
      <c r="K23" s="13">
        <v>11467</v>
      </c>
      <c r="L23" s="13">
        <v>3667</v>
      </c>
      <c r="M23" s="13">
        <v>8503</v>
      </c>
      <c r="N23" s="13">
        <v>398</v>
      </c>
      <c r="O23" s="13">
        <v>9123</v>
      </c>
      <c r="P23" s="13">
        <v>394</v>
      </c>
      <c r="Q23" s="13">
        <v>7518</v>
      </c>
      <c r="R23" s="13">
        <v>3166</v>
      </c>
      <c r="S23" s="13">
        <v>10548</v>
      </c>
      <c r="T23" s="13">
        <v>8446</v>
      </c>
      <c r="U23" s="13">
        <v>106.92659999999999</v>
      </c>
      <c r="V23" s="13">
        <v>785</v>
      </c>
      <c r="W23" s="13">
        <v>8521</v>
      </c>
      <c r="X23" s="13">
        <v>3691</v>
      </c>
      <c r="Y23" s="13">
        <v>3626</v>
      </c>
      <c r="Z23" s="13">
        <v>398</v>
      </c>
      <c r="AA23" s="13">
        <v>3773</v>
      </c>
      <c r="AB23" s="13">
        <v>165</v>
      </c>
      <c r="AC23" s="13">
        <v>8603</v>
      </c>
      <c r="AD23" s="13">
        <v>4010</v>
      </c>
      <c r="AE23" s="13">
        <v>22.62</v>
      </c>
      <c r="AF23" s="13">
        <v>5686</v>
      </c>
    </row>
    <row r="24" spans="1:32" x14ac:dyDescent="0.2">
      <c r="A24" s="12">
        <v>45679</v>
      </c>
      <c r="B24" s="13">
        <f>7765-(C24+D24+E24+F24)</f>
        <v>5889</v>
      </c>
      <c r="C24" s="13">
        <v>1408</v>
      </c>
      <c r="D24" s="13">
        <v>127</v>
      </c>
      <c r="E24" s="13">
        <v>237</v>
      </c>
      <c r="F24" s="13">
        <v>104</v>
      </c>
      <c r="G24" s="13">
        <v>104</v>
      </c>
      <c r="H24" s="13">
        <v>10357.701999999999</v>
      </c>
      <c r="I24" s="13">
        <v>617.053</v>
      </c>
      <c r="J24" s="13">
        <v>1542.354</v>
      </c>
      <c r="K24" s="13">
        <v>11961</v>
      </c>
      <c r="L24" s="13">
        <f>3318.19211836+290</f>
        <v>3608.1921183600002</v>
      </c>
      <c r="M24" s="13">
        <f>9111-N24</f>
        <v>8713</v>
      </c>
      <c r="N24" s="13">
        <v>398</v>
      </c>
      <c r="O24" s="13">
        <v>9123</v>
      </c>
      <c r="P24" s="13">
        <v>392</v>
      </c>
      <c r="Q24" s="13">
        <v>7578</v>
      </c>
      <c r="R24" s="13">
        <v>3051</v>
      </c>
      <c r="S24" s="13">
        <v>10500</v>
      </c>
      <c r="T24" s="13">
        <v>8021</v>
      </c>
      <c r="U24" s="13">
        <v>106.92659999999999</v>
      </c>
      <c r="V24" s="13">
        <v>765</v>
      </c>
      <c r="W24" s="13">
        <v>8519</v>
      </c>
      <c r="X24" s="13">
        <v>4005</v>
      </c>
      <c r="Y24" s="13">
        <v>3629</v>
      </c>
      <c r="Z24" s="13">
        <v>398</v>
      </c>
      <c r="AA24" s="13">
        <v>3345</v>
      </c>
      <c r="AB24" s="13">
        <v>165</v>
      </c>
      <c r="AC24" s="13">
        <v>7162</v>
      </c>
      <c r="AD24" s="13">
        <v>4010</v>
      </c>
      <c r="AE24" s="13">
        <v>29.932499999999997</v>
      </c>
      <c r="AF24" s="13">
        <v>6101</v>
      </c>
    </row>
    <row r="25" spans="1:32" x14ac:dyDescent="0.2">
      <c r="A25" s="12">
        <v>45680</v>
      </c>
      <c r="B25" s="13">
        <f>7423-(C25+D25+E25+F25)</f>
        <v>5564</v>
      </c>
      <c r="C25" s="13">
        <v>1409</v>
      </c>
      <c r="D25" s="13">
        <v>122</v>
      </c>
      <c r="E25" s="13">
        <v>229</v>
      </c>
      <c r="F25" s="13">
        <v>99</v>
      </c>
      <c r="G25" s="13">
        <v>99</v>
      </c>
      <c r="H25" s="13">
        <v>8718.9429999999993</v>
      </c>
      <c r="I25" s="13">
        <v>682.89400000000001</v>
      </c>
      <c r="J25" s="13">
        <v>1694.357</v>
      </c>
      <c r="K25" s="13">
        <v>12355</v>
      </c>
      <c r="L25" s="13">
        <f>3344.31269976+293</f>
        <v>3637.3126997600002</v>
      </c>
      <c r="M25" s="13">
        <f>8304-N25</f>
        <v>7906</v>
      </c>
      <c r="N25" s="13">
        <v>398</v>
      </c>
      <c r="O25" s="13">
        <v>9123</v>
      </c>
      <c r="P25" s="13">
        <v>392</v>
      </c>
      <c r="Q25" s="13">
        <v>7856</v>
      </c>
      <c r="R25" s="13">
        <v>3279</v>
      </c>
      <c r="S25" s="13">
        <v>10530</v>
      </c>
      <c r="T25" s="13">
        <v>8203</v>
      </c>
      <c r="U25" s="13">
        <v>106.92659999999999</v>
      </c>
      <c r="V25" s="13">
        <v>827</v>
      </c>
      <c r="W25" s="13">
        <v>8431</v>
      </c>
      <c r="X25" s="13">
        <v>3494</v>
      </c>
      <c r="Y25" s="13">
        <v>3625</v>
      </c>
      <c r="Z25" s="13">
        <v>398</v>
      </c>
      <c r="AA25" s="13">
        <v>2477</v>
      </c>
      <c r="AB25" s="13">
        <v>165</v>
      </c>
      <c r="AC25" s="13">
        <v>1474</v>
      </c>
      <c r="AD25" s="13">
        <v>4010</v>
      </c>
      <c r="AE25" s="13">
        <v>29.932499999999997</v>
      </c>
      <c r="AF25" s="13">
        <v>5791</v>
      </c>
    </row>
    <row r="26" spans="1:32" x14ac:dyDescent="0.2">
      <c r="A26" s="12">
        <v>45681</v>
      </c>
      <c r="B26" s="13">
        <f>7622-(C26+D26+E26+F26)</f>
        <v>5720</v>
      </c>
      <c r="C26" s="13">
        <v>1406</v>
      </c>
      <c r="D26" s="13">
        <v>127</v>
      </c>
      <c r="E26" s="13">
        <v>253</v>
      </c>
      <c r="F26" s="13">
        <v>116</v>
      </c>
      <c r="G26" s="13">
        <v>116</v>
      </c>
      <c r="H26" s="13">
        <v>8736</v>
      </c>
      <c r="I26" s="13">
        <v>741</v>
      </c>
      <c r="J26" s="13">
        <v>1802</v>
      </c>
      <c r="K26" s="13">
        <v>12361</v>
      </c>
      <c r="L26" s="13">
        <v>3653</v>
      </c>
      <c r="M26" s="13">
        <v>8614</v>
      </c>
      <c r="N26" s="13">
        <v>497</v>
      </c>
      <c r="O26" s="13">
        <v>9357</v>
      </c>
      <c r="P26" s="13">
        <v>359</v>
      </c>
      <c r="Q26" s="13">
        <v>7856</v>
      </c>
      <c r="R26" s="13">
        <v>3075</v>
      </c>
      <c r="S26" s="13">
        <v>10473</v>
      </c>
      <c r="T26" s="13">
        <v>8034</v>
      </c>
      <c r="U26" s="13">
        <v>106.92659999999999</v>
      </c>
      <c r="V26" s="13">
        <v>812</v>
      </c>
      <c r="W26" s="13">
        <v>8483</v>
      </c>
      <c r="X26" s="13">
        <v>3975</v>
      </c>
      <c r="Y26" s="13">
        <v>3626</v>
      </c>
      <c r="Z26" s="13">
        <v>398</v>
      </c>
      <c r="AA26" s="13">
        <v>2301</v>
      </c>
      <c r="AB26" s="13">
        <v>165</v>
      </c>
      <c r="AC26" s="13">
        <v>1580</v>
      </c>
      <c r="AD26" s="13">
        <v>4010</v>
      </c>
      <c r="AE26" s="13">
        <v>29.932499999999997</v>
      </c>
      <c r="AF26" s="13">
        <v>6231</v>
      </c>
    </row>
    <row r="27" spans="1:32" x14ac:dyDescent="0.2">
      <c r="A27" s="12">
        <v>45682</v>
      </c>
      <c r="B27" s="13">
        <f>7636-(C27+D27+E27+F27)</f>
        <v>5724</v>
      </c>
      <c r="C27" s="13">
        <v>1449</v>
      </c>
      <c r="D27" s="13">
        <v>131</v>
      </c>
      <c r="E27" s="13">
        <v>223</v>
      </c>
      <c r="F27" s="13">
        <v>109</v>
      </c>
      <c r="G27" s="13">
        <v>109</v>
      </c>
      <c r="H27" s="13">
        <v>8679</v>
      </c>
      <c r="I27" s="13">
        <v>739</v>
      </c>
      <c r="J27" s="13">
        <v>1787</v>
      </c>
      <c r="K27" s="13">
        <v>12373</v>
      </c>
      <c r="L27" s="13">
        <v>3620</v>
      </c>
      <c r="M27" s="13">
        <v>8641</v>
      </c>
      <c r="N27" s="13">
        <v>362</v>
      </c>
      <c r="O27" s="13">
        <v>9264</v>
      </c>
      <c r="P27" s="13">
        <v>389</v>
      </c>
      <c r="Q27" s="13">
        <v>7856</v>
      </c>
      <c r="R27" s="13">
        <v>3069</v>
      </c>
      <c r="S27" s="13">
        <v>10471</v>
      </c>
      <c r="T27" s="13">
        <v>8217</v>
      </c>
      <c r="U27" s="13">
        <v>106.92659999999999</v>
      </c>
      <c r="V27" s="13">
        <v>830</v>
      </c>
      <c r="W27" s="13">
        <v>8479</v>
      </c>
      <c r="X27" s="13">
        <v>3782</v>
      </c>
      <c r="Y27" s="13">
        <v>3627</v>
      </c>
      <c r="Z27" s="13">
        <v>398</v>
      </c>
      <c r="AA27" s="13">
        <v>2479</v>
      </c>
      <c r="AB27" s="13">
        <v>165</v>
      </c>
      <c r="AC27" s="13">
        <v>1582</v>
      </c>
      <c r="AD27" s="13">
        <v>4010</v>
      </c>
      <c r="AE27" s="13">
        <v>29.932499999999997</v>
      </c>
      <c r="AF27" s="13">
        <v>6371</v>
      </c>
    </row>
    <row r="28" spans="1:32" x14ac:dyDescent="0.2">
      <c r="A28" s="12">
        <v>45683</v>
      </c>
      <c r="B28" s="13">
        <f>7655-(C28+D28+E28+F28)</f>
        <v>5762</v>
      </c>
      <c r="C28" s="13">
        <v>1427</v>
      </c>
      <c r="D28" s="13">
        <v>128</v>
      </c>
      <c r="E28" s="13">
        <v>225</v>
      </c>
      <c r="F28" s="13">
        <v>113</v>
      </c>
      <c r="G28" s="13">
        <v>113</v>
      </c>
      <c r="H28" s="13">
        <v>8688</v>
      </c>
      <c r="I28" s="13">
        <v>818</v>
      </c>
      <c r="J28" s="13">
        <v>1813</v>
      </c>
      <c r="K28" s="13">
        <v>12307</v>
      </c>
      <c r="L28" s="13">
        <v>3567</v>
      </c>
      <c r="M28" s="13">
        <v>8396</v>
      </c>
      <c r="N28" s="13">
        <v>410</v>
      </c>
      <c r="O28" s="13">
        <v>9125</v>
      </c>
      <c r="P28" s="13">
        <v>365</v>
      </c>
      <c r="Q28" s="13">
        <v>7856</v>
      </c>
      <c r="R28" s="13">
        <v>3015</v>
      </c>
      <c r="S28" s="13">
        <v>10367</v>
      </c>
      <c r="T28" s="13">
        <v>8215</v>
      </c>
      <c r="U28" s="13">
        <f>3*6.2898</f>
        <v>18.869399999999999</v>
      </c>
      <c r="V28" s="13">
        <v>791</v>
      </c>
      <c r="W28" s="13">
        <v>8469</v>
      </c>
      <c r="X28" s="13">
        <v>3940</v>
      </c>
      <c r="Y28" s="13">
        <v>3628</v>
      </c>
      <c r="Z28" s="13">
        <v>398</v>
      </c>
      <c r="AA28" s="13">
        <v>3176</v>
      </c>
      <c r="AB28" s="13">
        <v>165</v>
      </c>
      <c r="AC28" s="13">
        <v>1533</v>
      </c>
      <c r="AD28" s="13">
        <v>4010</v>
      </c>
      <c r="AE28" s="13">
        <v>29.932499999999997</v>
      </c>
      <c r="AF28" s="13">
        <v>6290</v>
      </c>
    </row>
    <row r="29" spans="1:32" x14ac:dyDescent="0.2">
      <c r="A29" s="12">
        <v>45684</v>
      </c>
      <c r="B29" s="13">
        <f>7593-(C29+D29+E29+F29)</f>
        <v>5716</v>
      </c>
      <c r="C29" s="13">
        <v>1427</v>
      </c>
      <c r="D29" s="13">
        <v>126</v>
      </c>
      <c r="E29" s="13">
        <v>213</v>
      </c>
      <c r="F29" s="13">
        <v>111</v>
      </c>
      <c r="G29" s="13">
        <v>111</v>
      </c>
      <c r="H29" s="13">
        <v>8749</v>
      </c>
      <c r="I29" s="13">
        <v>812</v>
      </c>
      <c r="J29" s="13">
        <v>1821</v>
      </c>
      <c r="K29" s="13">
        <v>12210</v>
      </c>
      <c r="L29" s="13">
        <v>3579</v>
      </c>
      <c r="M29" s="13">
        <v>8536</v>
      </c>
      <c r="N29" s="13">
        <v>364</v>
      </c>
      <c r="O29" s="13">
        <v>6184</v>
      </c>
      <c r="P29" s="13">
        <v>332</v>
      </c>
      <c r="Q29" s="13">
        <v>7856</v>
      </c>
      <c r="R29" s="13">
        <v>2991</v>
      </c>
      <c r="S29" s="13">
        <v>10425</v>
      </c>
      <c r="T29" s="13">
        <v>8362</v>
      </c>
      <c r="U29" s="13">
        <f>3*6.2898</f>
        <v>18.869399999999999</v>
      </c>
      <c r="V29" s="13">
        <v>774</v>
      </c>
      <c r="W29" s="13">
        <v>8495</v>
      </c>
      <c r="X29" s="13">
        <v>3782</v>
      </c>
      <c r="Y29" s="13">
        <v>3629</v>
      </c>
      <c r="Z29" s="13">
        <v>398</v>
      </c>
      <c r="AA29" s="13">
        <v>3145</v>
      </c>
      <c r="AB29" s="13">
        <v>165</v>
      </c>
      <c r="AC29" s="13">
        <v>2448</v>
      </c>
      <c r="AD29" s="13">
        <v>4010</v>
      </c>
      <c r="AE29" s="13">
        <v>29.932499999999997</v>
      </c>
      <c r="AF29" s="13">
        <v>6744</v>
      </c>
    </row>
    <row r="30" spans="1:32" x14ac:dyDescent="0.2">
      <c r="A30" s="12">
        <v>45685</v>
      </c>
      <c r="B30" s="13">
        <f>7635-(C30+D30+E30+F30)</f>
        <v>5783</v>
      </c>
      <c r="C30" s="13">
        <v>1392</v>
      </c>
      <c r="D30" s="13">
        <v>127</v>
      </c>
      <c r="E30" s="13">
        <v>215</v>
      </c>
      <c r="F30" s="13">
        <v>118</v>
      </c>
      <c r="G30" s="13">
        <v>118</v>
      </c>
      <c r="H30" s="13">
        <v>8790</v>
      </c>
      <c r="I30" s="13">
        <v>807</v>
      </c>
      <c r="J30" s="13">
        <v>1830</v>
      </c>
      <c r="K30" s="13">
        <v>12171</v>
      </c>
      <c r="L30" s="13">
        <v>3615</v>
      </c>
      <c r="M30" s="13">
        <v>8590</v>
      </c>
      <c r="N30" s="13">
        <v>212</v>
      </c>
      <c r="O30" s="13">
        <v>5734</v>
      </c>
      <c r="P30" s="13">
        <v>338</v>
      </c>
      <c r="Q30" s="13">
        <v>7856</v>
      </c>
      <c r="R30" s="13">
        <v>3051</v>
      </c>
      <c r="S30" s="13">
        <v>10273</v>
      </c>
      <c r="T30" s="13">
        <v>8308</v>
      </c>
      <c r="U30" s="13">
        <f>3*6.2898</f>
        <v>18.869399999999999</v>
      </c>
      <c r="V30" s="13">
        <v>758</v>
      </c>
      <c r="W30" s="13">
        <v>8463</v>
      </c>
      <c r="X30" s="13">
        <v>3945</v>
      </c>
      <c r="Y30" s="13">
        <v>3630</v>
      </c>
      <c r="Z30" s="13">
        <v>398</v>
      </c>
      <c r="AA30" s="13">
        <v>4000</v>
      </c>
      <c r="AB30" s="13">
        <v>165</v>
      </c>
      <c r="AC30" s="13">
        <v>4125</v>
      </c>
      <c r="AD30" s="13">
        <v>4010</v>
      </c>
      <c r="AE30" s="13">
        <v>29.932499999999997</v>
      </c>
      <c r="AF30" s="13">
        <v>6719</v>
      </c>
    </row>
    <row r="31" spans="1:32" x14ac:dyDescent="0.2">
      <c r="A31" s="12">
        <v>45686</v>
      </c>
      <c r="B31" s="13">
        <f>7685-(C31+D31+E31+F31)</f>
        <v>5822</v>
      </c>
      <c r="C31" s="13">
        <v>1422</v>
      </c>
      <c r="D31" s="13">
        <v>127</v>
      </c>
      <c r="E31" s="13">
        <v>203</v>
      </c>
      <c r="F31" s="13">
        <v>111</v>
      </c>
      <c r="G31" s="13">
        <v>111</v>
      </c>
      <c r="H31" s="13">
        <v>8763</v>
      </c>
      <c r="I31" s="13">
        <v>791</v>
      </c>
      <c r="J31" s="13">
        <v>1792</v>
      </c>
      <c r="K31" s="13">
        <v>12155</v>
      </c>
      <c r="L31" s="13">
        <v>3584</v>
      </c>
      <c r="M31" s="13">
        <v>8640</v>
      </c>
      <c r="N31" s="13">
        <v>168</v>
      </c>
      <c r="O31" s="13">
        <v>5453</v>
      </c>
      <c r="P31" s="13">
        <v>325</v>
      </c>
      <c r="Q31" s="13">
        <v>7856</v>
      </c>
      <c r="R31" s="13">
        <v>3027</v>
      </c>
      <c r="S31" s="13">
        <v>10363</v>
      </c>
      <c r="T31" s="13">
        <v>8458</v>
      </c>
      <c r="U31" s="13">
        <f>12*6.2898</f>
        <v>75.477599999999995</v>
      </c>
      <c r="V31" s="13">
        <v>813</v>
      </c>
      <c r="W31" s="13">
        <v>8441</v>
      </c>
      <c r="X31" s="13">
        <v>3805</v>
      </c>
      <c r="Y31" s="13">
        <v>3631</v>
      </c>
      <c r="Z31" s="13">
        <v>398</v>
      </c>
      <c r="AA31" s="13">
        <v>3128</v>
      </c>
      <c r="AB31" s="13">
        <v>165</v>
      </c>
      <c r="AC31" s="13">
        <v>0</v>
      </c>
      <c r="AD31" s="13">
        <v>4010</v>
      </c>
      <c r="AE31" s="13">
        <v>30</v>
      </c>
      <c r="AF31" s="13">
        <v>6697</v>
      </c>
    </row>
    <row r="32" spans="1:32" x14ac:dyDescent="0.2">
      <c r="A32" s="12">
        <v>45687</v>
      </c>
      <c r="B32" s="13">
        <f>7704-(C32+D32+E32+F32)</f>
        <v>5888</v>
      </c>
      <c r="C32" s="13">
        <v>1364</v>
      </c>
      <c r="D32" s="13">
        <v>125</v>
      </c>
      <c r="E32" s="13">
        <v>216</v>
      </c>
      <c r="F32" s="13">
        <v>111</v>
      </c>
      <c r="G32" s="13">
        <v>111</v>
      </c>
      <c r="H32" s="13">
        <v>8747</v>
      </c>
      <c r="I32" s="13">
        <v>790</v>
      </c>
      <c r="J32" s="13">
        <v>1777</v>
      </c>
      <c r="K32" s="13">
        <v>12156</v>
      </c>
      <c r="L32" s="13">
        <v>3594</v>
      </c>
      <c r="M32" s="13">
        <v>8439</v>
      </c>
      <c r="N32" s="13">
        <v>166</v>
      </c>
      <c r="O32" s="13">
        <v>6593</v>
      </c>
      <c r="P32" s="13">
        <v>384</v>
      </c>
      <c r="Q32" s="13">
        <v>7856</v>
      </c>
      <c r="R32" s="13">
        <v>2973</v>
      </c>
      <c r="S32" s="13">
        <v>10290</v>
      </c>
      <c r="T32" s="13">
        <v>8358</v>
      </c>
      <c r="U32" s="13">
        <f>16*6.2898</f>
        <v>100.63679999999999</v>
      </c>
      <c r="V32" s="13">
        <v>807</v>
      </c>
      <c r="W32" s="13">
        <v>8450</v>
      </c>
      <c r="X32" s="13">
        <v>4126</v>
      </c>
      <c r="Y32" s="13">
        <v>3639</v>
      </c>
      <c r="Z32" s="13">
        <v>398</v>
      </c>
      <c r="AA32" s="13">
        <v>2996</v>
      </c>
      <c r="AB32" s="13">
        <v>165</v>
      </c>
      <c r="AC32" s="13">
        <v>478</v>
      </c>
      <c r="AD32" s="13">
        <v>4010</v>
      </c>
      <c r="AE32" s="13">
        <v>41</v>
      </c>
      <c r="AF32" s="13">
        <v>6777</v>
      </c>
    </row>
    <row r="33" spans="1:32" x14ac:dyDescent="0.2">
      <c r="A33" s="12">
        <v>45688</v>
      </c>
      <c r="B33" s="13">
        <f>7670-(C33+D33+E33+F33)</f>
        <v>5849</v>
      </c>
      <c r="C33" s="13">
        <v>1376</v>
      </c>
      <c r="D33" s="13">
        <v>127</v>
      </c>
      <c r="E33" s="13">
        <v>206</v>
      </c>
      <c r="F33" s="13">
        <v>112</v>
      </c>
      <c r="G33" s="13">
        <v>112</v>
      </c>
      <c r="H33" s="13">
        <v>8572</v>
      </c>
      <c r="I33" s="13">
        <v>826</v>
      </c>
      <c r="J33" s="13">
        <v>1850</v>
      </c>
      <c r="K33" s="13">
        <v>12186</v>
      </c>
      <c r="L33" s="13">
        <v>3604</v>
      </c>
      <c r="M33" s="13">
        <v>8310</v>
      </c>
      <c r="N33" s="13">
        <v>696</v>
      </c>
      <c r="O33" s="13">
        <v>6127</v>
      </c>
      <c r="P33" s="13">
        <v>399</v>
      </c>
      <c r="Q33" s="13">
        <v>7856</v>
      </c>
      <c r="R33" s="13">
        <v>3087</v>
      </c>
      <c r="S33" s="13">
        <v>10356</v>
      </c>
      <c r="T33" s="13">
        <v>8191</v>
      </c>
      <c r="U33" s="13">
        <f>6.15*6.2898</f>
        <v>38.682270000000003</v>
      </c>
      <c r="V33" s="13">
        <v>773</v>
      </c>
      <c r="W33" s="13">
        <v>8486</v>
      </c>
      <c r="X33" s="13">
        <v>3645</v>
      </c>
      <c r="Y33" s="13">
        <v>3328</v>
      </c>
      <c r="Z33" s="13">
        <v>398</v>
      </c>
      <c r="AA33" s="13">
        <v>3231</v>
      </c>
      <c r="AB33" s="13">
        <v>165</v>
      </c>
      <c r="AC33" s="13">
        <v>2069</v>
      </c>
      <c r="AD33" s="13">
        <v>4010</v>
      </c>
      <c r="AE33" s="13">
        <v>29.932499999999997</v>
      </c>
      <c r="AF33" s="13">
        <v>6564</v>
      </c>
    </row>
    <row r="34" spans="1:32" x14ac:dyDescent="0.2">
      <c r="A34" s="12">
        <v>45689</v>
      </c>
      <c r="B34" s="13">
        <v>5876</v>
      </c>
      <c r="C34" s="13">
        <v>1387</v>
      </c>
      <c r="D34" s="13">
        <v>123</v>
      </c>
      <c r="E34" s="13">
        <v>228</v>
      </c>
      <c r="F34" s="13">
        <v>117</v>
      </c>
      <c r="G34" s="13">
        <v>130</v>
      </c>
      <c r="H34" s="13">
        <v>8546</v>
      </c>
      <c r="I34" s="13">
        <v>814</v>
      </c>
      <c r="J34" s="13">
        <v>1829</v>
      </c>
      <c r="K34" s="13">
        <v>11903</v>
      </c>
      <c r="L34" s="13">
        <v>3573</v>
      </c>
      <c r="M34" s="13">
        <v>8795</v>
      </c>
      <c r="N34" s="13">
        <v>293</v>
      </c>
      <c r="O34" s="13">
        <v>6618</v>
      </c>
      <c r="P34" s="13">
        <v>396</v>
      </c>
      <c r="Q34" s="13">
        <v>7886</v>
      </c>
      <c r="R34" s="13">
        <v>2991</v>
      </c>
      <c r="S34" s="13">
        <v>10272</v>
      </c>
      <c r="T34" s="13">
        <v>8343</v>
      </c>
      <c r="U34" s="13">
        <f>17*6.2898</f>
        <v>106.92659999999999</v>
      </c>
      <c r="V34" s="13">
        <v>819</v>
      </c>
      <c r="W34" s="13">
        <v>8343</v>
      </c>
      <c r="X34" s="13">
        <v>4147</v>
      </c>
      <c r="Y34" s="13">
        <v>2932</v>
      </c>
      <c r="Z34" s="13">
        <v>409</v>
      </c>
      <c r="AA34" s="13">
        <v>3195</v>
      </c>
      <c r="AB34" s="13">
        <v>155</v>
      </c>
      <c r="AC34" s="13">
        <v>2124</v>
      </c>
      <c r="AD34" s="13">
        <v>3</v>
      </c>
      <c r="AE34" s="13">
        <f>64*0.75</f>
        <v>48</v>
      </c>
      <c r="AF34" s="13">
        <v>6343</v>
      </c>
    </row>
    <row r="35" spans="1:32" x14ac:dyDescent="0.2">
      <c r="A35" s="12">
        <v>45690</v>
      </c>
      <c r="B35" s="13">
        <v>5900</v>
      </c>
      <c r="C35" s="13">
        <v>1430</v>
      </c>
      <c r="D35" s="13">
        <v>126</v>
      </c>
      <c r="E35" s="13">
        <v>214</v>
      </c>
      <c r="F35" s="13">
        <v>113</v>
      </c>
      <c r="G35" s="13">
        <v>130</v>
      </c>
      <c r="H35" s="13">
        <v>8536</v>
      </c>
      <c r="I35" s="13">
        <v>828</v>
      </c>
      <c r="J35" s="13">
        <v>1811</v>
      </c>
      <c r="K35" s="13">
        <v>11714</v>
      </c>
      <c r="L35" s="13">
        <v>3648</v>
      </c>
      <c r="M35" s="13">
        <v>8907</v>
      </c>
      <c r="N35" s="13">
        <v>502</v>
      </c>
      <c r="O35" s="13">
        <v>8234</v>
      </c>
      <c r="P35" s="13">
        <v>367</v>
      </c>
      <c r="Q35" s="13">
        <v>7838</v>
      </c>
      <c r="R35" s="13">
        <v>2943</v>
      </c>
      <c r="S35" s="13">
        <v>10335</v>
      </c>
      <c r="T35" s="13">
        <v>8358</v>
      </c>
      <c r="U35" s="13">
        <f>10*6.2898</f>
        <v>62.897999999999996</v>
      </c>
      <c r="V35" s="13">
        <v>785</v>
      </c>
      <c r="W35" s="13">
        <v>8358</v>
      </c>
      <c r="X35" s="13">
        <v>3606</v>
      </c>
      <c r="Y35" s="13">
        <v>2940</v>
      </c>
      <c r="Z35" s="13">
        <v>409</v>
      </c>
      <c r="AA35" s="13">
        <v>4000</v>
      </c>
      <c r="AB35" s="13">
        <v>155</v>
      </c>
      <c r="AC35" s="13">
        <v>1582</v>
      </c>
      <c r="AD35" s="13">
        <f>8225*0.49</f>
        <v>4030.25</v>
      </c>
      <c r="AE35" s="13">
        <f>55*0.75</f>
        <v>41.25</v>
      </c>
      <c r="AF35" s="13">
        <v>6704</v>
      </c>
    </row>
    <row r="36" spans="1:32" x14ac:dyDescent="0.2">
      <c r="A36" s="12">
        <v>45691</v>
      </c>
      <c r="B36" s="13">
        <v>5991</v>
      </c>
      <c r="C36" s="13">
        <v>1373</v>
      </c>
      <c r="D36" s="13">
        <v>125</v>
      </c>
      <c r="E36" s="13">
        <v>225</v>
      </c>
      <c r="F36" s="13">
        <v>115</v>
      </c>
      <c r="G36" s="13">
        <v>130</v>
      </c>
      <c r="H36" s="13">
        <v>8443</v>
      </c>
      <c r="I36" s="13">
        <v>845</v>
      </c>
      <c r="J36" s="13">
        <v>1835</v>
      </c>
      <c r="K36" s="13">
        <v>11621</v>
      </c>
      <c r="L36" s="13">
        <v>3664</v>
      </c>
      <c r="M36" s="13">
        <v>8791</v>
      </c>
      <c r="N36" s="13">
        <v>524</v>
      </c>
      <c r="O36" s="13">
        <v>7440</v>
      </c>
      <c r="P36" s="13">
        <v>370</v>
      </c>
      <c r="Q36" s="13">
        <v>7756</v>
      </c>
      <c r="R36" s="13">
        <v>2979</v>
      </c>
      <c r="S36" s="13">
        <v>10356</v>
      </c>
      <c r="T36" s="13">
        <v>8391</v>
      </c>
      <c r="U36" s="13">
        <f>10*6.2898</f>
        <v>62.897999999999996</v>
      </c>
      <c r="V36" s="13">
        <v>783</v>
      </c>
      <c r="W36" s="13">
        <v>8336</v>
      </c>
      <c r="X36" s="13">
        <v>3912</v>
      </c>
      <c r="Y36" s="13">
        <v>2945</v>
      </c>
      <c r="Z36" s="13">
        <f>233/0.55</f>
        <v>423.63636363636363</v>
      </c>
      <c r="AA36" s="13">
        <v>4000</v>
      </c>
      <c r="AB36" s="13">
        <v>155</v>
      </c>
      <c r="AC36" s="13">
        <v>1636</v>
      </c>
      <c r="AD36" s="13">
        <f>8230*0.49</f>
        <v>4032.7</v>
      </c>
      <c r="AE36" s="13">
        <f>56*0.75</f>
        <v>42</v>
      </c>
      <c r="AF36" s="13">
        <v>6088</v>
      </c>
    </row>
    <row r="37" spans="1:32" x14ac:dyDescent="0.2">
      <c r="A37" s="12">
        <v>45692</v>
      </c>
      <c r="B37" s="13">
        <v>5952</v>
      </c>
      <c r="C37" s="13">
        <v>1403</v>
      </c>
      <c r="D37" s="13">
        <v>125</v>
      </c>
      <c r="E37" s="13">
        <v>222</v>
      </c>
      <c r="F37" s="13">
        <v>112</v>
      </c>
      <c r="G37" s="13">
        <v>130</v>
      </c>
      <c r="H37" s="13">
        <v>8528.0740000000005</v>
      </c>
      <c r="I37" s="13">
        <v>889.91300000000001</v>
      </c>
      <c r="J37" s="13">
        <v>1933.5509999999999</v>
      </c>
      <c r="K37" s="13">
        <v>11554</v>
      </c>
      <c r="L37" s="13">
        <f>3456.97621832+307</f>
        <v>3763.97621832</v>
      </c>
      <c r="M37" s="13">
        <f>9116-N37</f>
        <v>8644</v>
      </c>
      <c r="N37" s="13">
        <v>472</v>
      </c>
      <c r="O37" s="13">
        <v>7493</v>
      </c>
      <c r="P37" s="13">
        <v>366</v>
      </c>
      <c r="Q37" s="13">
        <v>7783</v>
      </c>
      <c r="R37" s="13">
        <v>3003</v>
      </c>
      <c r="S37" s="13">
        <v>10286</v>
      </c>
      <c r="T37" s="13">
        <v>8115</v>
      </c>
      <c r="U37" s="13">
        <f>10*6.2898</f>
        <v>62.897999999999996</v>
      </c>
      <c r="V37" s="13">
        <v>794</v>
      </c>
      <c r="W37" s="13">
        <v>8305</v>
      </c>
      <c r="X37" s="13">
        <v>3808</v>
      </c>
      <c r="Y37" s="13">
        <v>2940</v>
      </c>
      <c r="Z37" s="13">
        <f>232/0.55</f>
        <v>421.81818181818176</v>
      </c>
      <c r="AA37" s="13">
        <v>4000</v>
      </c>
      <c r="AB37" s="13">
        <v>155</v>
      </c>
      <c r="AC37" s="13">
        <v>2689</v>
      </c>
      <c r="AD37" s="13">
        <f>8226*0.49</f>
        <v>4030.74</v>
      </c>
      <c r="AE37" s="13">
        <f>54*0.75</f>
        <v>40.5</v>
      </c>
      <c r="AF37" s="13">
        <v>7040</v>
      </c>
    </row>
    <row r="38" spans="1:32" x14ac:dyDescent="0.2">
      <c r="A38" s="12">
        <v>45693</v>
      </c>
      <c r="B38" s="13">
        <v>5931</v>
      </c>
      <c r="C38" s="13">
        <v>1400</v>
      </c>
      <c r="D38" s="13">
        <v>124</v>
      </c>
      <c r="E38" s="13">
        <v>224</v>
      </c>
      <c r="F38" s="13">
        <v>113</v>
      </c>
      <c r="G38" s="13">
        <v>130</v>
      </c>
      <c r="H38" s="13">
        <v>8508.8610000000008</v>
      </c>
      <c r="I38" s="13">
        <v>883.13300000000004</v>
      </c>
      <c r="J38" s="13">
        <v>1891.895</v>
      </c>
      <c r="K38" s="13">
        <v>11540</v>
      </c>
      <c r="L38" s="13">
        <f>3397.72901936+300</f>
        <v>3697.7290193600002</v>
      </c>
      <c r="M38" s="13">
        <f>9026-N38</f>
        <v>8633</v>
      </c>
      <c r="N38" s="13">
        <v>393</v>
      </c>
      <c r="O38" s="13">
        <v>9234</v>
      </c>
      <c r="P38" s="13">
        <v>387</v>
      </c>
      <c r="Q38" s="13">
        <v>7736</v>
      </c>
      <c r="R38" s="13">
        <v>2998</v>
      </c>
      <c r="S38" s="13">
        <v>10293</v>
      </c>
      <c r="T38" s="13">
        <v>8147</v>
      </c>
      <c r="U38" s="13">
        <f>14*6.2898</f>
        <v>88.057199999999995</v>
      </c>
      <c r="V38" s="13">
        <v>808</v>
      </c>
      <c r="W38" s="13">
        <v>8317</v>
      </c>
      <c r="X38" s="13">
        <v>3492</v>
      </c>
      <c r="Y38" s="13">
        <v>2947</v>
      </c>
      <c r="Z38" s="13">
        <f>233/0.55</f>
        <v>423.63636363636363</v>
      </c>
      <c r="AA38" s="13">
        <v>4000</v>
      </c>
      <c r="AB38" s="13">
        <v>155</v>
      </c>
      <c r="AC38" s="13">
        <v>2979</v>
      </c>
      <c r="AD38" s="13">
        <f>8228*0.49</f>
        <v>4031.72</v>
      </c>
      <c r="AE38" s="13">
        <f>49*0.75</f>
        <v>36.75</v>
      </c>
      <c r="AF38" s="13">
        <v>6957</v>
      </c>
    </row>
    <row r="39" spans="1:32" x14ac:dyDescent="0.2">
      <c r="A39" s="12">
        <v>45694</v>
      </c>
      <c r="B39" s="13">
        <v>5951</v>
      </c>
      <c r="C39" s="13">
        <v>1433</v>
      </c>
      <c r="D39" s="13">
        <v>123</v>
      </c>
      <c r="E39" s="13">
        <v>217</v>
      </c>
      <c r="F39" s="13">
        <v>110</v>
      </c>
      <c r="G39" s="13">
        <v>130</v>
      </c>
      <c r="H39" s="13">
        <v>8547.1029999999992</v>
      </c>
      <c r="I39" s="13">
        <v>806.84699999999998</v>
      </c>
      <c r="J39" s="13">
        <v>1624.1859999999999</v>
      </c>
      <c r="K39" s="13">
        <v>12082</v>
      </c>
      <c r="L39" s="13">
        <f>3563.41374884+324</f>
        <v>3887.4137488400002</v>
      </c>
      <c r="M39" s="13">
        <f>9252-N39</f>
        <v>8854</v>
      </c>
      <c r="N39" s="13">
        <v>398</v>
      </c>
      <c r="O39" s="13">
        <v>8711</v>
      </c>
      <c r="P39" s="13">
        <v>374</v>
      </c>
      <c r="Q39" s="13">
        <v>7752</v>
      </c>
      <c r="R39" s="13">
        <v>2961</v>
      </c>
      <c r="S39" s="13">
        <v>10176</v>
      </c>
      <c r="T39" s="13">
        <v>8130</v>
      </c>
      <c r="U39" s="13">
        <f>7*6.2898</f>
        <v>44.028599999999997</v>
      </c>
      <c r="V39" s="13">
        <v>777</v>
      </c>
      <c r="W39" s="13">
        <v>8190</v>
      </c>
      <c r="X39" s="13">
        <v>4043</v>
      </c>
      <c r="Y39" s="13">
        <v>2947</v>
      </c>
      <c r="Z39" s="13">
        <f>216/0.55</f>
        <v>392.72727272727269</v>
      </c>
      <c r="AA39" s="13">
        <v>4000</v>
      </c>
      <c r="AB39" s="13">
        <v>155</v>
      </c>
      <c r="AC39" s="13">
        <v>3001</v>
      </c>
      <c r="AD39" s="13">
        <f>8225*0.49</f>
        <v>4030.25</v>
      </c>
      <c r="AE39" s="13">
        <f>54*0.75</f>
        <v>40.5</v>
      </c>
      <c r="AF39" s="13">
        <v>6734</v>
      </c>
    </row>
    <row r="40" spans="1:32" x14ac:dyDescent="0.2">
      <c r="A40" s="12">
        <v>45695</v>
      </c>
      <c r="B40" s="13">
        <v>5978</v>
      </c>
      <c r="C40" s="13">
        <v>1418</v>
      </c>
      <c r="D40" s="13">
        <v>125</v>
      </c>
      <c r="E40" s="13">
        <v>226</v>
      </c>
      <c r="F40" s="13">
        <v>110</v>
      </c>
      <c r="G40" s="13">
        <v>130</v>
      </c>
      <c r="H40" s="13">
        <v>8527.8369999999995</v>
      </c>
      <c r="I40" s="13">
        <v>728.24900000000002</v>
      </c>
      <c r="J40" s="13">
        <v>1431.953</v>
      </c>
      <c r="K40" s="13">
        <v>12824</v>
      </c>
      <c r="L40" s="13">
        <v>4067.6672453599999</v>
      </c>
      <c r="M40" s="13">
        <f>8954-N40</f>
        <v>8556</v>
      </c>
      <c r="N40" s="13">
        <v>398</v>
      </c>
      <c r="O40" s="13">
        <v>9198</v>
      </c>
      <c r="P40" s="13">
        <v>331</v>
      </c>
      <c r="Q40" s="13">
        <v>7782</v>
      </c>
      <c r="R40" s="13">
        <v>2973</v>
      </c>
      <c r="S40" s="13">
        <v>10274</v>
      </c>
      <c r="T40" s="13">
        <v>8331</v>
      </c>
      <c r="U40" s="13">
        <f>14*6.2898</f>
        <v>88.057199999999995</v>
      </c>
      <c r="V40" s="13">
        <v>814</v>
      </c>
      <c r="W40" s="13">
        <v>8277</v>
      </c>
      <c r="X40" s="13">
        <v>3704</v>
      </c>
      <c r="Y40" s="13">
        <v>2947</v>
      </c>
      <c r="Z40" s="13">
        <f>238/0.55</f>
        <v>432.72727272727269</v>
      </c>
      <c r="AA40" s="13">
        <v>3034</v>
      </c>
      <c r="AB40" s="13">
        <v>155</v>
      </c>
      <c r="AC40" s="13">
        <v>2685</v>
      </c>
      <c r="AD40" s="13">
        <f>8228*0.49</f>
        <v>4031.72</v>
      </c>
      <c r="AE40" s="13">
        <f>54*0.75</f>
        <v>40.5</v>
      </c>
      <c r="AF40" s="13">
        <v>6927</v>
      </c>
    </row>
    <row r="41" spans="1:32" x14ac:dyDescent="0.2">
      <c r="A41" s="12">
        <v>45696</v>
      </c>
      <c r="B41" s="13">
        <v>5937</v>
      </c>
      <c r="C41" s="13">
        <v>1434</v>
      </c>
      <c r="D41" s="13">
        <v>127</v>
      </c>
      <c r="E41" s="13">
        <v>221</v>
      </c>
      <c r="F41" s="13">
        <v>111</v>
      </c>
      <c r="G41" s="13">
        <v>130</v>
      </c>
      <c r="H41" s="13">
        <v>8050.3019999999997</v>
      </c>
      <c r="I41" s="13">
        <v>854.49300000000005</v>
      </c>
      <c r="J41" s="13">
        <v>1594.7349999999999</v>
      </c>
      <c r="K41" s="13">
        <v>12306</v>
      </c>
      <c r="L41" s="13">
        <v>4202.9882837999994</v>
      </c>
      <c r="M41" s="13">
        <f>8800-N41</f>
        <v>8476</v>
      </c>
      <c r="N41" s="13">
        <v>324</v>
      </c>
      <c r="O41" s="13">
        <v>9257</v>
      </c>
      <c r="P41" s="13">
        <v>372</v>
      </c>
      <c r="Q41" s="13">
        <v>7791</v>
      </c>
      <c r="R41" s="13">
        <v>2660</v>
      </c>
      <c r="S41" s="13">
        <v>10274</v>
      </c>
      <c r="T41" s="13">
        <v>8286</v>
      </c>
      <c r="U41" s="13">
        <f>14*6.2898</f>
        <v>88.057199999999995</v>
      </c>
      <c r="V41" s="13">
        <v>816</v>
      </c>
      <c r="W41" s="13">
        <v>8222</v>
      </c>
      <c r="X41" s="13">
        <v>3801</v>
      </c>
      <c r="Y41" s="13">
        <v>2956</v>
      </c>
      <c r="Z41" s="13">
        <f>175/0.55</f>
        <v>318.18181818181813</v>
      </c>
      <c r="AA41" s="13">
        <v>3060</v>
      </c>
      <c r="AB41" s="13">
        <v>155</v>
      </c>
      <c r="AC41" s="13">
        <v>1535</v>
      </c>
      <c r="AD41" s="13">
        <f>8225*0.49</f>
        <v>4030.25</v>
      </c>
      <c r="AE41" s="13">
        <f t="shared" ref="AE41:AE46" si="0">56*0.75</f>
        <v>42</v>
      </c>
      <c r="AF41" s="13">
        <v>6719</v>
      </c>
    </row>
    <row r="42" spans="1:32" x14ac:dyDescent="0.2">
      <c r="A42" s="12">
        <v>45697</v>
      </c>
      <c r="B42" s="13">
        <v>5933</v>
      </c>
      <c r="C42" s="13">
        <v>1442</v>
      </c>
      <c r="D42" s="13">
        <v>124</v>
      </c>
      <c r="E42" s="13">
        <v>236</v>
      </c>
      <c r="F42" s="13">
        <v>115</v>
      </c>
      <c r="G42" s="13">
        <v>130</v>
      </c>
      <c r="H42" s="13">
        <v>8951.1450000000004</v>
      </c>
      <c r="I42" s="13">
        <v>919.74199999999996</v>
      </c>
      <c r="J42" s="13">
        <v>1834.079</v>
      </c>
      <c r="K42" s="13">
        <v>12660</v>
      </c>
      <c r="L42" s="13">
        <f>3543+713.8516918</f>
        <v>4256.8516918000005</v>
      </c>
      <c r="M42" s="13">
        <f>8938-N42</f>
        <v>8646</v>
      </c>
      <c r="N42" s="13">
        <v>292</v>
      </c>
      <c r="O42" s="13">
        <v>8991</v>
      </c>
      <c r="P42" s="13">
        <v>372</v>
      </c>
      <c r="Q42" s="13">
        <v>7788</v>
      </c>
      <c r="R42" s="13">
        <v>2618</v>
      </c>
      <c r="S42" s="13">
        <v>10320</v>
      </c>
      <c r="T42" s="13">
        <v>8203</v>
      </c>
      <c r="U42" s="13">
        <f>14*6.2898</f>
        <v>88.057199999999995</v>
      </c>
      <c r="V42" s="13">
        <v>813</v>
      </c>
      <c r="W42" s="13">
        <v>8263</v>
      </c>
      <c r="X42" s="13">
        <v>3868</v>
      </c>
      <c r="Y42" s="13">
        <v>2962</v>
      </c>
      <c r="Z42" s="13">
        <f>223/0.55</f>
        <v>405.45454545454544</v>
      </c>
      <c r="AA42" s="13">
        <v>3202</v>
      </c>
      <c r="AB42" s="13">
        <v>155</v>
      </c>
      <c r="AC42" s="13">
        <v>1525</v>
      </c>
      <c r="AD42" s="13">
        <f>8228*0.49</f>
        <v>4031.72</v>
      </c>
      <c r="AE42" s="13">
        <f t="shared" si="0"/>
        <v>42</v>
      </c>
      <c r="AF42" s="13">
        <v>6691</v>
      </c>
    </row>
    <row r="43" spans="1:32" x14ac:dyDescent="0.2">
      <c r="A43" s="12">
        <v>45698</v>
      </c>
      <c r="B43" s="13">
        <v>5970</v>
      </c>
      <c r="C43" s="13">
        <v>1441</v>
      </c>
      <c r="D43" s="13">
        <v>128</v>
      </c>
      <c r="E43" s="13">
        <v>216</v>
      </c>
      <c r="F43" s="13">
        <v>109</v>
      </c>
      <c r="G43" s="13">
        <v>130</v>
      </c>
      <c r="H43" s="13">
        <v>8549.1859999999997</v>
      </c>
      <c r="I43" s="13">
        <v>898.529</v>
      </c>
      <c r="J43" s="13">
        <v>1798.9770000000001</v>
      </c>
      <c r="K43" s="13">
        <v>12295</v>
      </c>
      <c r="L43" s="13">
        <f>3690.51561764+351</f>
        <v>4041.5156176400001</v>
      </c>
      <c r="M43" s="13">
        <f>8803-N43</f>
        <v>8511</v>
      </c>
      <c r="N43" s="13">
        <v>292</v>
      </c>
      <c r="O43" s="13">
        <v>9302</v>
      </c>
      <c r="P43" s="13">
        <v>370</v>
      </c>
      <c r="Q43" s="13">
        <v>7739</v>
      </c>
      <c r="R43" s="13">
        <v>2558</v>
      </c>
      <c r="S43" s="13">
        <v>10240</v>
      </c>
      <c r="T43" s="13">
        <v>8271</v>
      </c>
      <c r="U43" s="13">
        <f>20*6.2898</f>
        <v>125.79599999999999</v>
      </c>
      <c r="V43" s="13">
        <v>850</v>
      </c>
      <c r="W43" s="13">
        <v>8306</v>
      </c>
      <c r="X43" s="13">
        <v>3716</v>
      </c>
      <c r="Y43" s="13">
        <v>2953</v>
      </c>
      <c r="Z43" s="13">
        <f>251/0.55</f>
        <v>456.36363636363632</v>
      </c>
      <c r="AA43" s="13">
        <v>3220</v>
      </c>
      <c r="AB43" s="13">
        <v>155</v>
      </c>
      <c r="AC43" s="13">
        <v>3648</v>
      </c>
      <c r="AD43" s="13">
        <f>8224*0.49</f>
        <v>4029.7599999999998</v>
      </c>
      <c r="AE43" s="13">
        <f t="shared" si="0"/>
        <v>42</v>
      </c>
      <c r="AF43" s="13">
        <v>6707</v>
      </c>
    </row>
    <row r="44" spans="1:32" x14ac:dyDescent="0.2">
      <c r="A44" s="12">
        <v>45699</v>
      </c>
      <c r="B44" s="13">
        <v>5894</v>
      </c>
      <c r="C44" s="13">
        <v>1404</v>
      </c>
      <c r="D44" s="13">
        <v>124</v>
      </c>
      <c r="E44" s="13">
        <v>228</v>
      </c>
      <c r="F44" s="13">
        <v>109</v>
      </c>
      <c r="G44" s="13">
        <v>130</v>
      </c>
      <c r="H44" s="13">
        <v>8654.0660000000007</v>
      </c>
      <c r="I44" s="13">
        <v>839.85299999999995</v>
      </c>
      <c r="J44" s="13">
        <v>1737.654</v>
      </c>
      <c r="K44" s="13">
        <v>12235</v>
      </c>
      <c r="L44" s="13">
        <f>3708.08272368+357</f>
        <v>4065.0827236800001</v>
      </c>
      <c r="M44" s="13">
        <f>8806-N44</f>
        <v>8569</v>
      </c>
      <c r="N44" s="13">
        <v>237</v>
      </c>
      <c r="O44" s="13">
        <v>9880</v>
      </c>
      <c r="P44" s="13">
        <v>368</v>
      </c>
      <c r="Q44" s="13">
        <v>7707</v>
      </c>
      <c r="R44" s="13">
        <v>2727</v>
      </c>
      <c r="S44" s="13">
        <v>10304</v>
      </c>
      <c r="T44" s="13">
        <v>8066</v>
      </c>
      <c r="U44" s="13">
        <f>10*6.2898</f>
        <v>62.897999999999996</v>
      </c>
      <c r="V44" s="13">
        <v>795</v>
      </c>
      <c r="W44" s="13">
        <v>8251</v>
      </c>
      <c r="X44" s="13">
        <v>3837</v>
      </c>
      <c r="Y44" s="13">
        <v>2957</v>
      </c>
      <c r="Z44" s="13">
        <f>252/0.55</f>
        <v>458.18181818181813</v>
      </c>
      <c r="AA44" s="13">
        <v>3992</v>
      </c>
      <c r="AB44" s="13">
        <v>155</v>
      </c>
      <c r="AC44" s="13">
        <v>8251</v>
      </c>
      <c r="AD44" s="13">
        <f>8095*0.49</f>
        <v>3966.5499999999997</v>
      </c>
      <c r="AE44" s="13">
        <f t="shared" si="0"/>
        <v>42</v>
      </c>
      <c r="AF44" s="13">
        <v>6691</v>
      </c>
    </row>
    <row r="45" spans="1:32" x14ac:dyDescent="0.2">
      <c r="A45" s="12">
        <v>45700</v>
      </c>
      <c r="B45" s="13">
        <v>5872</v>
      </c>
      <c r="C45" s="13">
        <v>1407</v>
      </c>
      <c r="D45" s="13">
        <v>127</v>
      </c>
      <c r="E45" s="13">
        <v>221</v>
      </c>
      <c r="F45" s="13">
        <v>110</v>
      </c>
      <c r="G45" s="13">
        <v>130</v>
      </c>
      <c r="H45" s="13">
        <v>8599.116</v>
      </c>
      <c r="I45" s="13">
        <v>864.83299999999997</v>
      </c>
      <c r="J45" s="13">
        <v>1841.5029999999999</v>
      </c>
      <c r="K45" s="13">
        <v>12164</v>
      </c>
      <c r="L45" s="13">
        <f>3698.28086208+350</f>
        <v>4048.2808620800001</v>
      </c>
      <c r="M45" s="13">
        <f>8715-N45</f>
        <v>8478</v>
      </c>
      <c r="N45" s="13">
        <v>237</v>
      </c>
      <c r="O45" s="13">
        <v>9359</v>
      </c>
      <c r="P45" s="13">
        <v>379</v>
      </c>
      <c r="Q45" s="13">
        <v>7715</v>
      </c>
      <c r="R45" s="13">
        <v>2589</v>
      </c>
      <c r="S45" s="13">
        <v>10333</v>
      </c>
      <c r="T45" s="13">
        <v>8114</v>
      </c>
      <c r="U45" s="13">
        <f>10*6.2898</f>
        <v>62.897999999999996</v>
      </c>
      <c r="V45" s="13">
        <v>795</v>
      </c>
      <c r="W45" s="13">
        <v>8209</v>
      </c>
      <c r="X45" s="13">
        <v>3821</v>
      </c>
      <c r="Y45" s="13">
        <v>2957</v>
      </c>
      <c r="Z45" s="13">
        <f>252/0.55</f>
        <v>458.18181818181813</v>
      </c>
      <c r="AA45" s="13">
        <v>4506</v>
      </c>
      <c r="AB45" s="13">
        <v>155</v>
      </c>
      <c r="AC45" s="13">
        <v>8343</v>
      </c>
      <c r="AD45" s="13">
        <f>8096*0.49</f>
        <v>3967.04</v>
      </c>
      <c r="AE45" s="13">
        <f t="shared" si="0"/>
        <v>42</v>
      </c>
      <c r="AF45" s="13">
        <v>6701</v>
      </c>
    </row>
    <row r="46" spans="1:32" x14ac:dyDescent="0.2">
      <c r="A46" s="12">
        <v>45701</v>
      </c>
      <c r="B46" s="13">
        <v>5888</v>
      </c>
      <c r="C46" s="13">
        <v>1438</v>
      </c>
      <c r="D46" s="13">
        <v>120</v>
      </c>
      <c r="E46" s="13">
        <v>226</v>
      </c>
      <c r="F46" s="13">
        <v>114</v>
      </c>
      <c r="G46" s="13">
        <v>130</v>
      </c>
      <c r="H46" s="13">
        <v>8433.9750000000004</v>
      </c>
      <c r="I46" s="13">
        <v>916.11199999999997</v>
      </c>
      <c r="J46" s="13">
        <v>1931.396</v>
      </c>
      <c r="K46" s="13">
        <v>12159</v>
      </c>
      <c r="L46" s="13">
        <f>3672.05899412+346</f>
        <v>4018.0589941200001</v>
      </c>
      <c r="M46" s="13">
        <f>8750-N46</f>
        <v>8513</v>
      </c>
      <c r="N46" s="13">
        <v>237</v>
      </c>
      <c r="O46" s="13">
        <v>9514</v>
      </c>
      <c r="P46" s="13">
        <v>358</v>
      </c>
      <c r="Q46" s="13">
        <v>7705</v>
      </c>
      <c r="R46" s="13">
        <v>2703</v>
      </c>
      <c r="S46" s="13">
        <v>10246</v>
      </c>
      <c r="T46" s="13">
        <v>8091</v>
      </c>
      <c r="U46" s="13">
        <f>19*6.2898</f>
        <v>119.50619999999999</v>
      </c>
      <c r="V46" s="13">
        <v>842</v>
      </c>
      <c r="W46" s="13">
        <v>8227</v>
      </c>
      <c r="X46" s="13">
        <v>3830</v>
      </c>
      <c r="Y46" s="13">
        <v>2965</v>
      </c>
      <c r="Z46" s="13">
        <f>231/0.55</f>
        <v>419.99999999999994</v>
      </c>
      <c r="AA46" s="13">
        <v>4650</v>
      </c>
      <c r="AB46" s="13">
        <v>155</v>
      </c>
      <c r="AC46" s="13">
        <v>9084</v>
      </c>
      <c r="AD46" s="13">
        <f>8096*0.49</f>
        <v>3967.04</v>
      </c>
      <c r="AE46" s="13">
        <f t="shared" si="0"/>
        <v>42</v>
      </c>
      <c r="AF46" s="13">
        <v>6739</v>
      </c>
    </row>
    <row r="47" spans="1:32" x14ac:dyDescent="0.2">
      <c r="A47" s="12">
        <v>45702</v>
      </c>
      <c r="B47" s="13">
        <v>5902</v>
      </c>
      <c r="C47" s="13">
        <v>1441</v>
      </c>
      <c r="D47" s="13">
        <v>123</v>
      </c>
      <c r="E47" s="13">
        <v>219</v>
      </c>
      <c r="F47" s="13">
        <v>108</v>
      </c>
      <c r="G47" s="13">
        <v>130</v>
      </c>
      <c r="H47" s="13">
        <v>8582.7459999999992</v>
      </c>
      <c r="I47" s="13">
        <v>968.95399999999995</v>
      </c>
      <c r="J47" s="13">
        <v>1995.68</v>
      </c>
      <c r="K47" s="13">
        <v>12122</v>
      </c>
      <c r="L47" s="13">
        <f>3535.0628096+327</f>
        <v>3862.0628096</v>
      </c>
      <c r="M47" s="13">
        <f>9124-N47</f>
        <v>8609</v>
      </c>
      <c r="N47" s="13">
        <v>515</v>
      </c>
      <c r="O47" s="13">
        <v>9244</v>
      </c>
      <c r="P47" s="13">
        <v>366</v>
      </c>
      <c r="Q47" s="13">
        <v>7685</v>
      </c>
      <c r="R47" s="13">
        <v>2769</v>
      </c>
      <c r="S47" s="13">
        <v>10242</v>
      </c>
      <c r="T47" s="13">
        <v>7946</v>
      </c>
      <c r="U47" s="13">
        <f>20*6.2898</f>
        <v>125.79599999999999</v>
      </c>
      <c r="V47" s="13">
        <v>849</v>
      </c>
      <c r="W47" s="13">
        <v>8185</v>
      </c>
      <c r="X47" s="13">
        <v>3788</v>
      </c>
      <c r="Y47" s="13">
        <v>2965</v>
      </c>
      <c r="Z47" s="13">
        <f>237/0.55</f>
        <v>430.90909090909088</v>
      </c>
      <c r="AA47" s="13">
        <v>4525</v>
      </c>
      <c r="AB47" s="13">
        <v>155</v>
      </c>
      <c r="AC47" s="13">
        <v>9970</v>
      </c>
      <c r="AD47" s="13">
        <f>8095*0.49</f>
        <v>3966.5499999999997</v>
      </c>
      <c r="AE47" s="13">
        <f>55*0.75</f>
        <v>41.25</v>
      </c>
      <c r="AF47" s="13">
        <v>6644</v>
      </c>
    </row>
    <row r="48" spans="1:32" x14ac:dyDescent="0.2">
      <c r="A48" s="12">
        <v>45703</v>
      </c>
      <c r="B48" s="13">
        <v>5842</v>
      </c>
      <c r="C48" s="13">
        <v>1406</v>
      </c>
      <c r="D48" s="13">
        <v>125</v>
      </c>
      <c r="E48" s="13">
        <v>222</v>
      </c>
      <c r="F48" s="13">
        <v>110</v>
      </c>
      <c r="G48" s="13">
        <v>130</v>
      </c>
      <c r="H48" s="13">
        <v>8577.1740000000009</v>
      </c>
      <c r="I48" s="13">
        <v>1030.749</v>
      </c>
      <c r="J48" s="13">
        <v>2103.0219999999999</v>
      </c>
      <c r="K48" s="13">
        <v>11785</v>
      </c>
      <c r="L48" s="13">
        <f>3631.4902342+341</f>
        <v>3972.4902342</v>
      </c>
      <c r="M48" s="13">
        <f>9200-N48</f>
        <v>8729</v>
      </c>
      <c r="N48" s="13">
        <v>471</v>
      </c>
      <c r="O48" s="13">
        <v>9448</v>
      </c>
      <c r="P48" s="13">
        <v>357</v>
      </c>
      <c r="Q48" s="13">
        <v>7645</v>
      </c>
      <c r="R48" s="13">
        <v>2865</v>
      </c>
      <c r="S48" s="13">
        <v>10248</v>
      </c>
      <c r="T48" s="13">
        <v>7970</v>
      </c>
      <c r="U48" s="13">
        <f>19*6.2898</f>
        <v>119.50619999999999</v>
      </c>
      <c r="V48" s="13">
        <v>832</v>
      </c>
      <c r="W48" s="13">
        <v>8169</v>
      </c>
      <c r="X48" s="13">
        <v>3822</v>
      </c>
      <c r="Y48" s="13">
        <v>2965</v>
      </c>
      <c r="Z48" s="13">
        <f>238/0.55</f>
        <v>432.72727272727269</v>
      </c>
      <c r="AA48" s="13">
        <v>4556</v>
      </c>
      <c r="AB48" s="13">
        <v>155</v>
      </c>
      <c r="AC48" s="13">
        <v>9617</v>
      </c>
      <c r="AD48" s="13">
        <f>8225*0.49</f>
        <v>4030.25</v>
      </c>
      <c r="AE48" s="13">
        <f>54*0.75</f>
        <v>40.5</v>
      </c>
      <c r="AF48" s="13">
        <v>6654</v>
      </c>
    </row>
    <row r="49" spans="1:32" x14ac:dyDescent="0.2">
      <c r="A49" s="12">
        <v>45704</v>
      </c>
      <c r="B49" s="13">
        <v>5830</v>
      </c>
      <c r="C49" s="13">
        <v>1453</v>
      </c>
      <c r="D49" s="13">
        <v>128</v>
      </c>
      <c r="E49" s="13">
        <v>216</v>
      </c>
      <c r="F49" s="13">
        <v>114</v>
      </c>
      <c r="G49" s="13">
        <v>114</v>
      </c>
      <c r="H49" s="13">
        <v>8598.1530000000002</v>
      </c>
      <c r="I49" s="13">
        <v>1046.973</v>
      </c>
      <c r="J49" s="13">
        <v>2230.4659999999999</v>
      </c>
      <c r="K49" s="13">
        <v>10680</v>
      </c>
      <c r="L49" s="13">
        <f>3746.84160716+357</f>
        <v>4103.8416071600004</v>
      </c>
      <c r="M49" s="13">
        <f>9313-N49</f>
        <v>8910</v>
      </c>
      <c r="N49" s="13">
        <v>403</v>
      </c>
      <c r="O49" s="13">
        <v>9397</v>
      </c>
      <c r="P49" s="13">
        <v>357</v>
      </c>
      <c r="Q49" s="13">
        <v>7659</v>
      </c>
      <c r="R49" s="13">
        <v>2721</v>
      </c>
      <c r="S49" s="13">
        <v>10201</v>
      </c>
      <c r="T49" s="13">
        <v>7913</v>
      </c>
      <c r="U49" s="13">
        <f>4*6.2898</f>
        <v>25.159199999999998</v>
      </c>
      <c r="V49" s="13">
        <v>661</v>
      </c>
      <c r="W49" s="13">
        <v>8180</v>
      </c>
      <c r="X49" s="13">
        <v>3737</v>
      </c>
      <c r="Y49" s="13">
        <v>3163</v>
      </c>
      <c r="Z49" s="13">
        <f>238/0.55</f>
        <v>432.72727272727269</v>
      </c>
      <c r="AA49" s="13">
        <v>3135</v>
      </c>
      <c r="AB49" s="13">
        <v>155</v>
      </c>
      <c r="AC49" s="13">
        <v>9005</v>
      </c>
      <c r="AD49" s="13">
        <f>8223*0.49</f>
        <v>4029.27</v>
      </c>
      <c r="AE49" s="13">
        <f t="shared" ref="AE49:AE56" si="1">56*0.75</f>
        <v>42</v>
      </c>
      <c r="AF49" s="13">
        <v>6724</v>
      </c>
    </row>
    <row r="50" spans="1:32" x14ac:dyDescent="0.2">
      <c r="A50" s="12">
        <v>45705</v>
      </c>
      <c r="B50" s="13">
        <v>5866</v>
      </c>
      <c r="C50" s="13">
        <v>1422</v>
      </c>
      <c r="D50" s="13">
        <v>126</v>
      </c>
      <c r="E50" s="13">
        <v>237</v>
      </c>
      <c r="F50" s="13">
        <v>106</v>
      </c>
      <c r="G50" s="13">
        <v>106</v>
      </c>
      <c r="H50" s="13">
        <v>8664.8070000000007</v>
      </c>
      <c r="I50" s="13">
        <v>810.26400000000001</v>
      </c>
      <c r="J50" s="13">
        <v>1733.414</v>
      </c>
      <c r="K50" s="13">
        <v>12445</v>
      </c>
      <c r="L50" s="13">
        <f>3593.25887528+334</f>
        <v>3927.2588752800002</v>
      </c>
      <c r="M50" s="13">
        <f>9045-N50</f>
        <v>8641</v>
      </c>
      <c r="N50" s="13">
        <v>404</v>
      </c>
      <c r="O50" s="13">
        <v>9549</v>
      </c>
      <c r="P50" s="13">
        <v>359</v>
      </c>
      <c r="Q50" s="13">
        <v>7215</v>
      </c>
      <c r="R50" s="13">
        <v>2830</v>
      </c>
      <c r="S50" s="13">
        <v>10227</v>
      </c>
      <c r="T50" s="13">
        <v>8046</v>
      </c>
      <c r="U50" s="13">
        <f>18*6.2898</f>
        <v>113.21639999999999</v>
      </c>
      <c r="V50" s="13">
        <v>780</v>
      </c>
      <c r="W50" s="13">
        <v>8150</v>
      </c>
      <c r="X50" s="13">
        <v>3850</v>
      </c>
      <c r="Y50" s="13">
        <v>3645</v>
      </c>
      <c r="Z50" s="13">
        <f>239/0.55</f>
        <v>434.5454545454545</v>
      </c>
      <c r="AA50" s="13">
        <v>3606</v>
      </c>
      <c r="AB50" s="13">
        <v>155</v>
      </c>
      <c r="AC50" s="13">
        <v>9132</v>
      </c>
      <c r="AD50" s="13">
        <f>8226*0.49</f>
        <v>4030.74</v>
      </c>
      <c r="AE50" s="13">
        <f t="shared" si="1"/>
        <v>42</v>
      </c>
      <c r="AF50" s="13">
        <v>6735</v>
      </c>
    </row>
    <row r="51" spans="1:32" x14ac:dyDescent="0.2">
      <c r="A51" s="12">
        <v>45706</v>
      </c>
      <c r="B51" s="13">
        <v>5823</v>
      </c>
      <c r="C51" s="13">
        <v>1500</v>
      </c>
      <c r="D51" s="13">
        <v>127</v>
      </c>
      <c r="E51" s="13">
        <v>228</v>
      </c>
      <c r="F51" s="13">
        <v>109</v>
      </c>
      <c r="G51" s="13">
        <v>109</v>
      </c>
      <c r="H51" s="13">
        <v>8681.5869999999995</v>
      </c>
      <c r="I51" s="13">
        <v>715.93499999999995</v>
      </c>
      <c r="J51" s="13">
        <v>1665.0360000000001</v>
      </c>
      <c r="K51" s="13">
        <v>12447</v>
      </c>
      <c r="L51" s="13">
        <f>3554.7760946+329</f>
        <v>3883.7760945999999</v>
      </c>
      <c r="M51" s="13">
        <f>9020-N51</f>
        <v>8631</v>
      </c>
      <c r="N51" s="13">
        <v>389</v>
      </c>
      <c r="O51" s="13">
        <v>9745</v>
      </c>
      <c r="P51" s="13">
        <v>359</v>
      </c>
      <c r="Q51" s="13">
        <v>6892</v>
      </c>
      <c r="R51" s="13">
        <v>2769</v>
      </c>
      <c r="S51" s="13">
        <v>10099</v>
      </c>
      <c r="T51" s="13">
        <v>8017</v>
      </c>
      <c r="U51" s="13">
        <f>14*6.2898</f>
        <v>88.057199999999995</v>
      </c>
      <c r="V51" s="13">
        <v>785</v>
      </c>
      <c r="W51" s="13">
        <v>8180</v>
      </c>
      <c r="X51" s="13">
        <v>3700</v>
      </c>
      <c r="Y51" s="13">
        <v>3645</v>
      </c>
      <c r="Z51" s="13">
        <f>236/0.55</f>
        <v>429.09090909090907</v>
      </c>
      <c r="AA51" s="13">
        <v>3033</v>
      </c>
      <c r="AB51" s="13">
        <v>155</v>
      </c>
      <c r="AC51" s="13">
        <v>9145</v>
      </c>
      <c r="AD51" s="13">
        <f>8230*0.49</f>
        <v>4032.7</v>
      </c>
      <c r="AE51" s="13">
        <f t="shared" si="1"/>
        <v>42</v>
      </c>
      <c r="AF51" s="13">
        <v>6654</v>
      </c>
    </row>
    <row r="52" spans="1:32" x14ac:dyDescent="0.2">
      <c r="A52" s="12">
        <v>45707</v>
      </c>
      <c r="B52" s="13">
        <v>5812</v>
      </c>
      <c r="C52" s="13">
        <v>1485</v>
      </c>
      <c r="D52" s="13">
        <v>126</v>
      </c>
      <c r="E52" s="13">
        <v>233</v>
      </c>
      <c r="F52" s="13">
        <v>107</v>
      </c>
      <c r="G52" s="13">
        <v>107</v>
      </c>
      <c r="H52" s="13">
        <v>9852</v>
      </c>
      <c r="I52" s="13">
        <v>744</v>
      </c>
      <c r="J52" s="13">
        <v>1730</v>
      </c>
      <c r="K52" s="13">
        <v>12661</v>
      </c>
      <c r="L52" s="13">
        <v>3804</v>
      </c>
      <c r="M52" s="13">
        <v>8761</v>
      </c>
      <c r="N52" s="13">
        <v>324</v>
      </c>
      <c r="O52" s="13">
        <v>9519</v>
      </c>
      <c r="P52" s="13">
        <v>384</v>
      </c>
      <c r="Q52" s="13">
        <v>7357</v>
      </c>
      <c r="R52" s="13">
        <v>2872</v>
      </c>
      <c r="S52" s="13">
        <v>10434</v>
      </c>
      <c r="T52" s="13">
        <v>7913</v>
      </c>
      <c r="U52" s="13">
        <f>14*6.2898</f>
        <v>88.057199999999995</v>
      </c>
      <c r="V52" s="13">
        <v>828</v>
      </c>
      <c r="W52" s="13">
        <v>8205</v>
      </c>
      <c r="X52" s="13">
        <v>4017</v>
      </c>
      <c r="Y52" s="13">
        <v>3629</v>
      </c>
      <c r="Z52" s="13">
        <f>236/0.55</f>
        <v>429.09090909090907</v>
      </c>
      <c r="AA52" s="13">
        <v>3444</v>
      </c>
      <c r="AB52" s="13">
        <v>155</v>
      </c>
      <c r="AC52" s="13">
        <v>9223</v>
      </c>
      <c r="AD52" s="13">
        <f>8226*0.49</f>
        <v>4030.74</v>
      </c>
      <c r="AE52" s="13">
        <f t="shared" si="1"/>
        <v>42</v>
      </c>
      <c r="AF52" s="13">
        <v>6980</v>
      </c>
    </row>
    <row r="53" spans="1:32" x14ac:dyDescent="0.2">
      <c r="A53" s="12">
        <v>45708</v>
      </c>
      <c r="B53" s="13">
        <v>5684</v>
      </c>
      <c r="C53" s="13">
        <v>1500</v>
      </c>
      <c r="D53" s="13">
        <v>128</v>
      </c>
      <c r="E53" s="13">
        <v>224</v>
      </c>
      <c r="F53" s="13">
        <v>101</v>
      </c>
      <c r="G53" s="13">
        <v>101</v>
      </c>
      <c r="H53" s="13">
        <v>9852</v>
      </c>
      <c r="I53" s="13">
        <v>744</v>
      </c>
      <c r="J53" s="13">
        <v>1730</v>
      </c>
      <c r="K53" s="13">
        <v>12661</v>
      </c>
      <c r="L53" s="13">
        <v>3804</v>
      </c>
      <c r="M53" s="13">
        <f>9170-N53</f>
        <v>8853</v>
      </c>
      <c r="N53" s="13">
        <v>317</v>
      </c>
      <c r="O53" s="13">
        <v>9519</v>
      </c>
      <c r="P53" s="13">
        <v>384</v>
      </c>
      <c r="Q53" s="13">
        <v>7424</v>
      </c>
      <c r="R53" s="13">
        <v>2877</v>
      </c>
      <c r="S53" s="13">
        <v>10113</v>
      </c>
      <c r="T53" s="13">
        <v>8046</v>
      </c>
      <c r="U53" s="13">
        <f>17*6.2898</f>
        <v>106.92659999999999</v>
      </c>
      <c r="V53" s="13">
        <v>817</v>
      </c>
      <c r="W53" s="13">
        <v>8205</v>
      </c>
      <c r="X53" s="13">
        <v>3551</v>
      </c>
      <c r="Y53" s="13">
        <v>3629</v>
      </c>
      <c r="Z53" s="13">
        <f>225/0.55</f>
        <v>409.09090909090907</v>
      </c>
      <c r="AA53" s="13">
        <v>4646</v>
      </c>
      <c r="AB53" s="13">
        <v>155</v>
      </c>
      <c r="AC53" s="13">
        <v>9106</v>
      </c>
      <c r="AD53" s="13">
        <f>8226*0.49</f>
        <v>4030.74</v>
      </c>
      <c r="AE53" s="13">
        <f t="shared" si="1"/>
        <v>42</v>
      </c>
      <c r="AF53" s="13">
        <v>6879</v>
      </c>
    </row>
    <row r="54" spans="1:32" x14ac:dyDescent="0.2">
      <c r="A54" s="12">
        <v>45709</v>
      </c>
      <c r="B54" s="13">
        <v>5877</v>
      </c>
      <c r="C54" s="13">
        <v>1434</v>
      </c>
      <c r="D54" s="13">
        <v>120</v>
      </c>
      <c r="E54" s="13">
        <v>238</v>
      </c>
      <c r="F54" s="13">
        <v>102</v>
      </c>
      <c r="G54" s="13">
        <v>102</v>
      </c>
      <c r="H54" s="13">
        <v>8701</v>
      </c>
      <c r="I54" s="13">
        <v>748</v>
      </c>
      <c r="J54" s="13">
        <v>1752</v>
      </c>
      <c r="K54" s="13">
        <v>12590</v>
      </c>
      <c r="L54" s="13">
        <v>3688</v>
      </c>
      <c r="M54" s="13">
        <v>8963</v>
      </c>
      <c r="N54" s="13">
        <v>289</v>
      </c>
      <c r="O54" s="13">
        <v>8826</v>
      </c>
      <c r="P54" s="13">
        <v>414</v>
      </c>
      <c r="Q54" s="13">
        <v>7561</v>
      </c>
      <c r="R54" s="13">
        <v>2853</v>
      </c>
      <c r="S54" s="13">
        <v>9117</v>
      </c>
      <c r="T54" s="13">
        <v>8027</v>
      </c>
      <c r="U54" s="13">
        <f>17*6.2898</f>
        <v>106.92659999999999</v>
      </c>
      <c r="V54" s="13">
        <v>833</v>
      </c>
      <c r="W54" s="13">
        <v>8128</v>
      </c>
      <c r="X54" s="13">
        <v>4057</v>
      </c>
      <c r="Y54" s="13">
        <v>3637</v>
      </c>
      <c r="Z54" s="13">
        <f>227/0.55</f>
        <v>412.72727272727269</v>
      </c>
      <c r="AA54" s="13">
        <v>4393</v>
      </c>
      <c r="AB54" s="13">
        <v>155</v>
      </c>
      <c r="AC54" s="13">
        <v>8887</v>
      </c>
      <c r="AD54" s="13">
        <f>8231*0.49</f>
        <v>4033.19</v>
      </c>
      <c r="AE54" s="13">
        <f t="shared" si="1"/>
        <v>42</v>
      </c>
      <c r="AF54" s="13">
        <v>7099</v>
      </c>
    </row>
    <row r="55" spans="1:32" x14ac:dyDescent="0.2">
      <c r="A55" s="12">
        <v>45710</v>
      </c>
      <c r="B55" s="13">
        <v>5884</v>
      </c>
      <c r="C55" s="13">
        <v>1513</v>
      </c>
      <c r="D55" s="13">
        <v>126</v>
      </c>
      <c r="E55" s="13">
        <v>227</v>
      </c>
      <c r="F55" s="13">
        <v>103</v>
      </c>
      <c r="G55" s="13">
        <v>103</v>
      </c>
      <c r="H55" s="13">
        <v>8634</v>
      </c>
      <c r="I55" s="13">
        <v>847</v>
      </c>
      <c r="J55" s="13">
        <v>1861</v>
      </c>
      <c r="K55" s="13">
        <v>12591</v>
      </c>
      <c r="L55" s="13">
        <v>3645</v>
      </c>
      <c r="M55" s="13">
        <v>8869</v>
      </c>
      <c r="N55" s="13">
        <v>338</v>
      </c>
      <c r="O55" s="13">
        <v>9640</v>
      </c>
      <c r="P55" s="13">
        <v>411</v>
      </c>
      <c r="Q55" s="13">
        <v>7587</v>
      </c>
      <c r="R55" s="13">
        <v>2763</v>
      </c>
      <c r="S55" s="13">
        <v>9073</v>
      </c>
      <c r="T55" s="13">
        <v>8001</v>
      </c>
      <c r="U55" s="13">
        <f>7*6.2898</f>
        <v>44.028599999999997</v>
      </c>
      <c r="V55" s="13">
        <v>149</v>
      </c>
      <c r="W55" s="13">
        <v>8147</v>
      </c>
      <c r="X55" s="13">
        <v>3923</v>
      </c>
      <c r="Y55" s="13">
        <v>3635</v>
      </c>
      <c r="Z55" s="13">
        <f>203/0.55</f>
        <v>369.09090909090907</v>
      </c>
      <c r="AA55" s="13">
        <v>3860</v>
      </c>
      <c r="AB55" s="13">
        <v>155</v>
      </c>
      <c r="AC55" s="13">
        <v>9059</v>
      </c>
      <c r="AD55" s="13">
        <f>8224*0.49</f>
        <v>4029.7599999999998</v>
      </c>
      <c r="AE55" s="13">
        <f t="shared" si="1"/>
        <v>42</v>
      </c>
      <c r="AF55" s="13">
        <v>7395</v>
      </c>
    </row>
    <row r="56" spans="1:32" x14ac:dyDescent="0.2">
      <c r="A56" s="12">
        <v>45711</v>
      </c>
      <c r="B56" s="13">
        <v>5761</v>
      </c>
      <c r="C56" s="13">
        <v>1471</v>
      </c>
      <c r="D56" s="13">
        <v>119</v>
      </c>
      <c r="E56" s="13">
        <v>237</v>
      </c>
      <c r="F56" s="13">
        <v>111</v>
      </c>
      <c r="G56" s="13">
        <v>111</v>
      </c>
      <c r="H56" s="13">
        <v>8575</v>
      </c>
      <c r="I56" s="13">
        <v>834</v>
      </c>
      <c r="J56" s="13">
        <v>1834</v>
      </c>
      <c r="K56" s="13">
        <v>12562</v>
      </c>
      <c r="L56" s="13">
        <v>3792</v>
      </c>
      <c r="M56" s="13">
        <v>8780</v>
      </c>
      <c r="N56" s="13">
        <v>325</v>
      </c>
      <c r="O56" s="13">
        <v>9350</v>
      </c>
      <c r="P56" s="13">
        <v>411</v>
      </c>
      <c r="Q56" s="13">
        <v>7656</v>
      </c>
      <c r="R56" s="13">
        <v>2733</v>
      </c>
      <c r="S56" s="13">
        <v>9061</v>
      </c>
      <c r="T56" s="13">
        <v>8035</v>
      </c>
      <c r="U56" s="13">
        <f>7*6.2898</f>
        <v>44.028599999999997</v>
      </c>
      <c r="V56" s="13">
        <v>579</v>
      </c>
      <c r="W56" s="13">
        <v>8100</v>
      </c>
      <c r="X56" s="13">
        <v>4041</v>
      </c>
      <c r="Y56" s="13">
        <v>3638</v>
      </c>
      <c r="Z56" s="13">
        <f>255/0.55</f>
        <v>463.63636363636363</v>
      </c>
      <c r="AA56" s="13">
        <v>3194</v>
      </c>
      <c r="AB56" s="13">
        <v>155</v>
      </c>
      <c r="AC56" s="13">
        <v>8935</v>
      </c>
      <c r="AD56" s="13">
        <f>8203*0.49</f>
        <v>4019.47</v>
      </c>
      <c r="AE56" s="13">
        <f t="shared" si="1"/>
        <v>42</v>
      </c>
      <c r="AF56" s="13">
        <v>7488</v>
      </c>
    </row>
    <row r="57" spans="1:32" x14ac:dyDescent="0.2">
      <c r="A57" s="12">
        <v>45712</v>
      </c>
      <c r="B57" s="13">
        <v>5857</v>
      </c>
      <c r="C57" s="13">
        <v>1419</v>
      </c>
      <c r="D57" s="13">
        <v>125</v>
      </c>
      <c r="E57" s="13">
        <v>233</v>
      </c>
      <c r="F57" s="13">
        <v>112</v>
      </c>
      <c r="G57" s="13">
        <v>112</v>
      </c>
      <c r="H57" s="13">
        <v>8407.8279999999995</v>
      </c>
      <c r="I57" s="13">
        <v>780.86800000000005</v>
      </c>
      <c r="J57" s="13">
        <v>1713.9059999999999</v>
      </c>
      <c r="K57" s="13">
        <v>12540</v>
      </c>
      <c r="L57" s="13">
        <f>3445.61942568+315</f>
        <v>3760.6194256799999</v>
      </c>
      <c r="M57" s="13">
        <f>9104-N57</f>
        <v>8783</v>
      </c>
      <c r="N57" s="13">
        <v>321</v>
      </c>
      <c r="O57" s="13">
        <v>7746</v>
      </c>
      <c r="P57" s="13">
        <v>0</v>
      </c>
      <c r="Q57" s="13">
        <v>7656</v>
      </c>
      <c r="R57" s="13">
        <v>2781</v>
      </c>
      <c r="S57" s="13">
        <v>9090</v>
      </c>
      <c r="T57" s="13">
        <v>8008</v>
      </c>
      <c r="U57" s="13">
        <f>17*6.2898</f>
        <v>106.92659999999999</v>
      </c>
      <c r="V57" s="13">
        <v>692</v>
      </c>
      <c r="W57" s="13">
        <v>8219</v>
      </c>
      <c r="X57" s="13">
        <v>3910</v>
      </c>
      <c r="Y57" s="13">
        <v>3640</v>
      </c>
      <c r="Z57" s="13">
        <f>186/0.55</f>
        <v>338.18181818181813</v>
      </c>
      <c r="AA57" s="13">
        <v>3653</v>
      </c>
      <c r="AB57" s="13">
        <v>155</v>
      </c>
      <c r="AC57" s="13">
        <v>8862</v>
      </c>
      <c r="AD57" s="13">
        <f>8122*0.49</f>
        <v>3979.7799999999997</v>
      </c>
      <c r="AE57" s="13">
        <f>55*0.75</f>
        <v>41.25</v>
      </c>
      <c r="AF57" s="13">
        <v>7106</v>
      </c>
    </row>
    <row r="58" spans="1:32" x14ac:dyDescent="0.2">
      <c r="A58" s="12">
        <v>45713</v>
      </c>
      <c r="B58" s="13">
        <v>5798</v>
      </c>
      <c r="C58" s="13">
        <v>1455</v>
      </c>
      <c r="D58" s="13">
        <v>119</v>
      </c>
      <c r="E58" s="13">
        <v>234</v>
      </c>
      <c r="F58" s="13">
        <v>104</v>
      </c>
      <c r="G58" s="13">
        <v>104</v>
      </c>
      <c r="H58" s="13">
        <v>7607.0249999999996</v>
      </c>
      <c r="I58" s="13">
        <v>751.92700000000002</v>
      </c>
      <c r="J58" s="13">
        <v>1533.7719999999999</v>
      </c>
      <c r="K58" s="13">
        <v>11396</v>
      </c>
      <c r="L58" s="13">
        <f>3305.80730016+294</f>
        <v>3599.8073001600001</v>
      </c>
      <c r="M58" s="13">
        <f>9005-N58</f>
        <v>8644</v>
      </c>
      <c r="N58" s="13">
        <v>361</v>
      </c>
      <c r="O58" s="13">
        <v>8300</v>
      </c>
      <c r="P58" s="13">
        <v>0</v>
      </c>
      <c r="Q58" s="13">
        <v>7779</v>
      </c>
      <c r="R58" s="13">
        <v>2589</v>
      </c>
      <c r="S58" s="13">
        <v>13617</v>
      </c>
      <c r="T58" s="13">
        <v>8024</v>
      </c>
      <c r="U58" s="13">
        <f>17*6.2898</f>
        <v>106.92659999999999</v>
      </c>
      <c r="V58" s="13">
        <v>700</v>
      </c>
      <c r="W58" s="13">
        <v>8161</v>
      </c>
      <c r="X58" s="13">
        <v>4021</v>
      </c>
      <c r="Y58" s="13">
        <v>3645</v>
      </c>
      <c r="Z58" s="13">
        <f>241/0.55</f>
        <v>438.18181818181813</v>
      </c>
      <c r="AA58" s="13">
        <v>3791</v>
      </c>
      <c r="AB58" s="13">
        <v>155</v>
      </c>
      <c r="AC58" s="13">
        <v>8985</v>
      </c>
      <c r="AD58" s="13">
        <f>8227*0.49</f>
        <v>4031.23</v>
      </c>
      <c r="AE58" s="13">
        <f>55*0.75</f>
        <v>41.25</v>
      </c>
      <c r="AF58" s="13">
        <v>7198</v>
      </c>
    </row>
    <row r="59" spans="1:32" x14ac:dyDescent="0.2">
      <c r="A59" s="12">
        <v>45714</v>
      </c>
      <c r="B59" s="13">
        <v>5823</v>
      </c>
      <c r="C59" s="13">
        <v>1500</v>
      </c>
      <c r="D59" s="13">
        <v>127</v>
      </c>
      <c r="E59" s="13">
        <v>228</v>
      </c>
      <c r="F59" s="13">
        <v>109</v>
      </c>
      <c r="G59" s="13">
        <v>109</v>
      </c>
      <c r="H59" s="13">
        <v>6391.7190000000001</v>
      </c>
      <c r="I59" s="13">
        <v>899.952</v>
      </c>
      <c r="J59" s="13">
        <v>1370.0730000000001</v>
      </c>
      <c r="K59" s="13">
        <v>11462</v>
      </c>
      <c r="L59" s="13">
        <f>1485.16891788+146</f>
        <v>1631.16891788</v>
      </c>
      <c r="M59" s="13">
        <f>8902-N59</f>
        <v>8530</v>
      </c>
      <c r="N59" s="13">
        <v>372</v>
      </c>
      <c r="O59" s="13">
        <v>8047</v>
      </c>
      <c r="P59" s="13">
        <v>0</v>
      </c>
      <c r="Q59" s="13">
        <v>7715</v>
      </c>
      <c r="R59" s="13">
        <v>2733</v>
      </c>
      <c r="S59" s="13">
        <v>9816</v>
      </c>
      <c r="T59" s="13">
        <v>8169</v>
      </c>
      <c r="U59" s="13">
        <f>17*6.2898</f>
        <v>106.92659999999999</v>
      </c>
      <c r="V59" s="13">
        <v>700</v>
      </c>
      <c r="W59" s="13">
        <v>8275</v>
      </c>
      <c r="X59" s="13">
        <v>3605</v>
      </c>
      <c r="Y59" s="13">
        <v>3645</v>
      </c>
      <c r="Z59" s="13">
        <f>241/0.55</f>
        <v>438.18181818181813</v>
      </c>
      <c r="AA59" s="13">
        <v>4089</v>
      </c>
      <c r="AB59" s="13">
        <v>155</v>
      </c>
      <c r="AC59" s="13">
        <v>8868</v>
      </c>
      <c r="AD59" s="13">
        <f>8226*0.49</f>
        <v>4030.74</v>
      </c>
      <c r="AE59" s="13">
        <f>55*0.75</f>
        <v>41.25</v>
      </c>
      <c r="AF59" s="13">
        <v>6937</v>
      </c>
    </row>
    <row r="60" spans="1:32" x14ac:dyDescent="0.2">
      <c r="A60" s="12">
        <v>45715</v>
      </c>
      <c r="B60" s="13">
        <v>5902</v>
      </c>
      <c r="C60" s="13">
        <v>1485</v>
      </c>
      <c r="D60" s="13">
        <v>126</v>
      </c>
      <c r="E60" s="13">
        <v>233</v>
      </c>
      <c r="F60" s="13">
        <v>107</v>
      </c>
      <c r="G60" s="13">
        <v>107</v>
      </c>
      <c r="H60" s="13">
        <v>8703.27</v>
      </c>
      <c r="I60" s="13">
        <v>667.91899999999998</v>
      </c>
      <c r="J60" s="13">
        <v>1565.951</v>
      </c>
      <c r="K60" s="13">
        <v>12417</v>
      </c>
      <c r="L60" s="13">
        <v>3670.1913215999998</v>
      </c>
      <c r="M60" s="13">
        <f>8706-N60</f>
        <v>8334</v>
      </c>
      <c r="N60" s="13">
        <v>372</v>
      </c>
      <c r="O60" s="13">
        <v>8188</v>
      </c>
      <c r="P60" s="13">
        <v>0</v>
      </c>
      <c r="Q60" s="13">
        <v>7708</v>
      </c>
      <c r="R60" s="13">
        <v>2655</v>
      </c>
      <c r="S60" s="13">
        <v>9229</v>
      </c>
      <c r="T60" s="13">
        <v>8118</v>
      </c>
      <c r="U60" s="13">
        <f>17*6.2898</f>
        <v>106.92659999999999</v>
      </c>
      <c r="V60" s="13">
        <v>700</v>
      </c>
      <c r="W60" s="13">
        <v>8187</v>
      </c>
      <c r="X60" s="13">
        <v>4089</v>
      </c>
      <c r="Y60" s="13">
        <v>3655</v>
      </c>
      <c r="Z60" s="13">
        <f>241/0.55</f>
        <v>438.18181818181813</v>
      </c>
      <c r="AA60" s="13">
        <v>4457</v>
      </c>
      <c r="AB60" s="13">
        <v>155</v>
      </c>
      <c r="AC60" s="13">
        <v>8620</v>
      </c>
      <c r="AD60" s="13">
        <f>8222*0.49</f>
        <v>4028.7799999999997</v>
      </c>
      <c r="AE60" s="13">
        <f>55*0.75</f>
        <v>41.25</v>
      </c>
      <c r="AF60" s="13">
        <v>7141</v>
      </c>
    </row>
    <row r="61" spans="1:32" x14ac:dyDescent="0.2">
      <c r="A61" s="12">
        <v>45716</v>
      </c>
      <c r="B61" s="13">
        <v>5860</v>
      </c>
      <c r="C61" s="13">
        <v>1461</v>
      </c>
      <c r="D61" s="13">
        <v>126</v>
      </c>
      <c r="E61" s="13">
        <v>224</v>
      </c>
      <c r="F61" s="13">
        <v>106</v>
      </c>
      <c r="G61" s="13">
        <v>106</v>
      </c>
      <c r="H61" s="13">
        <v>8480.3310000000001</v>
      </c>
      <c r="I61" s="13">
        <v>751.94399999999996</v>
      </c>
      <c r="J61" s="13">
        <v>1652.8710000000001</v>
      </c>
      <c r="K61" s="13">
        <v>12198</v>
      </c>
      <c r="L61" s="13">
        <v>3791.7116026399999</v>
      </c>
      <c r="M61" s="13">
        <f>8738-N61</f>
        <v>8356</v>
      </c>
      <c r="N61" s="13">
        <v>382</v>
      </c>
      <c r="O61" s="13">
        <v>8188</v>
      </c>
      <c r="P61" s="13">
        <v>0</v>
      </c>
      <c r="Q61" s="13">
        <v>7658</v>
      </c>
      <c r="R61" s="13">
        <v>2665</v>
      </c>
      <c r="S61" s="13">
        <v>9862</v>
      </c>
      <c r="T61" s="13">
        <v>8130</v>
      </c>
      <c r="U61" s="13">
        <f>17*6.2898</f>
        <v>106.92659999999999</v>
      </c>
      <c r="V61" s="13">
        <v>700</v>
      </c>
      <c r="W61" s="13">
        <v>8184</v>
      </c>
      <c r="X61" s="13">
        <v>3474</v>
      </c>
      <c r="Y61" s="13">
        <v>3655</v>
      </c>
      <c r="Z61" s="13">
        <f>223/0.55</f>
        <v>405.45454545454544</v>
      </c>
      <c r="AA61" s="13">
        <v>4424</v>
      </c>
      <c r="AB61" s="13">
        <v>155</v>
      </c>
      <c r="AC61" s="13">
        <v>8635</v>
      </c>
      <c r="AD61" s="13">
        <f>8225*0.49</f>
        <v>4030.25</v>
      </c>
      <c r="AE61" s="13">
        <f>55*0.75</f>
        <v>41.25</v>
      </c>
      <c r="AF61" s="13">
        <v>7089</v>
      </c>
    </row>
    <row r="62" spans="1:32" x14ac:dyDescent="0.2">
      <c r="A62" s="12">
        <v>45717</v>
      </c>
      <c r="B62" s="13">
        <v>5846</v>
      </c>
      <c r="C62" s="13">
        <v>1474</v>
      </c>
      <c r="D62" s="13">
        <v>127</v>
      </c>
      <c r="E62" s="13">
        <v>237</v>
      </c>
      <c r="F62" s="13">
        <v>106</v>
      </c>
      <c r="G62" s="13">
        <v>115</v>
      </c>
      <c r="H62" s="13">
        <v>8216.3310000000001</v>
      </c>
      <c r="I62" s="13">
        <v>663.81700000000001</v>
      </c>
      <c r="J62" s="13">
        <v>1480.327</v>
      </c>
      <c r="K62" s="13">
        <v>12105</v>
      </c>
      <c r="L62" s="13">
        <f>3439.529175+311</f>
        <v>3750.5291750000001</v>
      </c>
      <c r="M62" s="13">
        <f>8765-N62</f>
        <v>8372</v>
      </c>
      <c r="N62" s="13">
        <v>393</v>
      </c>
      <c r="O62" s="13">
        <v>8464</v>
      </c>
      <c r="P62" s="13">
        <v>167</v>
      </c>
      <c r="Q62" s="13">
        <v>7686</v>
      </c>
      <c r="R62" s="13">
        <v>2751</v>
      </c>
      <c r="S62" s="13">
        <v>9985</v>
      </c>
      <c r="T62" s="13">
        <v>8152</v>
      </c>
      <c r="U62" s="13">
        <f>20*6.2898</f>
        <v>125.79599999999999</v>
      </c>
      <c r="V62" s="13">
        <v>784</v>
      </c>
      <c r="W62" s="13">
        <v>8099</v>
      </c>
      <c r="X62" s="13">
        <v>3682</v>
      </c>
      <c r="Y62" s="13">
        <v>3655</v>
      </c>
      <c r="Z62" s="13">
        <f>219/0.55</f>
        <v>398.18181818181813</v>
      </c>
      <c r="AA62" s="13">
        <v>4342</v>
      </c>
      <c r="AB62" s="13">
        <v>170</v>
      </c>
      <c r="AC62" s="13">
        <v>8856</v>
      </c>
      <c r="AD62" s="13">
        <v>4026</v>
      </c>
      <c r="AE62" s="13">
        <v>37.200000000000003</v>
      </c>
      <c r="AF62" s="13">
        <v>7043</v>
      </c>
    </row>
    <row r="63" spans="1:32" x14ac:dyDescent="0.2">
      <c r="A63" s="12">
        <v>45718</v>
      </c>
      <c r="B63" s="13">
        <v>5828</v>
      </c>
      <c r="C63" s="13">
        <v>1561</v>
      </c>
      <c r="D63" s="13">
        <v>125</v>
      </c>
      <c r="E63" s="13">
        <v>225</v>
      </c>
      <c r="F63" s="13">
        <v>112</v>
      </c>
      <c r="G63" s="13">
        <v>120</v>
      </c>
      <c r="H63" s="13">
        <v>8778.0939999999991</v>
      </c>
      <c r="I63" s="13">
        <v>734.976</v>
      </c>
      <c r="J63" s="13">
        <v>1668.9659999999999</v>
      </c>
      <c r="K63" s="13">
        <v>12266</v>
      </c>
      <c r="L63" s="13">
        <f>3363.94757224+300</f>
        <v>3663.9475722400002</v>
      </c>
      <c r="M63" s="13">
        <f>8750-N63</f>
        <v>8381</v>
      </c>
      <c r="N63" s="13">
        <v>369</v>
      </c>
      <c r="O63" s="13">
        <v>7810</v>
      </c>
      <c r="P63" s="13">
        <v>214</v>
      </c>
      <c r="Q63" s="13">
        <v>7675</v>
      </c>
      <c r="R63" s="13">
        <v>2660</v>
      </c>
      <c r="S63" s="13">
        <v>9971</v>
      </c>
      <c r="T63" s="13">
        <v>8254</v>
      </c>
      <c r="U63" s="13">
        <f>15*6.2898</f>
        <v>94.346999999999994</v>
      </c>
      <c r="V63" s="13">
        <v>776</v>
      </c>
      <c r="W63" s="13">
        <v>8097</v>
      </c>
      <c r="X63" s="13">
        <v>3699</v>
      </c>
      <c r="Y63" s="13">
        <v>3659</v>
      </c>
      <c r="Z63" s="13">
        <f>227/0.55</f>
        <v>412.72727272727269</v>
      </c>
      <c r="AA63" s="13">
        <v>4342</v>
      </c>
      <c r="AB63" s="13">
        <v>170</v>
      </c>
      <c r="AC63" s="13">
        <v>8932</v>
      </c>
      <c r="AD63" s="13">
        <v>4026</v>
      </c>
      <c r="AE63" s="13">
        <v>37.200000000000003</v>
      </c>
      <c r="AF63" s="13">
        <v>7074</v>
      </c>
    </row>
    <row r="64" spans="1:32" x14ac:dyDescent="0.2">
      <c r="A64" s="12">
        <v>45719</v>
      </c>
      <c r="B64" s="13">
        <v>5762</v>
      </c>
      <c r="C64" s="13">
        <v>1520</v>
      </c>
      <c r="D64" s="13">
        <v>126</v>
      </c>
      <c r="E64" s="13">
        <v>242</v>
      </c>
      <c r="F64" s="13">
        <v>113</v>
      </c>
      <c r="G64" s="13">
        <v>120</v>
      </c>
      <c r="H64" s="13">
        <v>9007</v>
      </c>
      <c r="I64" s="13">
        <v>798</v>
      </c>
      <c r="J64" s="13">
        <v>1853</v>
      </c>
      <c r="K64" s="13">
        <v>12420</v>
      </c>
      <c r="L64" s="13">
        <v>3694</v>
      </c>
      <c r="M64" s="13">
        <v>8400</v>
      </c>
      <c r="N64" s="13">
        <v>406</v>
      </c>
      <c r="O64" s="13">
        <v>9255</v>
      </c>
      <c r="P64" s="13">
        <v>293</v>
      </c>
      <c r="Q64" s="13">
        <v>7675</v>
      </c>
      <c r="R64" s="13">
        <v>2679</v>
      </c>
      <c r="S64" s="13">
        <v>9808</v>
      </c>
      <c r="T64" s="13">
        <v>8266</v>
      </c>
      <c r="U64" s="13">
        <f>20*6.2898</f>
        <v>125.79599999999999</v>
      </c>
      <c r="V64" s="13">
        <v>808</v>
      </c>
      <c r="W64" s="13">
        <v>8015</v>
      </c>
      <c r="X64" s="13">
        <v>3684</v>
      </c>
      <c r="Y64" s="13">
        <v>3395</v>
      </c>
      <c r="Z64" s="13">
        <f>230/0.55</f>
        <v>418.18181818181813</v>
      </c>
      <c r="AA64" s="13">
        <v>4342</v>
      </c>
      <c r="AB64" s="13">
        <v>170</v>
      </c>
      <c r="AC64" s="13">
        <v>8928</v>
      </c>
      <c r="AD64" s="13">
        <v>4026</v>
      </c>
      <c r="AE64" s="13">
        <v>37.200000000000003</v>
      </c>
      <c r="AF64" s="13">
        <v>6996</v>
      </c>
    </row>
    <row r="65" spans="1:32" x14ac:dyDescent="0.2">
      <c r="A65" s="12">
        <v>45720</v>
      </c>
      <c r="B65" s="13">
        <v>5837</v>
      </c>
      <c r="C65" s="13">
        <v>1545</v>
      </c>
      <c r="D65" s="13">
        <v>129</v>
      </c>
      <c r="E65" s="13">
        <v>229</v>
      </c>
      <c r="F65" s="13">
        <v>113</v>
      </c>
      <c r="G65" s="13">
        <v>120</v>
      </c>
      <c r="H65" s="13">
        <v>8880</v>
      </c>
      <c r="I65" s="13">
        <v>799</v>
      </c>
      <c r="J65" s="13">
        <v>1854</v>
      </c>
      <c r="K65" s="13">
        <v>12353</v>
      </c>
      <c r="L65" s="13">
        <v>3685</v>
      </c>
      <c r="M65" s="13">
        <v>8452</v>
      </c>
      <c r="N65" s="13">
        <v>350</v>
      </c>
      <c r="O65" s="13">
        <v>8919</v>
      </c>
      <c r="P65" s="13">
        <v>355</v>
      </c>
      <c r="Q65" s="13">
        <v>7656</v>
      </c>
      <c r="R65" s="13">
        <v>2534</v>
      </c>
      <c r="S65" s="13">
        <v>9894</v>
      </c>
      <c r="T65" s="13">
        <v>8261</v>
      </c>
      <c r="U65" s="13">
        <f>15*6.2898</f>
        <v>94.346999999999994</v>
      </c>
      <c r="V65" s="13">
        <v>779</v>
      </c>
      <c r="W65" s="13">
        <v>8061</v>
      </c>
      <c r="X65" s="13">
        <v>3763</v>
      </c>
      <c r="Y65" s="13">
        <v>2998</v>
      </c>
      <c r="Z65" s="13">
        <f>232/0.55</f>
        <v>421.81818181818176</v>
      </c>
      <c r="AA65" s="13">
        <v>4342</v>
      </c>
      <c r="AB65" s="13">
        <v>170</v>
      </c>
      <c r="AC65" s="13">
        <v>8912</v>
      </c>
      <c r="AD65" s="13">
        <v>4026</v>
      </c>
      <c r="AE65" s="13">
        <v>37.200000000000003</v>
      </c>
      <c r="AF65" s="13">
        <v>6912</v>
      </c>
    </row>
    <row r="66" spans="1:32" x14ac:dyDescent="0.2">
      <c r="A66" s="12">
        <v>45721</v>
      </c>
      <c r="B66" s="13">
        <v>5852</v>
      </c>
      <c r="C66" s="13">
        <v>1497</v>
      </c>
      <c r="D66" s="13">
        <v>129</v>
      </c>
      <c r="E66" s="13">
        <v>253</v>
      </c>
      <c r="F66" s="13">
        <v>102</v>
      </c>
      <c r="G66" s="13">
        <v>120</v>
      </c>
      <c r="H66" s="13">
        <v>9302.6440000000002</v>
      </c>
      <c r="I66" s="13">
        <v>995.65200000000004</v>
      </c>
      <c r="J66" s="13">
        <v>2322.9929999999999</v>
      </c>
      <c r="K66" s="13">
        <v>12369</v>
      </c>
      <c r="L66" s="13">
        <f>3469.4046838+309</f>
        <v>3778.4046837999999</v>
      </c>
      <c r="M66" s="13">
        <f>8889-N66</f>
        <v>8492</v>
      </c>
      <c r="N66" s="13">
        <v>397</v>
      </c>
      <c r="O66" s="13">
        <v>9270</v>
      </c>
      <c r="P66" s="13">
        <v>408</v>
      </c>
      <c r="Q66" s="13">
        <v>7622</v>
      </c>
      <c r="R66" s="13">
        <v>2769</v>
      </c>
      <c r="S66" s="13">
        <v>9691</v>
      </c>
      <c r="T66" s="13">
        <v>8280</v>
      </c>
      <c r="U66" s="13">
        <f>20*6.2898</f>
        <v>125.79599999999999</v>
      </c>
      <c r="V66" s="13">
        <v>793</v>
      </c>
      <c r="W66" s="13">
        <v>8141</v>
      </c>
      <c r="X66" s="13">
        <v>3894</v>
      </c>
      <c r="Y66" s="13">
        <v>2995</v>
      </c>
      <c r="Z66" s="13">
        <f>229/0.55</f>
        <v>416.36363636363632</v>
      </c>
      <c r="AA66" s="13">
        <v>4342</v>
      </c>
      <c r="AB66" s="13">
        <v>170</v>
      </c>
      <c r="AC66" s="13">
        <v>8994</v>
      </c>
      <c r="AD66" s="13">
        <v>4026</v>
      </c>
      <c r="AE66" s="13">
        <v>37.200000000000003</v>
      </c>
      <c r="AF66" s="13">
        <v>6885</v>
      </c>
    </row>
    <row r="67" spans="1:32" x14ac:dyDescent="0.2">
      <c r="A67" s="12">
        <v>45722</v>
      </c>
      <c r="B67" s="13">
        <v>5951</v>
      </c>
      <c r="C67" s="13">
        <v>1433</v>
      </c>
      <c r="D67" s="13">
        <v>123</v>
      </c>
      <c r="E67" s="13">
        <v>217</v>
      </c>
      <c r="F67" s="13">
        <v>110</v>
      </c>
      <c r="G67" s="13">
        <v>120</v>
      </c>
      <c r="H67" s="13">
        <v>9129.9410000000007</v>
      </c>
      <c r="I67" s="13">
        <v>905.93700000000001</v>
      </c>
      <c r="J67" s="13">
        <v>1932.0550000000001</v>
      </c>
      <c r="K67" s="13">
        <v>12353</v>
      </c>
      <c r="L67" s="13">
        <f>3442.64756876+305</f>
        <v>3747.64756876</v>
      </c>
      <c r="M67" s="13">
        <f>9006-N67</f>
        <v>8609</v>
      </c>
      <c r="N67" s="13">
        <v>397</v>
      </c>
      <c r="O67" s="13">
        <v>9267</v>
      </c>
      <c r="P67" s="13">
        <v>434</v>
      </c>
      <c r="Q67" s="13">
        <v>7645</v>
      </c>
      <c r="R67" s="13">
        <v>3082</v>
      </c>
      <c r="S67" s="13">
        <v>9797</v>
      </c>
      <c r="T67" s="13">
        <v>8271</v>
      </c>
      <c r="U67" s="13">
        <f>20*6.2898</f>
        <v>125.79599999999999</v>
      </c>
      <c r="V67" s="13">
        <v>791</v>
      </c>
      <c r="W67" s="13">
        <v>8101</v>
      </c>
      <c r="X67" s="13">
        <v>3489</v>
      </c>
      <c r="Y67" s="13">
        <v>2991</v>
      </c>
      <c r="Z67" s="13">
        <f>229/0.55</f>
        <v>416.36363636363632</v>
      </c>
      <c r="AA67" s="13">
        <v>4342</v>
      </c>
      <c r="AB67" s="13">
        <v>170</v>
      </c>
      <c r="AC67" s="13">
        <v>8970</v>
      </c>
      <c r="AD67" s="13">
        <v>4026</v>
      </c>
      <c r="AE67" s="13">
        <v>37.200000000000003</v>
      </c>
      <c r="AF67" s="13">
        <v>6484</v>
      </c>
    </row>
    <row r="68" spans="1:32" x14ac:dyDescent="0.2">
      <c r="A68" s="12">
        <v>45723</v>
      </c>
      <c r="B68" s="13">
        <v>5785</v>
      </c>
      <c r="C68" s="13">
        <v>1455</v>
      </c>
      <c r="D68" s="13">
        <v>125</v>
      </c>
      <c r="E68" s="13">
        <v>247</v>
      </c>
      <c r="F68" s="13">
        <v>79</v>
      </c>
      <c r="G68" s="13">
        <v>120</v>
      </c>
      <c r="H68" s="13">
        <v>9142.3179999999993</v>
      </c>
      <c r="I68" s="13">
        <v>911.22699999999998</v>
      </c>
      <c r="J68" s="13">
        <v>1872.528</v>
      </c>
      <c r="K68" s="13">
        <v>12351</v>
      </c>
      <c r="L68" s="13">
        <f>3345.60456636+291</f>
        <v>3636.6045663599998</v>
      </c>
      <c r="M68" s="13">
        <f>8908-N68</f>
        <v>8511</v>
      </c>
      <c r="N68" s="13">
        <v>397</v>
      </c>
      <c r="O68" s="13">
        <v>9428</v>
      </c>
      <c r="P68" s="13">
        <v>396</v>
      </c>
      <c r="Q68" s="13">
        <v>7354</v>
      </c>
      <c r="R68" s="13">
        <v>2445</v>
      </c>
      <c r="S68" s="13">
        <v>9610</v>
      </c>
      <c r="T68" s="13">
        <v>8306</v>
      </c>
      <c r="U68" s="13">
        <f>30*6.2898</f>
        <v>188.69399999999999</v>
      </c>
      <c r="V68" s="13">
        <v>828</v>
      </c>
      <c r="W68" s="13">
        <v>7915</v>
      </c>
      <c r="X68" s="13">
        <v>3647</v>
      </c>
      <c r="Y68" s="13">
        <v>2985</v>
      </c>
      <c r="Z68" s="13">
        <f>229/0.55</f>
        <v>416.36363636363632</v>
      </c>
      <c r="AA68" s="13">
        <v>4342</v>
      </c>
      <c r="AB68" s="13">
        <v>170</v>
      </c>
      <c r="AC68" s="13">
        <v>8753</v>
      </c>
      <c r="AD68" s="13">
        <v>4026</v>
      </c>
      <c r="AE68" s="13">
        <v>37.200000000000003</v>
      </c>
      <c r="AF68" s="13">
        <v>6722</v>
      </c>
    </row>
    <row r="69" spans="1:32" x14ac:dyDescent="0.2">
      <c r="A69" s="12">
        <v>45724</v>
      </c>
      <c r="B69" s="13">
        <v>5932</v>
      </c>
      <c r="C69" s="13">
        <v>1491</v>
      </c>
      <c r="D69" s="13">
        <v>127</v>
      </c>
      <c r="E69" s="13">
        <v>237</v>
      </c>
      <c r="F69" s="13">
        <v>84</v>
      </c>
      <c r="G69" s="13">
        <v>120</v>
      </c>
      <c r="H69" s="13">
        <v>8934.0310000000009</v>
      </c>
      <c r="I69" s="13">
        <v>926</v>
      </c>
      <c r="J69" s="13">
        <v>1905</v>
      </c>
      <c r="K69" s="13">
        <v>12292</v>
      </c>
      <c r="L69" s="13">
        <f>3294.3759342+297</f>
        <v>3591.3759341999998</v>
      </c>
      <c r="M69" s="13">
        <f>8608-N69</f>
        <v>8211</v>
      </c>
      <c r="N69" s="13">
        <v>397</v>
      </c>
      <c r="O69" s="13">
        <v>9386</v>
      </c>
      <c r="P69" s="13">
        <v>433</v>
      </c>
      <c r="Q69" s="13">
        <v>7579</v>
      </c>
      <c r="R69" s="13">
        <v>2745</v>
      </c>
      <c r="S69" s="13">
        <v>9691</v>
      </c>
      <c r="T69" s="13">
        <v>8268</v>
      </c>
      <c r="U69" s="13">
        <f>24*6.2898</f>
        <v>150.95519999999999</v>
      </c>
      <c r="V69" s="13">
        <v>818</v>
      </c>
      <c r="W69" s="13">
        <v>7924</v>
      </c>
      <c r="X69" s="13">
        <v>3738</v>
      </c>
      <c r="Y69" s="13">
        <v>2981</v>
      </c>
      <c r="Z69" s="13">
        <f>229/0.55</f>
        <v>416.36363636363632</v>
      </c>
      <c r="AA69" s="13">
        <v>4342</v>
      </c>
      <c r="AB69" s="13">
        <v>170</v>
      </c>
      <c r="AC69" s="13">
        <v>8932</v>
      </c>
      <c r="AD69" s="13">
        <v>4026</v>
      </c>
      <c r="AE69" s="13">
        <v>37.200000000000003</v>
      </c>
      <c r="AF69" s="13">
        <v>6739</v>
      </c>
    </row>
    <row r="70" spans="1:32" x14ac:dyDescent="0.2">
      <c r="A70" s="12">
        <v>45725</v>
      </c>
      <c r="B70" s="13">
        <v>6027</v>
      </c>
      <c r="C70" s="13">
        <v>1462</v>
      </c>
      <c r="D70" s="13">
        <v>126</v>
      </c>
      <c r="E70" s="13">
        <v>243</v>
      </c>
      <c r="F70" s="13">
        <v>86</v>
      </c>
      <c r="G70" s="13">
        <v>120</v>
      </c>
      <c r="H70" s="13">
        <v>8926.5820000000003</v>
      </c>
      <c r="I70" s="13">
        <v>924.16600000000005</v>
      </c>
      <c r="J70" s="13">
        <v>1901.9459999999999</v>
      </c>
      <c r="K70" s="13">
        <v>12410</v>
      </c>
      <c r="L70" s="13">
        <f>3311.67148748+300</f>
        <v>3611.67148748</v>
      </c>
      <c r="M70" s="13">
        <f>8502-N70</f>
        <v>8105</v>
      </c>
      <c r="N70" s="13">
        <v>397</v>
      </c>
      <c r="O70" s="13">
        <v>9424</v>
      </c>
      <c r="P70" s="13">
        <v>428</v>
      </c>
      <c r="Q70" s="13">
        <v>7609</v>
      </c>
      <c r="R70" s="13">
        <v>2222</v>
      </c>
      <c r="S70" s="13">
        <v>9672</v>
      </c>
      <c r="T70" s="13">
        <v>8373</v>
      </c>
      <c r="U70" s="13">
        <f>16*6.2898</f>
        <v>100.63679999999999</v>
      </c>
      <c r="V70" s="13">
        <v>786</v>
      </c>
      <c r="W70" s="13">
        <v>8038</v>
      </c>
      <c r="X70" s="13">
        <v>3558</v>
      </c>
      <c r="Y70" s="13">
        <v>2976</v>
      </c>
      <c r="Z70" s="13">
        <f>229/0.55</f>
        <v>416.36363636363632</v>
      </c>
      <c r="AA70" s="13">
        <v>3363</v>
      </c>
      <c r="AB70" s="13">
        <v>170</v>
      </c>
      <c r="AC70" s="13">
        <v>8982</v>
      </c>
      <c r="AD70" s="13">
        <v>4026</v>
      </c>
      <c r="AE70" s="13">
        <v>37.200000000000003</v>
      </c>
      <c r="AF70" s="13">
        <v>6706</v>
      </c>
    </row>
    <row r="71" spans="1:32" x14ac:dyDescent="0.2">
      <c r="A71" s="12">
        <v>45726</v>
      </c>
      <c r="B71" s="13">
        <v>5938</v>
      </c>
      <c r="C71" s="13">
        <v>1539</v>
      </c>
      <c r="D71" s="13">
        <v>128</v>
      </c>
      <c r="E71" s="13">
        <v>236</v>
      </c>
      <c r="F71" s="13">
        <v>116</v>
      </c>
      <c r="G71" s="13">
        <v>120</v>
      </c>
      <c r="H71" s="13">
        <v>8916</v>
      </c>
      <c r="I71" s="13">
        <v>932</v>
      </c>
      <c r="J71" s="13">
        <v>1922</v>
      </c>
      <c r="K71" s="13">
        <v>12340</v>
      </c>
      <c r="L71" s="13">
        <v>3584</v>
      </c>
      <c r="M71" s="13">
        <v>8601</v>
      </c>
      <c r="N71" s="13">
        <v>382</v>
      </c>
      <c r="O71" s="13">
        <v>9202</v>
      </c>
      <c r="P71" s="13">
        <v>424</v>
      </c>
      <c r="Q71" s="13">
        <v>7618</v>
      </c>
      <c r="R71" s="13">
        <v>2313</v>
      </c>
      <c r="S71" s="13">
        <v>9778</v>
      </c>
      <c r="T71" s="13">
        <v>8355</v>
      </c>
      <c r="U71" s="13">
        <f>26*6.2898</f>
        <v>163.53479999999999</v>
      </c>
      <c r="V71" s="13">
        <v>829</v>
      </c>
      <c r="W71" s="13">
        <v>8006</v>
      </c>
      <c r="X71" s="13">
        <v>3750</v>
      </c>
      <c r="Y71" s="13">
        <v>2965</v>
      </c>
      <c r="Z71" s="13">
        <f>238/0.55</f>
        <v>432.72727272727269</v>
      </c>
      <c r="AA71" s="13">
        <v>3104</v>
      </c>
      <c r="AB71" s="13">
        <v>170</v>
      </c>
      <c r="AC71" s="13">
        <v>8956</v>
      </c>
      <c r="AD71" s="13">
        <v>4026</v>
      </c>
      <c r="AE71" s="13">
        <v>37.200000000000003</v>
      </c>
      <c r="AF71" s="13">
        <v>6650</v>
      </c>
    </row>
    <row r="72" spans="1:32" x14ac:dyDescent="0.2">
      <c r="A72" s="12">
        <v>45727</v>
      </c>
      <c r="B72" s="13">
        <v>5800</v>
      </c>
      <c r="C72" s="13">
        <v>1446</v>
      </c>
      <c r="D72" s="13">
        <v>127</v>
      </c>
      <c r="E72" s="13">
        <v>240</v>
      </c>
      <c r="F72" s="13">
        <v>123</v>
      </c>
      <c r="G72" s="13">
        <v>120</v>
      </c>
      <c r="H72" s="13">
        <v>9181.7810000000009</v>
      </c>
      <c r="I72" s="13">
        <v>1001.928</v>
      </c>
      <c r="J72" s="13">
        <v>2066.1260000000002</v>
      </c>
      <c r="K72" s="13">
        <v>12302</v>
      </c>
      <c r="L72" s="13">
        <f>3289.71937192+296</f>
        <v>3585.71937192</v>
      </c>
      <c r="M72" s="13">
        <f>8601-N72</f>
        <v>8238</v>
      </c>
      <c r="N72" s="13">
        <v>363</v>
      </c>
      <c r="O72" s="13">
        <v>9162</v>
      </c>
      <c r="P72" s="13">
        <v>414</v>
      </c>
      <c r="Q72" s="13">
        <v>7629</v>
      </c>
      <c r="R72" s="13">
        <v>2511</v>
      </c>
      <c r="S72" s="13">
        <v>9609</v>
      </c>
      <c r="T72" s="13">
        <v>8413</v>
      </c>
      <c r="U72" s="13">
        <f>26*6.2898</f>
        <v>163.53479999999999</v>
      </c>
      <c r="V72" s="13">
        <v>840</v>
      </c>
      <c r="W72" s="13">
        <v>7980</v>
      </c>
      <c r="X72" s="13">
        <v>3640</v>
      </c>
      <c r="Y72" s="13">
        <v>2951</v>
      </c>
      <c r="Z72" s="13">
        <f>232/0.55</f>
        <v>421.81818181818176</v>
      </c>
      <c r="AA72" s="13">
        <v>3866</v>
      </c>
      <c r="AB72" s="13">
        <v>170</v>
      </c>
      <c r="AC72" s="13">
        <v>8952</v>
      </c>
      <c r="AD72" s="13">
        <v>4026</v>
      </c>
      <c r="AE72" s="13">
        <v>37.200000000000003</v>
      </c>
      <c r="AF72" s="13">
        <v>6950</v>
      </c>
    </row>
    <row r="73" spans="1:32" x14ac:dyDescent="0.2">
      <c r="A73" s="12">
        <v>45728</v>
      </c>
      <c r="B73" s="13">
        <v>5788</v>
      </c>
      <c r="C73" s="13">
        <v>1455</v>
      </c>
      <c r="D73" s="13">
        <v>126</v>
      </c>
      <c r="E73" s="13">
        <v>229</v>
      </c>
      <c r="F73" s="13">
        <v>111</v>
      </c>
      <c r="G73" s="13">
        <v>120</v>
      </c>
      <c r="H73" s="13">
        <v>9008.67</v>
      </c>
      <c r="I73" s="13">
        <v>1025.8219999999999</v>
      </c>
      <c r="J73" s="13">
        <v>2240.6320000000001</v>
      </c>
      <c r="K73" s="13">
        <v>12343</v>
      </c>
      <c r="L73" s="13">
        <f>3362.5122712+302</f>
        <v>3664.5122712000002</v>
      </c>
      <c r="M73" s="13">
        <f>8311-N73</f>
        <v>7981</v>
      </c>
      <c r="N73" s="13">
        <v>330</v>
      </c>
      <c r="O73" s="13">
        <v>9196</v>
      </c>
      <c r="P73" s="13">
        <v>414</v>
      </c>
      <c r="Q73" s="13">
        <v>7666</v>
      </c>
      <c r="R73" s="13">
        <v>2012</v>
      </c>
      <c r="S73" s="13">
        <v>9757</v>
      </c>
      <c r="T73" s="13">
        <v>8266</v>
      </c>
      <c r="U73" s="13">
        <f>30*6.2898</f>
        <v>188.69399999999999</v>
      </c>
      <c r="V73" s="13">
        <v>842</v>
      </c>
      <c r="W73" s="13">
        <v>8051</v>
      </c>
      <c r="X73" s="13">
        <v>3945</v>
      </c>
      <c r="Y73" s="13">
        <v>2936</v>
      </c>
      <c r="Z73" s="13">
        <f>231/0.55</f>
        <v>419.99999999999994</v>
      </c>
      <c r="AA73" s="13">
        <v>4858</v>
      </c>
      <c r="AB73" s="13">
        <v>170</v>
      </c>
      <c r="AC73" s="13">
        <v>8830</v>
      </c>
      <c r="AD73" s="13">
        <v>4026</v>
      </c>
      <c r="AE73" s="13">
        <v>37.200000000000003</v>
      </c>
      <c r="AF73" s="13">
        <v>6931</v>
      </c>
    </row>
    <row r="74" spans="1:32" x14ac:dyDescent="0.2">
      <c r="A74" s="12">
        <v>45729</v>
      </c>
      <c r="B74" s="13">
        <v>5814</v>
      </c>
      <c r="C74" s="13">
        <v>1442</v>
      </c>
      <c r="D74" s="13">
        <v>125</v>
      </c>
      <c r="E74" s="13">
        <v>237</v>
      </c>
      <c r="F74" s="13">
        <v>114</v>
      </c>
      <c r="G74" s="13">
        <v>120</v>
      </c>
      <c r="H74" s="13">
        <v>8838.9509999999991</v>
      </c>
      <c r="I74" s="13">
        <v>862.51700000000005</v>
      </c>
      <c r="J74" s="13">
        <v>2091.3090000000002</v>
      </c>
      <c r="K74" s="13">
        <v>12319</v>
      </c>
      <c r="L74" s="13">
        <f>3282.48453772+291</f>
        <v>3573.4845377199999</v>
      </c>
      <c r="M74" s="13">
        <f>8560-N74</f>
        <v>8177</v>
      </c>
      <c r="N74" s="13">
        <v>383</v>
      </c>
      <c r="O74" s="13">
        <v>9199</v>
      </c>
      <c r="P74" s="13">
        <v>402</v>
      </c>
      <c r="Q74" s="13">
        <v>7652</v>
      </c>
      <c r="R74" s="13">
        <v>2853</v>
      </c>
      <c r="S74" s="13">
        <v>9752</v>
      </c>
      <c r="T74" s="13">
        <v>8235</v>
      </c>
      <c r="U74" s="13">
        <f>30*6.2898</f>
        <v>188.69399999999999</v>
      </c>
      <c r="V74" s="13">
        <v>842</v>
      </c>
      <c r="W74" s="13">
        <v>8043</v>
      </c>
      <c r="X74" s="13">
        <v>3627</v>
      </c>
      <c r="Y74" s="13">
        <v>2976</v>
      </c>
      <c r="Z74" s="13">
        <f>223/0.55</f>
        <v>405.45454545454544</v>
      </c>
      <c r="AA74" s="13">
        <v>4775</v>
      </c>
      <c r="AB74" s="13">
        <v>170</v>
      </c>
      <c r="AC74" s="13">
        <v>8878</v>
      </c>
      <c r="AD74" s="13">
        <v>4026</v>
      </c>
      <c r="AE74" s="13">
        <v>37.200000000000003</v>
      </c>
      <c r="AF74" s="13">
        <v>6771</v>
      </c>
    </row>
    <row r="75" spans="1:32" x14ac:dyDescent="0.2">
      <c r="A75" s="12">
        <v>45730</v>
      </c>
      <c r="B75" s="13">
        <v>5718</v>
      </c>
      <c r="C75" s="13">
        <v>1451</v>
      </c>
      <c r="D75" s="13">
        <v>125</v>
      </c>
      <c r="E75" s="13">
        <v>233</v>
      </c>
      <c r="F75" s="13">
        <v>108</v>
      </c>
      <c r="G75" s="13">
        <v>120</v>
      </c>
      <c r="H75" s="13">
        <v>9061.2749999999996</v>
      </c>
      <c r="I75" s="13">
        <v>949.74199999999996</v>
      </c>
      <c r="J75" s="13">
        <v>2336.5590000000002</v>
      </c>
      <c r="K75" s="13">
        <v>12282</v>
      </c>
      <c r="L75" s="13">
        <f>3321.95224288+296</f>
        <v>3617.9522428800001</v>
      </c>
      <c r="M75" s="13">
        <f>8582-N75</f>
        <v>8220</v>
      </c>
      <c r="N75" s="13">
        <v>362</v>
      </c>
      <c r="O75" s="13">
        <v>9241</v>
      </c>
      <c r="P75" s="13">
        <v>427</v>
      </c>
      <c r="Q75" s="13">
        <v>7704</v>
      </c>
      <c r="R75" s="13">
        <v>2823</v>
      </c>
      <c r="S75" s="13">
        <v>10140</v>
      </c>
      <c r="T75" s="13">
        <v>8145</v>
      </c>
      <c r="U75" s="13">
        <f>30*6.2898</f>
        <v>188.69399999999999</v>
      </c>
      <c r="V75" s="13">
        <v>876</v>
      </c>
      <c r="W75" s="13">
        <v>7940</v>
      </c>
      <c r="X75" s="13">
        <v>3818</v>
      </c>
      <c r="Y75" s="13">
        <v>2976</v>
      </c>
      <c r="Z75" s="13">
        <f>226/0.55</f>
        <v>410.90909090909088</v>
      </c>
      <c r="AA75" s="13">
        <v>4522</v>
      </c>
      <c r="AB75" s="13">
        <v>170</v>
      </c>
      <c r="AC75" s="13">
        <v>8865</v>
      </c>
      <c r="AD75" s="13">
        <v>4026</v>
      </c>
      <c r="AE75" s="13">
        <v>37.200000000000003</v>
      </c>
      <c r="AF75" s="13">
        <v>6742</v>
      </c>
    </row>
    <row r="76" spans="1:32" x14ac:dyDescent="0.2">
      <c r="A76" s="12">
        <v>45731</v>
      </c>
      <c r="B76" s="13">
        <v>5787</v>
      </c>
      <c r="C76" s="13">
        <v>1406</v>
      </c>
      <c r="D76" s="13">
        <v>126</v>
      </c>
      <c r="E76" s="13">
        <v>245</v>
      </c>
      <c r="F76" s="13">
        <v>116</v>
      </c>
      <c r="G76" s="13">
        <v>120</v>
      </c>
      <c r="H76" s="13">
        <v>9160.9330000000009</v>
      </c>
      <c r="I76" s="13">
        <v>924.41300000000001</v>
      </c>
      <c r="J76" s="13">
        <v>2271.0030000000002</v>
      </c>
      <c r="K76" s="13">
        <v>12247</v>
      </c>
      <c r="L76" s="13">
        <f>3316.1588282+295</f>
        <v>3611.1588281999998</v>
      </c>
      <c r="M76" s="13">
        <f>8804-N76</f>
        <v>8402</v>
      </c>
      <c r="N76" s="13">
        <v>402</v>
      </c>
      <c r="O76" s="13">
        <v>9209</v>
      </c>
      <c r="P76" s="13">
        <v>424</v>
      </c>
      <c r="Q76" s="13">
        <v>7689</v>
      </c>
      <c r="R76" s="13">
        <v>2589</v>
      </c>
      <c r="S76" s="13">
        <v>10133</v>
      </c>
      <c r="T76" s="13">
        <v>8340</v>
      </c>
      <c r="U76" s="13">
        <f>30*6.2898</f>
        <v>188.69399999999999</v>
      </c>
      <c r="V76" s="13">
        <v>883</v>
      </c>
      <c r="W76" s="13">
        <v>7936</v>
      </c>
      <c r="X76" s="13">
        <v>3399</v>
      </c>
      <c r="Y76" s="13">
        <v>2976</v>
      </c>
      <c r="Z76" s="13">
        <f>229/0.55</f>
        <v>416.36363636363632</v>
      </c>
      <c r="AA76" s="13">
        <v>4515</v>
      </c>
      <c r="AB76" s="13">
        <v>170</v>
      </c>
      <c r="AC76" s="13">
        <v>8825</v>
      </c>
      <c r="AD76" s="13">
        <v>4026</v>
      </c>
      <c r="AE76" s="13">
        <v>37.200000000000003</v>
      </c>
      <c r="AF76" s="13">
        <v>6701</v>
      </c>
    </row>
    <row r="77" spans="1:32" x14ac:dyDescent="0.2">
      <c r="A77" s="12">
        <v>45732</v>
      </c>
      <c r="B77" s="13">
        <v>5850</v>
      </c>
      <c r="C77" s="13">
        <v>1437</v>
      </c>
      <c r="D77" s="13">
        <v>126</v>
      </c>
      <c r="E77" s="13">
        <v>241</v>
      </c>
      <c r="F77" s="13">
        <v>112</v>
      </c>
      <c r="G77" s="13">
        <v>120</v>
      </c>
      <c r="H77" s="13">
        <v>8898.0810000000001</v>
      </c>
      <c r="I77" s="13">
        <v>900.10799999999995</v>
      </c>
      <c r="J77" s="13">
        <v>2188.5070000000001</v>
      </c>
      <c r="K77" s="13">
        <v>12183</v>
      </c>
      <c r="L77" s="13">
        <f>3336.81168168+298</f>
        <v>3634.8116816800002</v>
      </c>
      <c r="M77" s="13">
        <f>8902-N77</f>
        <v>8554</v>
      </c>
      <c r="N77" s="13">
        <v>348</v>
      </c>
      <c r="O77" s="13">
        <v>9267</v>
      </c>
      <c r="P77" s="13">
        <v>425</v>
      </c>
      <c r="Q77" s="13">
        <v>7209</v>
      </c>
      <c r="R77" s="13">
        <v>2499</v>
      </c>
      <c r="S77" s="13">
        <v>10651</v>
      </c>
      <c r="T77" s="13">
        <v>8312</v>
      </c>
      <c r="U77" s="13">
        <f>10*6.2898</f>
        <v>62.897999999999996</v>
      </c>
      <c r="V77" s="13">
        <v>844</v>
      </c>
      <c r="W77" s="13">
        <v>7947</v>
      </c>
      <c r="X77" s="13">
        <v>4076</v>
      </c>
      <c r="Y77" s="13">
        <v>2936</v>
      </c>
      <c r="Z77" s="13">
        <f>231/0.55</f>
        <v>419.99999999999994</v>
      </c>
      <c r="AA77" s="13">
        <v>4530</v>
      </c>
      <c r="AB77" s="13">
        <v>170</v>
      </c>
      <c r="AC77" s="13">
        <v>6755</v>
      </c>
      <c r="AD77" s="13">
        <v>4026</v>
      </c>
      <c r="AE77" s="13">
        <v>37.200000000000003</v>
      </c>
      <c r="AF77" s="13">
        <v>6719</v>
      </c>
    </row>
    <row r="78" spans="1:32" x14ac:dyDescent="0.2">
      <c r="A78" s="12">
        <v>45733</v>
      </c>
      <c r="B78" s="13">
        <v>5805</v>
      </c>
      <c r="C78" s="13">
        <v>1450</v>
      </c>
      <c r="D78" s="13">
        <v>115</v>
      </c>
      <c r="E78" s="13">
        <v>252</v>
      </c>
      <c r="F78" s="13">
        <v>117</v>
      </c>
      <c r="G78" s="13">
        <v>120</v>
      </c>
      <c r="H78" s="13">
        <v>8760</v>
      </c>
      <c r="I78" s="13">
        <v>851</v>
      </c>
      <c r="J78" s="13">
        <v>2124</v>
      </c>
      <c r="K78" s="13">
        <v>12166</v>
      </c>
      <c r="L78" s="13">
        <v>3622</v>
      </c>
      <c r="M78" s="13">
        <f>8902-N78</f>
        <v>8553</v>
      </c>
      <c r="N78" s="13">
        <v>349</v>
      </c>
      <c r="O78" s="13">
        <v>9471</v>
      </c>
      <c r="P78" s="13">
        <v>425</v>
      </c>
      <c r="Q78" s="13">
        <v>7281</v>
      </c>
      <c r="R78" s="13">
        <v>2534</v>
      </c>
      <c r="S78" s="13">
        <v>10633</v>
      </c>
      <c r="T78" s="13">
        <v>8277</v>
      </c>
      <c r="U78" s="13">
        <f>26*6.2898</f>
        <v>163.53479999999999</v>
      </c>
      <c r="V78" s="13">
        <v>895</v>
      </c>
      <c r="W78" s="13">
        <v>7937</v>
      </c>
      <c r="X78" s="13">
        <v>3452</v>
      </c>
      <c r="Y78" s="13">
        <v>2941</v>
      </c>
      <c r="Z78" s="13">
        <f>229/0.55</f>
        <v>416.36363636363632</v>
      </c>
      <c r="AA78" s="13">
        <v>4535</v>
      </c>
      <c r="AB78" s="13">
        <v>170</v>
      </c>
      <c r="AC78" s="13">
        <v>8960</v>
      </c>
      <c r="AD78" s="13">
        <v>4026</v>
      </c>
      <c r="AE78" s="13">
        <v>37.200000000000003</v>
      </c>
      <c r="AF78" s="13">
        <v>6757</v>
      </c>
    </row>
    <row r="79" spans="1:32" x14ac:dyDescent="0.2">
      <c r="A79" s="12">
        <v>45734</v>
      </c>
      <c r="B79" s="13">
        <v>5915</v>
      </c>
      <c r="C79" s="13">
        <v>1482</v>
      </c>
      <c r="D79" s="13">
        <v>126</v>
      </c>
      <c r="E79" s="13">
        <v>240</v>
      </c>
      <c r="F79" s="13">
        <v>110</v>
      </c>
      <c r="G79" s="13">
        <v>120</v>
      </c>
      <c r="H79" s="13">
        <v>9130.3119999999999</v>
      </c>
      <c r="I79" s="13">
        <v>865.98500000000001</v>
      </c>
      <c r="J79" s="13">
        <v>2190.4879999999998</v>
      </c>
      <c r="K79" s="13">
        <v>12196</v>
      </c>
      <c r="L79" s="13">
        <f>3316.65129044+296</f>
        <v>3612.6512904400001</v>
      </c>
      <c r="M79" s="13">
        <f>8718-N79</f>
        <v>8362</v>
      </c>
      <c r="N79" s="13">
        <v>356</v>
      </c>
      <c r="O79" s="13">
        <v>9125</v>
      </c>
      <c r="P79" s="13">
        <v>430</v>
      </c>
      <c r="Q79" s="13">
        <v>7235</v>
      </c>
      <c r="R79" s="13">
        <v>2618</v>
      </c>
      <c r="S79" s="13">
        <v>10521</v>
      </c>
      <c r="T79" s="13">
        <v>8518</v>
      </c>
      <c r="U79" s="13">
        <f>29*6.2898</f>
        <v>182.4042</v>
      </c>
      <c r="V79" s="13">
        <v>914</v>
      </c>
      <c r="W79" s="13">
        <v>7913</v>
      </c>
      <c r="X79" s="13">
        <v>3981</v>
      </c>
      <c r="Y79" s="13">
        <v>2950</v>
      </c>
      <c r="Z79" s="13">
        <f>308/0.55</f>
        <v>560</v>
      </c>
      <c r="AA79" s="13">
        <v>4369</v>
      </c>
      <c r="AB79" s="13">
        <v>170</v>
      </c>
      <c r="AC79" s="13">
        <v>8854</v>
      </c>
      <c r="AD79" s="13">
        <v>4026</v>
      </c>
      <c r="AE79" s="13">
        <v>37.200000000000003</v>
      </c>
      <c r="AF79" s="13">
        <v>6737</v>
      </c>
    </row>
    <row r="80" spans="1:32" x14ac:dyDescent="0.2">
      <c r="A80" s="12">
        <v>45735</v>
      </c>
      <c r="B80" s="13">
        <v>5970</v>
      </c>
      <c r="C80" s="13">
        <v>1488</v>
      </c>
      <c r="D80" s="13">
        <v>127</v>
      </c>
      <c r="E80" s="13">
        <v>248</v>
      </c>
      <c r="F80" s="13">
        <v>113</v>
      </c>
      <c r="G80" s="13">
        <v>120</v>
      </c>
      <c r="H80" s="13">
        <v>8914.81</v>
      </c>
      <c r="I80" s="13">
        <v>884.01300000000003</v>
      </c>
      <c r="J80" s="13">
        <v>2190.1709999999998</v>
      </c>
      <c r="K80" s="13">
        <v>12185</v>
      </c>
      <c r="L80" s="13">
        <f>3295.47651756+299</f>
        <v>3594.47651756</v>
      </c>
      <c r="M80" s="13">
        <f>8704-N80</f>
        <v>8284</v>
      </c>
      <c r="N80" s="13">
        <v>420</v>
      </c>
      <c r="O80" s="13">
        <v>9067</v>
      </c>
      <c r="P80" s="13">
        <v>416</v>
      </c>
      <c r="Q80" s="13">
        <v>7326</v>
      </c>
      <c r="R80" s="13">
        <v>2558</v>
      </c>
      <c r="S80" s="13">
        <v>10424</v>
      </c>
      <c r="T80" s="13">
        <v>8239</v>
      </c>
      <c r="U80" s="13">
        <f>30*6.2898</f>
        <v>188.69399999999999</v>
      </c>
      <c r="V80" s="13">
        <v>923</v>
      </c>
      <c r="W80" s="13">
        <v>7914</v>
      </c>
      <c r="X80" s="13">
        <v>3219</v>
      </c>
      <c r="Y80" s="13">
        <v>2955</v>
      </c>
      <c r="Z80" s="13">
        <f>309/0.55</f>
        <v>561.81818181818176</v>
      </c>
      <c r="AA80" s="13">
        <v>4498</v>
      </c>
      <c r="AB80" s="13">
        <v>170</v>
      </c>
      <c r="AC80" s="13">
        <v>8864</v>
      </c>
      <c r="AD80" s="13">
        <v>4026</v>
      </c>
      <c r="AE80" s="13">
        <v>37.200000000000003</v>
      </c>
      <c r="AF80" s="13">
        <v>6731</v>
      </c>
    </row>
    <row r="81" spans="1:32" x14ac:dyDescent="0.2">
      <c r="A81" s="12">
        <v>45736</v>
      </c>
      <c r="B81" s="13">
        <v>5901</v>
      </c>
      <c r="C81" s="13">
        <v>1451</v>
      </c>
      <c r="D81" s="13">
        <v>125</v>
      </c>
      <c r="E81" s="13">
        <v>234</v>
      </c>
      <c r="F81" s="13">
        <v>112</v>
      </c>
      <c r="G81" s="13">
        <v>120</v>
      </c>
      <c r="H81" s="13">
        <v>9202.2520000000004</v>
      </c>
      <c r="I81" s="13">
        <v>1036.768</v>
      </c>
      <c r="J81" s="13">
        <v>2247.2170000000001</v>
      </c>
      <c r="K81" s="13">
        <v>12206</v>
      </c>
      <c r="L81" s="13">
        <f>3272.56217968+295</f>
        <v>3567.5621796800001</v>
      </c>
      <c r="M81" s="13">
        <f>8702-N81</f>
        <v>8361</v>
      </c>
      <c r="N81" s="13">
        <v>341</v>
      </c>
      <c r="O81" s="13">
        <v>9085</v>
      </c>
      <c r="P81" s="13">
        <v>368</v>
      </c>
      <c r="Q81" s="13">
        <v>7381</v>
      </c>
      <c r="R81" s="13">
        <v>2492</v>
      </c>
      <c r="S81" s="13">
        <v>10593</v>
      </c>
      <c r="T81" s="13">
        <v>8271</v>
      </c>
      <c r="U81" s="13">
        <f>18*6.2898</f>
        <v>113.21639999999999</v>
      </c>
      <c r="V81" s="13">
        <v>918</v>
      </c>
      <c r="W81" s="13">
        <v>7869</v>
      </c>
      <c r="X81" s="13">
        <v>3615</v>
      </c>
      <c r="Y81" s="13">
        <v>3186</v>
      </c>
      <c r="Z81" s="13">
        <f>354/0.55</f>
        <v>643.63636363636363</v>
      </c>
      <c r="AA81" s="13">
        <v>4377</v>
      </c>
      <c r="AB81" s="13">
        <v>170</v>
      </c>
      <c r="AC81" s="13">
        <v>8935</v>
      </c>
      <c r="AD81" s="13">
        <v>4026</v>
      </c>
      <c r="AE81" s="13">
        <v>37.200000000000003</v>
      </c>
      <c r="AF81" s="13">
        <v>6735</v>
      </c>
    </row>
    <row r="82" spans="1:32" x14ac:dyDescent="0.2">
      <c r="A82" s="12">
        <v>45737</v>
      </c>
      <c r="B82" s="13">
        <v>5935</v>
      </c>
      <c r="C82" s="13">
        <v>1444</v>
      </c>
      <c r="D82" s="13">
        <v>117</v>
      </c>
      <c r="E82" s="13">
        <v>242</v>
      </c>
      <c r="F82" s="13">
        <v>119</v>
      </c>
      <c r="G82" s="13">
        <v>120</v>
      </c>
      <c r="H82" s="13">
        <v>9011.8269999999993</v>
      </c>
      <c r="I82" s="13">
        <v>1040.5429999999999</v>
      </c>
      <c r="J82" s="13">
        <v>2335.4270000000001</v>
      </c>
      <c r="K82" s="13">
        <v>12196</v>
      </c>
      <c r="L82" s="13">
        <f>3276.43901008+296</f>
        <v>3572.4390100800001</v>
      </c>
      <c r="M82" s="13">
        <f>8720-N82</f>
        <v>8379</v>
      </c>
      <c r="N82" s="13">
        <v>341</v>
      </c>
      <c r="O82" s="13">
        <v>7711</v>
      </c>
      <c r="P82" s="13">
        <v>0</v>
      </c>
      <c r="Q82" s="13">
        <v>7479</v>
      </c>
      <c r="R82" s="13">
        <v>2872</v>
      </c>
      <c r="S82" s="13">
        <v>10669</v>
      </c>
      <c r="T82" s="13">
        <v>8208</v>
      </c>
      <c r="U82" s="13">
        <f>26*6.2898</f>
        <v>163.53479999999999</v>
      </c>
      <c r="V82" s="13">
        <v>918</v>
      </c>
      <c r="W82" s="13">
        <v>7875</v>
      </c>
      <c r="X82" s="13">
        <v>3625</v>
      </c>
      <c r="Y82" s="13">
        <v>3619</v>
      </c>
      <c r="Z82" s="13">
        <f>244/0.55</f>
        <v>443.63636363636363</v>
      </c>
      <c r="AA82" s="13">
        <v>4092</v>
      </c>
      <c r="AB82" s="13">
        <v>170</v>
      </c>
      <c r="AC82" s="13">
        <v>8878</v>
      </c>
      <c r="AD82" s="13">
        <v>4026</v>
      </c>
      <c r="AE82" s="13">
        <v>37.200000000000003</v>
      </c>
      <c r="AF82" s="13">
        <v>6809</v>
      </c>
    </row>
    <row r="83" spans="1:32" x14ac:dyDescent="0.2">
      <c r="A83" s="12">
        <v>45738</v>
      </c>
      <c r="B83" s="13">
        <v>5825</v>
      </c>
      <c r="C83" s="13">
        <v>1466</v>
      </c>
      <c r="D83" s="13">
        <v>126</v>
      </c>
      <c r="E83" s="13">
        <v>227</v>
      </c>
      <c r="F83" s="13">
        <v>109</v>
      </c>
      <c r="G83" s="13">
        <v>120</v>
      </c>
      <c r="H83" s="13">
        <v>9000.4570000000003</v>
      </c>
      <c r="I83" s="13">
        <v>1045.7180000000001</v>
      </c>
      <c r="J83" s="13">
        <v>2420.326</v>
      </c>
      <c r="K83" s="13">
        <v>12169</v>
      </c>
      <c r="L83" s="13">
        <f>3278.50237896+297</f>
        <v>3575.50237896</v>
      </c>
      <c r="M83" s="13">
        <f>8725-N83</f>
        <v>8384</v>
      </c>
      <c r="N83" s="13">
        <v>341</v>
      </c>
      <c r="O83" s="13">
        <v>7925</v>
      </c>
      <c r="P83" s="13">
        <v>0</v>
      </c>
      <c r="Q83" s="13">
        <v>6969</v>
      </c>
      <c r="R83" s="13">
        <v>2835</v>
      </c>
      <c r="S83" s="13">
        <v>10653</v>
      </c>
      <c r="T83" s="13">
        <v>8193</v>
      </c>
      <c r="U83" s="13">
        <f>14*6.2898</f>
        <v>88.057199999999995</v>
      </c>
      <c r="V83" s="13">
        <v>901</v>
      </c>
      <c r="W83" s="13">
        <v>7845</v>
      </c>
      <c r="X83" s="13">
        <v>3656</v>
      </c>
      <c r="Y83" s="13">
        <v>3610</v>
      </c>
      <c r="Z83" s="13">
        <f>277/0.55</f>
        <v>503.63636363636357</v>
      </c>
      <c r="AA83" s="13">
        <v>3837</v>
      </c>
      <c r="AB83" s="13">
        <v>170</v>
      </c>
      <c r="AC83" s="13">
        <v>8927</v>
      </c>
      <c r="AD83" s="13">
        <v>4026</v>
      </c>
      <c r="AE83" s="13">
        <v>37.200000000000003</v>
      </c>
      <c r="AF83" s="13">
        <v>6760</v>
      </c>
    </row>
    <row r="84" spans="1:32" x14ac:dyDescent="0.2">
      <c r="A84" s="12">
        <v>45739</v>
      </c>
      <c r="B84" s="13">
        <v>5928</v>
      </c>
      <c r="C84" s="13">
        <v>1477</v>
      </c>
      <c r="D84" s="13">
        <v>128</v>
      </c>
      <c r="E84" s="13">
        <v>234</v>
      </c>
      <c r="F84" s="13">
        <v>119</v>
      </c>
      <c r="G84" s="13">
        <v>120</v>
      </c>
      <c r="H84" s="13">
        <v>9449.8340000000007</v>
      </c>
      <c r="I84" s="13">
        <v>1067.9390000000001</v>
      </c>
      <c r="J84" s="13">
        <v>2491.64</v>
      </c>
      <c r="K84" s="13">
        <v>12140</v>
      </c>
      <c r="L84" s="13">
        <f>3296.04241704+300</f>
        <v>3596.0424170400001</v>
      </c>
      <c r="M84" s="13">
        <f>8730-N84</f>
        <v>8383</v>
      </c>
      <c r="N84" s="13">
        <v>347</v>
      </c>
      <c r="O84" s="13">
        <v>7811</v>
      </c>
      <c r="P84" s="13">
        <v>0</v>
      </c>
      <c r="Q84" s="13">
        <v>6679</v>
      </c>
      <c r="R84" s="13">
        <v>3040</v>
      </c>
      <c r="S84" s="13">
        <v>10509</v>
      </c>
      <c r="T84" s="13">
        <v>8258</v>
      </c>
      <c r="U84" s="13">
        <f>20*6.2898</f>
        <v>125.79599999999999</v>
      </c>
      <c r="V84" s="13">
        <v>904</v>
      </c>
      <c r="W84" s="13">
        <v>7840</v>
      </c>
      <c r="X84" s="13">
        <v>3650</v>
      </c>
      <c r="Y84" s="13">
        <v>3612</v>
      </c>
      <c r="Z84" s="13">
        <f>278/0.55</f>
        <v>505.45454545454544</v>
      </c>
      <c r="AA84" s="13">
        <v>3660</v>
      </c>
      <c r="AB84" s="13">
        <v>170</v>
      </c>
      <c r="AC84" s="13">
        <v>8911</v>
      </c>
      <c r="AD84" s="13">
        <v>4026</v>
      </c>
      <c r="AE84" s="13">
        <v>37.200000000000003</v>
      </c>
      <c r="AF84" s="13">
        <v>6744</v>
      </c>
    </row>
    <row r="85" spans="1:32" x14ac:dyDescent="0.2">
      <c r="A85" s="12">
        <v>45740</v>
      </c>
      <c r="B85" s="13">
        <v>5807</v>
      </c>
      <c r="C85" s="13">
        <v>1452</v>
      </c>
      <c r="D85" s="13">
        <v>124</v>
      </c>
      <c r="E85" s="13">
        <v>231</v>
      </c>
      <c r="F85" s="13">
        <v>110</v>
      </c>
      <c r="G85" s="13">
        <v>120</v>
      </c>
      <c r="H85" s="13">
        <v>11249.241</v>
      </c>
      <c r="I85" s="13">
        <v>1042.3119999999999</v>
      </c>
      <c r="J85" s="13">
        <v>2433.828</v>
      </c>
      <c r="K85" s="13">
        <v>12066</v>
      </c>
      <c r="L85" s="13">
        <f>3269.00239816+296</f>
        <v>3565.0023981600002</v>
      </c>
      <c r="M85" s="13">
        <f>8725-N85</f>
        <v>8340</v>
      </c>
      <c r="N85" s="13">
        <v>385</v>
      </c>
      <c r="O85" s="13">
        <v>8766</v>
      </c>
      <c r="P85" s="13">
        <v>322</v>
      </c>
      <c r="Q85" s="13">
        <v>6580</v>
      </c>
      <c r="R85" s="13">
        <v>3153</v>
      </c>
      <c r="S85" s="13">
        <v>10424</v>
      </c>
      <c r="T85" s="13">
        <v>8257</v>
      </c>
      <c r="U85" s="13">
        <f>20*6.2898</f>
        <v>125.79599999999999</v>
      </c>
      <c r="V85" s="13">
        <v>895</v>
      </c>
      <c r="W85" s="13">
        <v>7837</v>
      </c>
      <c r="X85" s="13">
        <v>3693</v>
      </c>
      <c r="Y85" s="13">
        <v>3609</v>
      </c>
      <c r="Z85" s="13">
        <f>271/0.55</f>
        <v>492.72727272727269</v>
      </c>
      <c r="AA85" s="13">
        <v>3484</v>
      </c>
      <c r="AB85" s="13">
        <v>170</v>
      </c>
      <c r="AC85" s="13">
        <v>8917</v>
      </c>
      <c r="AD85" s="13">
        <v>4026</v>
      </c>
      <c r="AE85" s="13">
        <v>37.200000000000003</v>
      </c>
      <c r="AF85" s="13">
        <v>6818</v>
      </c>
    </row>
    <row r="86" spans="1:32" x14ac:dyDescent="0.2">
      <c r="A86" s="12">
        <v>45741</v>
      </c>
      <c r="B86" s="13">
        <v>5899</v>
      </c>
      <c r="C86" s="13">
        <v>1388</v>
      </c>
      <c r="D86" s="13">
        <v>130</v>
      </c>
      <c r="E86" s="13">
        <v>241</v>
      </c>
      <c r="F86" s="13">
        <v>114</v>
      </c>
      <c r="G86" s="13">
        <v>120</v>
      </c>
      <c r="H86" s="13">
        <v>9531</v>
      </c>
      <c r="I86" s="13">
        <v>1032</v>
      </c>
      <c r="J86" s="13">
        <v>2493</v>
      </c>
      <c r="K86" s="13">
        <v>11923</v>
      </c>
      <c r="L86" s="13">
        <v>3566</v>
      </c>
      <c r="M86" s="13">
        <v>8359</v>
      </c>
      <c r="N86" s="13">
        <v>376</v>
      </c>
      <c r="O86" s="13">
        <v>9194</v>
      </c>
      <c r="P86" s="13">
        <v>375</v>
      </c>
      <c r="Q86" s="13">
        <v>6378</v>
      </c>
      <c r="R86" s="13">
        <v>3244</v>
      </c>
      <c r="S86" s="13">
        <v>10523</v>
      </c>
      <c r="T86" s="13">
        <v>8141</v>
      </c>
      <c r="U86" s="13">
        <f>26*6.2898</f>
        <v>163.53479999999999</v>
      </c>
      <c r="V86" s="13">
        <v>907</v>
      </c>
      <c r="W86" s="13">
        <v>7867</v>
      </c>
      <c r="X86" s="13">
        <v>3486</v>
      </c>
      <c r="Y86" s="13">
        <v>3605</v>
      </c>
      <c r="Z86" s="13">
        <f>279/0.55</f>
        <v>507.27272727272725</v>
      </c>
      <c r="AA86" s="13">
        <v>3485</v>
      </c>
      <c r="AB86" s="13">
        <v>170</v>
      </c>
      <c r="AC86" s="13">
        <v>8917</v>
      </c>
      <c r="AD86" s="13">
        <v>4026</v>
      </c>
      <c r="AE86" s="13">
        <v>37.200000000000003</v>
      </c>
      <c r="AF86" s="13">
        <v>6811</v>
      </c>
    </row>
    <row r="87" spans="1:32" x14ac:dyDescent="0.2">
      <c r="A87" s="12">
        <v>45742</v>
      </c>
      <c r="B87" s="13">
        <v>5846</v>
      </c>
      <c r="C87" s="13">
        <v>1434</v>
      </c>
      <c r="D87" s="13">
        <v>126</v>
      </c>
      <c r="E87" s="13">
        <v>234</v>
      </c>
      <c r="F87" s="13">
        <v>114</v>
      </c>
      <c r="G87" s="13">
        <v>120</v>
      </c>
      <c r="H87" s="13">
        <v>9429</v>
      </c>
      <c r="I87" s="13">
        <v>1040</v>
      </c>
      <c r="J87" s="13">
        <v>2494</v>
      </c>
      <c r="K87" s="13">
        <v>12068</v>
      </c>
      <c r="L87" s="13">
        <v>3564</v>
      </c>
      <c r="M87" s="13">
        <v>8419</v>
      </c>
      <c r="N87" s="13">
        <v>397</v>
      </c>
      <c r="O87" s="13">
        <v>9147</v>
      </c>
      <c r="P87" s="13">
        <v>403</v>
      </c>
      <c r="Q87" s="13">
        <v>6575</v>
      </c>
      <c r="R87" s="13">
        <v>3213</v>
      </c>
      <c r="S87" s="13">
        <v>5735</v>
      </c>
      <c r="T87" s="13">
        <v>7995</v>
      </c>
      <c r="U87" s="13">
        <f>14*6.2898</f>
        <v>88.057199999999995</v>
      </c>
      <c r="V87" s="13">
        <v>866</v>
      </c>
      <c r="W87" s="13">
        <v>7784</v>
      </c>
      <c r="X87" s="13">
        <v>2139</v>
      </c>
      <c r="Y87" s="13">
        <v>3611</v>
      </c>
      <c r="Z87" s="13">
        <f>274/0.55</f>
        <v>498.18181818181813</v>
      </c>
      <c r="AA87" s="13">
        <v>3486</v>
      </c>
      <c r="AB87" s="13">
        <v>170</v>
      </c>
      <c r="AC87" s="13">
        <v>9109</v>
      </c>
      <c r="AD87" s="13">
        <v>4026</v>
      </c>
      <c r="AE87" s="13">
        <v>37.200000000000003</v>
      </c>
      <c r="AF87" s="13">
        <v>6793</v>
      </c>
    </row>
    <row r="88" spans="1:32" x14ac:dyDescent="0.2">
      <c r="A88" s="12">
        <v>45743</v>
      </c>
      <c r="B88" s="13">
        <v>5958</v>
      </c>
      <c r="C88" s="13">
        <v>1436</v>
      </c>
      <c r="D88" s="13">
        <v>128</v>
      </c>
      <c r="E88" s="13">
        <v>244</v>
      </c>
      <c r="F88" s="13">
        <v>111</v>
      </c>
      <c r="G88" s="13">
        <v>120</v>
      </c>
      <c r="H88" s="13">
        <v>9429</v>
      </c>
      <c r="I88" s="13">
        <v>1040</v>
      </c>
      <c r="J88" s="13">
        <v>2494</v>
      </c>
      <c r="K88" s="13">
        <v>12068</v>
      </c>
      <c r="L88" s="13">
        <v>3564</v>
      </c>
      <c r="M88" s="13">
        <v>8419</v>
      </c>
      <c r="N88" s="13">
        <v>397</v>
      </c>
      <c r="O88" s="13">
        <v>9469</v>
      </c>
      <c r="P88" s="13">
        <v>440</v>
      </c>
      <c r="Q88" s="13">
        <v>6679</v>
      </c>
      <c r="R88" s="13">
        <v>3226</v>
      </c>
      <c r="S88" s="13">
        <v>9419</v>
      </c>
      <c r="T88" s="13">
        <v>7976</v>
      </c>
      <c r="U88" s="13">
        <f>17*6.2898</f>
        <v>106.92659999999999</v>
      </c>
      <c r="V88" s="13">
        <v>852</v>
      </c>
      <c r="W88" s="13">
        <v>7622</v>
      </c>
      <c r="X88" s="13">
        <v>3602</v>
      </c>
      <c r="Y88" s="13">
        <v>3194</v>
      </c>
      <c r="Z88" s="13">
        <f>276/0.55</f>
        <v>501.81818181818176</v>
      </c>
      <c r="AA88" s="13">
        <v>4409</v>
      </c>
      <c r="AB88" s="13">
        <v>170</v>
      </c>
      <c r="AC88" s="13">
        <v>8474</v>
      </c>
      <c r="AD88" s="13">
        <v>4026</v>
      </c>
      <c r="AE88" s="13">
        <v>37.200000000000003</v>
      </c>
      <c r="AF88" s="13">
        <v>6791</v>
      </c>
    </row>
    <row r="89" spans="1:32" x14ac:dyDescent="0.2">
      <c r="A89" s="12">
        <v>45744</v>
      </c>
      <c r="B89" s="13">
        <f>7896-(C89+D89+E89+F89)</f>
        <v>5938</v>
      </c>
      <c r="C89" s="13">
        <v>1477</v>
      </c>
      <c r="D89" s="13">
        <v>128</v>
      </c>
      <c r="E89" s="13">
        <v>234</v>
      </c>
      <c r="F89" s="13">
        <v>119</v>
      </c>
      <c r="G89" s="13">
        <v>120</v>
      </c>
      <c r="H89" s="13">
        <v>9429</v>
      </c>
      <c r="I89" s="13">
        <v>1040</v>
      </c>
      <c r="J89" s="13">
        <v>2494</v>
      </c>
      <c r="K89" s="13">
        <v>12068</v>
      </c>
      <c r="L89" s="13">
        <v>3564</v>
      </c>
      <c r="M89" s="13">
        <f>9030-N89</f>
        <v>8692</v>
      </c>
      <c r="N89" s="13">
        <v>338</v>
      </c>
      <c r="O89" s="13">
        <v>9350</v>
      </c>
      <c r="P89" s="13">
        <v>419</v>
      </c>
      <c r="Q89" s="13">
        <v>6685</v>
      </c>
      <c r="R89" s="13">
        <v>2615</v>
      </c>
      <c r="S89" s="13">
        <v>9809</v>
      </c>
      <c r="T89" s="13">
        <v>1344</v>
      </c>
      <c r="U89" s="13">
        <f>17*6.2898</f>
        <v>106.92659999999999</v>
      </c>
      <c r="V89" s="13">
        <v>852</v>
      </c>
      <c r="W89" s="13">
        <v>7586</v>
      </c>
      <c r="X89" s="13">
        <v>3790</v>
      </c>
      <c r="Y89" s="13">
        <v>3591</v>
      </c>
      <c r="Z89" s="13">
        <f>272/0.55</f>
        <v>494.5454545454545</v>
      </c>
      <c r="AA89" s="13">
        <v>4396</v>
      </c>
      <c r="AB89" s="13">
        <v>170</v>
      </c>
      <c r="AC89" s="13">
        <v>8958</v>
      </c>
      <c r="AD89" s="13">
        <f>8242*0.49</f>
        <v>4038.58</v>
      </c>
      <c r="AE89" s="13">
        <v>37.200000000000003</v>
      </c>
      <c r="AF89" s="13">
        <v>6827</v>
      </c>
    </row>
    <row r="90" spans="1:32" x14ac:dyDescent="0.2">
      <c r="A90" s="12">
        <v>45745</v>
      </c>
      <c r="B90" s="13">
        <f>7886-(C90+D90+E90+F90)</f>
        <v>5928</v>
      </c>
      <c r="C90" s="13">
        <v>1477</v>
      </c>
      <c r="D90" s="13">
        <v>128</v>
      </c>
      <c r="E90" s="13">
        <v>234</v>
      </c>
      <c r="F90" s="13">
        <v>119</v>
      </c>
      <c r="G90" s="13">
        <v>120</v>
      </c>
      <c r="H90" s="13">
        <v>8914.0040000000008</v>
      </c>
      <c r="I90" s="13">
        <v>971.46600000000001</v>
      </c>
      <c r="J90" s="13">
        <v>2492.54</v>
      </c>
      <c r="K90" s="13">
        <v>12152</v>
      </c>
      <c r="L90" s="13">
        <v>3535.44838028</v>
      </c>
      <c r="M90" s="13">
        <f>9250-N90</f>
        <v>8884</v>
      </c>
      <c r="N90" s="13">
        <v>366</v>
      </c>
      <c r="O90" s="13">
        <v>9333</v>
      </c>
      <c r="P90" s="13">
        <v>454</v>
      </c>
      <c r="Q90" s="13">
        <v>7262</v>
      </c>
      <c r="R90" s="13">
        <v>3316</v>
      </c>
      <c r="S90" s="13">
        <v>10003</v>
      </c>
      <c r="T90" s="13">
        <v>0</v>
      </c>
      <c r="U90" s="13">
        <f>17*6.2898</f>
        <v>106.92659999999999</v>
      </c>
      <c r="V90" s="13">
        <v>852</v>
      </c>
      <c r="W90" s="13">
        <v>7714</v>
      </c>
      <c r="X90" s="13">
        <v>3428</v>
      </c>
      <c r="Y90" s="13">
        <v>3570</v>
      </c>
      <c r="Z90" s="13">
        <f>261/0.55</f>
        <v>474.5454545454545</v>
      </c>
      <c r="AA90" s="13">
        <v>3576</v>
      </c>
      <c r="AB90" s="13">
        <v>170</v>
      </c>
      <c r="AC90" s="13">
        <v>4694</v>
      </c>
      <c r="AD90" s="13">
        <f>8250*0.49</f>
        <v>4042.5</v>
      </c>
      <c r="AE90" s="13">
        <v>37.200000000000003</v>
      </c>
      <c r="AF90" s="13">
        <v>6819</v>
      </c>
    </row>
    <row r="91" spans="1:32" x14ac:dyDescent="0.2">
      <c r="A91" s="12">
        <v>45746</v>
      </c>
      <c r="B91" s="13">
        <f>7887-(C91+D91+E91+F91)</f>
        <v>5929</v>
      </c>
      <c r="C91" s="13">
        <v>1477</v>
      </c>
      <c r="D91" s="13">
        <v>128</v>
      </c>
      <c r="E91" s="13">
        <v>234</v>
      </c>
      <c r="F91" s="13">
        <v>119</v>
      </c>
      <c r="G91" s="13">
        <v>120</v>
      </c>
      <c r="H91" s="13">
        <v>8948.9240000000009</v>
      </c>
      <c r="I91" s="13">
        <v>939.178</v>
      </c>
      <c r="J91" s="13">
        <v>2474.46</v>
      </c>
      <c r="K91" s="13">
        <v>12177</v>
      </c>
      <c r="L91" s="13">
        <v>3539.3321959599998</v>
      </c>
      <c r="M91" s="13">
        <f>9258-N91</f>
        <v>8862</v>
      </c>
      <c r="N91" s="13">
        <v>396</v>
      </c>
      <c r="O91" s="13">
        <v>9212</v>
      </c>
      <c r="P91" s="13">
        <v>409</v>
      </c>
      <c r="Q91" s="13">
        <v>6570</v>
      </c>
      <c r="R91" s="13">
        <v>2835</v>
      </c>
      <c r="S91" s="13">
        <v>10159</v>
      </c>
      <c r="T91" s="13">
        <v>0</v>
      </c>
      <c r="U91" s="13">
        <f>18*6.2898</f>
        <v>113.21639999999999</v>
      </c>
      <c r="V91" s="13">
        <v>852</v>
      </c>
      <c r="W91" s="13">
        <v>7691</v>
      </c>
      <c r="X91" s="13">
        <v>3514</v>
      </c>
      <c r="Y91" s="13">
        <v>3551</v>
      </c>
      <c r="Z91" s="13">
        <f>272/0.55</f>
        <v>494.5454545454545</v>
      </c>
      <c r="AA91" s="13">
        <v>3509</v>
      </c>
      <c r="AB91" s="13">
        <v>170</v>
      </c>
      <c r="AC91" s="13">
        <v>2255</v>
      </c>
      <c r="AD91" s="13">
        <f>8283*0.49</f>
        <v>4058.67</v>
      </c>
      <c r="AE91" s="13">
        <v>37.200000000000003</v>
      </c>
      <c r="AF91" s="13">
        <v>6819</v>
      </c>
    </row>
    <row r="92" spans="1:32" x14ac:dyDescent="0.2">
      <c r="A92" s="12">
        <v>45747</v>
      </c>
      <c r="B92" s="13">
        <f>7802-(C92+D92+E92+F92)</f>
        <v>5844</v>
      </c>
      <c r="C92" s="13">
        <v>1477</v>
      </c>
      <c r="D92" s="13">
        <v>128</v>
      </c>
      <c r="E92" s="13">
        <v>234</v>
      </c>
      <c r="F92" s="13">
        <v>119</v>
      </c>
      <c r="G92" s="13">
        <v>120</v>
      </c>
      <c r="H92" s="13">
        <v>8926.8880000000008</v>
      </c>
      <c r="I92" s="13">
        <v>884.61400000000003</v>
      </c>
      <c r="J92" s="13">
        <v>2330.7629999999999</v>
      </c>
      <c r="K92" s="13">
        <v>12056</v>
      </c>
      <c r="L92" s="13">
        <v>3525.3672844799999</v>
      </c>
      <c r="M92" s="13">
        <f>8895-N92</f>
        <v>8524</v>
      </c>
      <c r="N92" s="13">
        <v>371</v>
      </c>
      <c r="O92" s="13">
        <v>8884</v>
      </c>
      <c r="P92" s="13">
        <v>409</v>
      </c>
      <c r="Q92" s="13">
        <v>6570</v>
      </c>
      <c r="R92" s="13">
        <v>2211</v>
      </c>
      <c r="S92" s="13">
        <v>10225</v>
      </c>
      <c r="T92" s="13">
        <v>0</v>
      </c>
      <c r="U92" s="13">
        <f>28*6.2898</f>
        <v>176.11439999999999</v>
      </c>
      <c r="V92" s="13">
        <v>852</v>
      </c>
      <c r="W92" s="13">
        <v>7691</v>
      </c>
      <c r="X92" s="13">
        <v>3535</v>
      </c>
      <c r="Y92" s="13">
        <v>3529</v>
      </c>
      <c r="Z92" s="13">
        <f>274/0.55</f>
        <v>498.18181818181813</v>
      </c>
      <c r="AA92" s="13">
        <v>3625</v>
      </c>
      <c r="AB92" s="13">
        <v>170</v>
      </c>
      <c r="AC92" s="13">
        <v>4669</v>
      </c>
      <c r="AD92" s="13">
        <f>8286*0.49</f>
        <v>4060.14</v>
      </c>
      <c r="AE92" s="13">
        <v>37.200000000000003</v>
      </c>
      <c r="AF92" s="13">
        <v>6819</v>
      </c>
    </row>
    <row r="93" spans="1:32" x14ac:dyDescent="0.2">
      <c r="A93" s="12">
        <v>45748</v>
      </c>
      <c r="B93" s="13">
        <v>5715</v>
      </c>
      <c r="C93" s="13">
        <v>1635</v>
      </c>
      <c r="D93" s="13">
        <v>134</v>
      </c>
      <c r="E93" s="13">
        <v>198</v>
      </c>
      <c r="F93" s="13">
        <v>104</v>
      </c>
      <c r="G93" s="13">
        <v>125</v>
      </c>
      <c r="H93" s="13">
        <v>8634</v>
      </c>
      <c r="I93" s="13">
        <v>889</v>
      </c>
      <c r="J93" s="13">
        <v>2382</v>
      </c>
      <c r="K93" s="13">
        <v>12011</v>
      </c>
      <c r="L93" s="13">
        <v>3548</v>
      </c>
      <c r="M93" s="13">
        <v>8638</v>
      </c>
      <c r="N93" s="13">
        <v>365</v>
      </c>
      <c r="O93" s="13">
        <v>8738</v>
      </c>
      <c r="P93" s="13">
        <v>418</v>
      </c>
      <c r="Q93" s="13">
        <v>7330</v>
      </c>
      <c r="R93" s="13">
        <v>2511</v>
      </c>
      <c r="S93" s="13">
        <v>10196</v>
      </c>
      <c r="T93" s="13">
        <v>0</v>
      </c>
      <c r="U93" s="13">
        <v>176.11439999999999</v>
      </c>
      <c r="V93" s="13">
        <v>868</v>
      </c>
      <c r="W93" s="13">
        <v>7824</v>
      </c>
      <c r="X93" s="13">
        <v>3663</v>
      </c>
      <c r="Y93" s="13">
        <v>3510</v>
      </c>
      <c r="Z93" s="13">
        <v>509.09090909090907</v>
      </c>
      <c r="AA93" s="13">
        <v>3854</v>
      </c>
      <c r="AB93" s="13">
        <v>160</v>
      </c>
      <c r="AC93" s="13">
        <v>8532</v>
      </c>
      <c r="AD93" s="13">
        <v>4060.63</v>
      </c>
      <c r="AE93" s="13">
        <v>25</v>
      </c>
      <c r="AF93" s="13">
        <v>6922.5284000000001</v>
      </c>
    </row>
    <row r="94" spans="1:32" x14ac:dyDescent="0.2">
      <c r="A94" s="12">
        <v>45749</v>
      </c>
      <c r="B94" s="13">
        <v>5788</v>
      </c>
      <c r="C94" s="13">
        <v>1635</v>
      </c>
      <c r="D94" s="13">
        <v>134</v>
      </c>
      <c r="E94" s="13">
        <v>198</v>
      </c>
      <c r="F94" s="13">
        <v>104</v>
      </c>
      <c r="G94" s="13">
        <v>125</v>
      </c>
      <c r="H94" s="13">
        <v>9257.7459999999992</v>
      </c>
      <c r="I94" s="13">
        <v>984.55899999999997</v>
      </c>
      <c r="J94" s="13">
        <v>2399</v>
      </c>
      <c r="K94" s="13">
        <v>11942</v>
      </c>
      <c r="L94" s="13">
        <v>3538.7995683600002</v>
      </c>
      <c r="M94" s="13">
        <v>8688</v>
      </c>
      <c r="N94" s="13">
        <v>357</v>
      </c>
      <c r="O94" s="13">
        <v>8893</v>
      </c>
      <c r="P94" s="13">
        <v>403</v>
      </c>
      <c r="Q94" s="13">
        <v>7206</v>
      </c>
      <c r="R94" s="13">
        <v>2505</v>
      </c>
      <c r="S94" s="13">
        <v>10383</v>
      </c>
      <c r="T94" s="13">
        <v>0</v>
      </c>
      <c r="U94" s="13">
        <v>176.11439999999999</v>
      </c>
      <c r="V94" s="13">
        <v>899</v>
      </c>
      <c r="W94" s="13">
        <v>7671</v>
      </c>
      <c r="X94" s="13">
        <v>3484</v>
      </c>
      <c r="Y94" s="13">
        <v>3505</v>
      </c>
      <c r="Z94" s="13">
        <v>487.27272727272725</v>
      </c>
      <c r="AA94" s="13">
        <v>3543</v>
      </c>
      <c r="AB94" s="13">
        <v>160</v>
      </c>
      <c r="AC94" s="13">
        <v>8627</v>
      </c>
      <c r="AD94" s="13">
        <v>4060.63</v>
      </c>
      <c r="AE94" s="13">
        <v>25</v>
      </c>
      <c r="AF94" s="13">
        <v>6673.8123999999998</v>
      </c>
    </row>
    <row r="95" spans="1:32" x14ac:dyDescent="0.2">
      <c r="A95" s="12">
        <v>45750</v>
      </c>
      <c r="B95" s="13">
        <v>5673</v>
      </c>
      <c r="C95" s="13">
        <v>1635</v>
      </c>
      <c r="D95" s="13">
        <v>134</v>
      </c>
      <c r="E95" s="13">
        <v>198</v>
      </c>
      <c r="F95" s="13">
        <v>104</v>
      </c>
      <c r="G95" s="13">
        <v>125</v>
      </c>
      <c r="H95" s="13">
        <v>8831.8320000000003</v>
      </c>
      <c r="I95" s="13">
        <v>858.34299999999996</v>
      </c>
      <c r="J95" s="13">
        <v>2094.201</v>
      </c>
      <c r="K95" s="13">
        <v>12190</v>
      </c>
      <c r="L95" s="13">
        <v>3567.9607538400001</v>
      </c>
      <c r="M95" s="13">
        <v>8662</v>
      </c>
      <c r="N95" s="13">
        <v>358</v>
      </c>
      <c r="O95" s="13">
        <v>8916</v>
      </c>
      <c r="P95" s="13">
        <v>466</v>
      </c>
      <c r="Q95" s="13">
        <v>7242</v>
      </c>
      <c r="R95" s="13">
        <v>2319</v>
      </c>
      <c r="S95" s="13">
        <v>10369</v>
      </c>
      <c r="T95" s="13">
        <v>0</v>
      </c>
      <c r="U95" s="13">
        <v>176.11439999999999</v>
      </c>
      <c r="V95" s="13">
        <v>881</v>
      </c>
      <c r="W95" s="13">
        <v>7705</v>
      </c>
      <c r="X95" s="13">
        <v>3504</v>
      </c>
      <c r="Y95" s="13">
        <v>3115</v>
      </c>
      <c r="Z95" s="13">
        <v>499.99999999999994</v>
      </c>
      <c r="AA95" s="13">
        <v>4409</v>
      </c>
      <c r="AB95" s="13">
        <v>160</v>
      </c>
      <c r="AC95" s="13">
        <v>8665</v>
      </c>
      <c r="AD95" s="13">
        <v>4060.63</v>
      </c>
      <c r="AE95" s="13">
        <v>25</v>
      </c>
      <c r="AF95" s="13">
        <v>6739.0720000000001</v>
      </c>
    </row>
    <row r="96" spans="1:32" x14ac:dyDescent="0.2">
      <c r="A96" s="12">
        <v>45751</v>
      </c>
      <c r="B96" s="13">
        <v>5803</v>
      </c>
      <c r="C96" s="13">
        <v>1635</v>
      </c>
      <c r="D96" s="13">
        <v>134</v>
      </c>
      <c r="E96" s="13">
        <v>198</v>
      </c>
      <c r="F96" s="13">
        <v>104</v>
      </c>
      <c r="G96" s="13">
        <v>125</v>
      </c>
      <c r="H96" s="13">
        <v>8741</v>
      </c>
      <c r="I96" s="13">
        <v>976</v>
      </c>
      <c r="J96" s="13">
        <v>2474</v>
      </c>
      <c r="K96" s="13">
        <v>12111</v>
      </c>
      <c r="L96" s="13">
        <v>3610</v>
      </c>
      <c r="M96" s="13">
        <v>8112</v>
      </c>
      <c r="N96" s="13">
        <v>388</v>
      </c>
      <c r="O96" s="13">
        <v>10132</v>
      </c>
      <c r="P96" s="13">
        <v>467</v>
      </c>
      <c r="Q96" s="13">
        <v>7277</v>
      </c>
      <c r="R96" s="13">
        <v>2571</v>
      </c>
      <c r="S96" s="13">
        <v>10267</v>
      </c>
      <c r="T96" s="13">
        <v>0</v>
      </c>
      <c r="U96" s="13">
        <v>182.4042</v>
      </c>
      <c r="V96" s="13">
        <v>891</v>
      </c>
      <c r="W96" s="13">
        <v>7603</v>
      </c>
      <c r="X96" s="13">
        <v>3624</v>
      </c>
      <c r="Y96" s="13">
        <v>2864</v>
      </c>
      <c r="Z96" s="13">
        <v>487.27272727272725</v>
      </c>
      <c r="AA96" s="13">
        <v>4409</v>
      </c>
      <c r="AB96" s="13">
        <v>160</v>
      </c>
      <c r="AC96" s="13">
        <v>8443</v>
      </c>
      <c r="AD96" s="13">
        <v>4060.63</v>
      </c>
      <c r="AE96" s="13">
        <v>25</v>
      </c>
      <c r="AF96" s="13">
        <v>7041.8176000000012</v>
      </c>
    </row>
    <row r="97" spans="1:32" x14ac:dyDescent="0.2">
      <c r="A97" s="12">
        <v>45752</v>
      </c>
      <c r="B97" s="13">
        <v>5774</v>
      </c>
      <c r="C97" s="13">
        <v>1635</v>
      </c>
      <c r="D97" s="13">
        <v>134</v>
      </c>
      <c r="E97" s="13">
        <v>198</v>
      </c>
      <c r="F97" s="13">
        <v>104</v>
      </c>
      <c r="G97" s="13">
        <v>125</v>
      </c>
      <c r="H97" s="13">
        <v>8913</v>
      </c>
      <c r="I97" s="13">
        <v>901</v>
      </c>
      <c r="J97" s="13">
        <v>2377</v>
      </c>
      <c r="K97" s="13">
        <v>12050</v>
      </c>
      <c r="L97" s="13">
        <v>3623</v>
      </c>
      <c r="M97" s="13">
        <v>8412</v>
      </c>
      <c r="N97" s="13">
        <v>355</v>
      </c>
      <c r="O97" s="13">
        <v>9197</v>
      </c>
      <c r="P97" s="13">
        <v>804</v>
      </c>
      <c r="Q97" s="13">
        <v>7429</v>
      </c>
      <c r="R97" s="13">
        <v>3124</v>
      </c>
      <c r="S97" s="13">
        <v>10295</v>
      </c>
      <c r="T97" s="13">
        <v>0</v>
      </c>
      <c r="U97" s="13">
        <v>176.11439999999999</v>
      </c>
      <c r="V97" s="13">
        <v>863</v>
      </c>
      <c r="W97" s="13">
        <v>7524</v>
      </c>
      <c r="X97" s="13">
        <v>3533</v>
      </c>
      <c r="Y97" s="13">
        <v>2857</v>
      </c>
      <c r="Z97" s="13">
        <v>290.90909090909088</v>
      </c>
      <c r="AA97" s="13">
        <v>4409</v>
      </c>
      <c r="AB97" s="13">
        <v>160</v>
      </c>
      <c r="AC97" s="13">
        <v>8661</v>
      </c>
      <c r="AD97" s="13">
        <v>4060.63</v>
      </c>
      <c r="AE97" s="13">
        <v>25</v>
      </c>
      <c r="AF97" s="13">
        <v>7190.8976000000002</v>
      </c>
    </row>
    <row r="98" spans="1:32" x14ac:dyDescent="0.2">
      <c r="A98" s="12">
        <v>45753</v>
      </c>
      <c r="B98" s="13">
        <v>5651</v>
      </c>
      <c r="C98" s="13">
        <v>1635</v>
      </c>
      <c r="D98" s="13">
        <v>134</v>
      </c>
      <c r="E98" s="13">
        <v>198</v>
      </c>
      <c r="F98" s="13">
        <v>104</v>
      </c>
      <c r="G98" s="13">
        <v>125</v>
      </c>
      <c r="H98" s="13">
        <v>8696</v>
      </c>
      <c r="I98" s="13">
        <v>943</v>
      </c>
      <c r="J98" s="13">
        <v>2496</v>
      </c>
      <c r="K98" s="13">
        <v>12029</v>
      </c>
      <c r="L98" s="13">
        <v>3647</v>
      </c>
      <c r="M98" s="13">
        <v>7835</v>
      </c>
      <c r="N98" s="13">
        <v>337</v>
      </c>
      <c r="O98" s="13">
        <v>9454</v>
      </c>
      <c r="P98" s="13">
        <v>415</v>
      </c>
      <c r="Q98" s="13">
        <v>7453</v>
      </c>
      <c r="R98" s="13">
        <v>3100</v>
      </c>
      <c r="S98" s="13">
        <v>10259</v>
      </c>
      <c r="T98" s="13">
        <v>0</v>
      </c>
      <c r="U98" s="13">
        <v>176.11439999999999</v>
      </c>
      <c r="V98" s="13">
        <v>861</v>
      </c>
      <c r="W98" s="13">
        <v>7193</v>
      </c>
      <c r="X98" s="13">
        <v>3781</v>
      </c>
      <c r="Y98" s="13">
        <v>2861</v>
      </c>
      <c r="Z98" s="13">
        <v>549.09090909090901</v>
      </c>
      <c r="AA98" s="13">
        <v>4539</v>
      </c>
      <c r="AB98" s="13">
        <v>160</v>
      </c>
      <c r="AC98" s="13">
        <v>8654</v>
      </c>
      <c r="AD98" s="13">
        <v>4060.63</v>
      </c>
      <c r="AE98" s="13">
        <v>25</v>
      </c>
      <c r="AF98" s="13">
        <v>7277.709600000001</v>
      </c>
    </row>
    <row r="99" spans="1:32" x14ac:dyDescent="0.2">
      <c r="A99" s="12">
        <v>45754</v>
      </c>
      <c r="B99" s="13">
        <v>5722</v>
      </c>
      <c r="C99" s="13">
        <v>1635</v>
      </c>
      <c r="D99" s="13">
        <v>134</v>
      </c>
      <c r="E99" s="13">
        <v>198</v>
      </c>
      <c r="F99" s="13">
        <v>104</v>
      </c>
      <c r="G99" s="13">
        <v>125</v>
      </c>
      <c r="H99" s="13">
        <v>9474</v>
      </c>
      <c r="I99" s="13">
        <v>997</v>
      </c>
      <c r="J99" s="13">
        <v>2282</v>
      </c>
      <c r="K99" s="13">
        <v>12026</v>
      </c>
      <c r="L99" s="13">
        <v>3605</v>
      </c>
      <c r="M99" s="13">
        <v>8215</v>
      </c>
      <c r="N99" s="13">
        <v>355</v>
      </c>
      <c r="O99" s="13">
        <v>8990</v>
      </c>
      <c r="P99" s="13">
        <v>409</v>
      </c>
      <c r="Q99" s="13">
        <v>7442</v>
      </c>
      <c r="R99" s="13">
        <v>3075</v>
      </c>
      <c r="S99" s="13">
        <v>10282</v>
      </c>
      <c r="T99" s="13">
        <v>0</v>
      </c>
      <c r="U99" s="13">
        <v>213.85319999999999</v>
      </c>
      <c r="V99" s="13">
        <v>887</v>
      </c>
      <c r="W99" s="13">
        <v>6743</v>
      </c>
      <c r="X99" s="13">
        <v>3301</v>
      </c>
      <c r="Y99" s="13">
        <v>2854</v>
      </c>
      <c r="Z99" s="13">
        <v>512.72727272727263</v>
      </c>
      <c r="AA99" s="13">
        <v>3717</v>
      </c>
      <c r="AB99" s="13">
        <v>160</v>
      </c>
      <c r="AC99" s="13">
        <v>8710</v>
      </c>
      <c r="AD99" s="13">
        <v>4060.63</v>
      </c>
      <c r="AE99" s="13">
        <v>25</v>
      </c>
      <c r="AF99" s="13">
        <v>7525.0020000000004</v>
      </c>
    </row>
    <row r="100" spans="1:32" x14ac:dyDescent="0.2">
      <c r="A100" s="12">
        <v>45755</v>
      </c>
      <c r="B100" s="13">
        <v>5787</v>
      </c>
      <c r="C100" s="13">
        <v>1635</v>
      </c>
      <c r="D100" s="13">
        <v>134</v>
      </c>
      <c r="E100" s="13">
        <v>198</v>
      </c>
      <c r="F100" s="13">
        <v>104</v>
      </c>
      <c r="G100" s="13">
        <v>125</v>
      </c>
      <c r="H100" s="13">
        <v>10984.395</v>
      </c>
      <c r="I100" s="13">
        <v>1132.6690000000001</v>
      </c>
      <c r="J100" s="13">
        <v>2340.9670000000001</v>
      </c>
      <c r="K100" s="13">
        <v>11999</v>
      </c>
      <c r="L100" s="13">
        <v>3637.1130576400001</v>
      </c>
      <c r="M100" s="13">
        <v>8123</v>
      </c>
      <c r="N100" s="13">
        <v>355</v>
      </c>
      <c r="O100" s="13">
        <v>8959</v>
      </c>
      <c r="P100" s="13">
        <v>417</v>
      </c>
      <c r="Q100" s="13">
        <v>7402</v>
      </c>
      <c r="R100" s="13">
        <v>3058</v>
      </c>
      <c r="S100" s="13">
        <v>10164</v>
      </c>
      <c r="T100" s="13">
        <v>0</v>
      </c>
      <c r="U100" s="13">
        <v>176.11439999999999</v>
      </c>
      <c r="V100" s="13">
        <v>876</v>
      </c>
      <c r="W100" s="13">
        <v>6081</v>
      </c>
      <c r="X100" s="13">
        <v>3520</v>
      </c>
      <c r="Y100" s="13">
        <v>2858</v>
      </c>
      <c r="Z100" s="13">
        <v>512.72727272727263</v>
      </c>
      <c r="AA100" s="13">
        <v>4717</v>
      </c>
      <c r="AB100" s="13">
        <v>160</v>
      </c>
      <c r="AC100" s="13">
        <v>8733</v>
      </c>
      <c r="AD100" s="13">
        <v>4060.63</v>
      </c>
      <c r="AE100" s="13">
        <v>25</v>
      </c>
      <c r="AF100" s="13">
        <v>7612</v>
      </c>
    </row>
    <row r="101" spans="1:32" x14ac:dyDescent="0.2">
      <c r="A101" s="12">
        <v>45756</v>
      </c>
      <c r="B101" s="13">
        <v>5684</v>
      </c>
      <c r="C101" s="13">
        <v>1635</v>
      </c>
      <c r="D101" s="13">
        <v>134</v>
      </c>
      <c r="E101" s="13">
        <v>198</v>
      </c>
      <c r="F101" s="13">
        <v>104</v>
      </c>
      <c r="G101" s="13">
        <v>125</v>
      </c>
      <c r="H101" s="13">
        <v>10280.644</v>
      </c>
      <c r="I101" s="13">
        <v>1074.836</v>
      </c>
      <c r="J101" s="13">
        <v>2300.3420000000001</v>
      </c>
      <c r="K101" s="13">
        <v>12016</v>
      </c>
      <c r="L101" s="13">
        <v>3611.5933880799998</v>
      </c>
      <c r="M101" s="13">
        <v>8277</v>
      </c>
      <c r="N101" s="13">
        <v>350</v>
      </c>
      <c r="O101" s="13">
        <v>8345</v>
      </c>
      <c r="P101" s="13">
        <v>414</v>
      </c>
      <c r="Q101" s="13">
        <v>7419</v>
      </c>
      <c r="R101" s="13">
        <v>3015</v>
      </c>
      <c r="S101" s="13">
        <v>10227</v>
      </c>
      <c r="T101" s="13">
        <v>0</v>
      </c>
      <c r="U101" s="13">
        <v>440.28599999999994</v>
      </c>
      <c r="V101" s="13">
        <v>929</v>
      </c>
      <c r="W101" s="13">
        <v>6158</v>
      </c>
      <c r="X101" s="13">
        <v>3553</v>
      </c>
      <c r="Y101" s="13">
        <v>2851</v>
      </c>
      <c r="Z101" s="13">
        <v>512.72727272727263</v>
      </c>
      <c r="AA101" s="13">
        <v>4550</v>
      </c>
      <c r="AB101" s="13">
        <v>160</v>
      </c>
      <c r="AC101" s="13">
        <v>8789</v>
      </c>
      <c r="AD101" s="13">
        <v>4060.63</v>
      </c>
      <c r="AE101" s="13">
        <v>25</v>
      </c>
      <c r="AF101" s="13">
        <v>7385</v>
      </c>
    </row>
    <row r="102" spans="1:32" x14ac:dyDescent="0.2">
      <c r="A102" s="12">
        <v>45757</v>
      </c>
      <c r="B102" s="13">
        <v>5723</v>
      </c>
      <c r="C102" s="13">
        <v>1635</v>
      </c>
      <c r="D102" s="13">
        <v>134</v>
      </c>
      <c r="E102" s="13">
        <v>198</v>
      </c>
      <c r="F102" s="13">
        <v>104</v>
      </c>
      <c r="G102" s="13">
        <v>125</v>
      </c>
      <c r="H102" s="13">
        <v>10018.092000000001</v>
      </c>
      <c r="I102" s="13">
        <v>1041.44</v>
      </c>
      <c r="J102" s="13">
        <v>2363.3690000000001</v>
      </c>
      <c r="K102" s="13">
        <v>12004</v>
      </c>
      <c r="L102" s="13">
        <v>3574.63122084</v>
      </c>
      <c r="M102" s="13">
        <v>8443</v>
      </c>
      <c r="N102" s="13">
        <v>366</v>
      </c>
      <c r="O102" s="13">
        <v>9151</v>
      </c>
      <c r="P102" s="13">
        <v>472</v>
      </c>
      <c r="Q102" s="13">
        <v>7485</v>
      </c>
      <c r="R102" s="13">
        <v>2769</v>
      </c>
      <c r="S102" s="13">
        <v>10154</v>
      </c>
      <c r="T102" s="13">
        <v>0</v>
      </c>
      <c r="U102" s="13">
        <v>245.30219999999997</v>
      </c>
      <c r="V102" s="13">
        <v>873</v>
      </c>
      <c r="W102" s="13">
        <v>6740</v>
      </c>
      <c r="X102" s="13">
        <v>3554</v>
      </c>
      <c r="Y102" s="13">
        <v>2851</v>
      </c>
      <c r="Z102" s="13">
        <v>512.72727272727263</v>
      </c>
      <c r="AA102" s="13">
        <v>4504</v>
      </c>
      <c r="AB102" s="13">
        <v>160</v>
      </c>
      <c r="AC102" s="13">
        <v>8796</v>
      </c>
      <c r="AD102" s="13">
        <v>4060.63</v>
      </c>
      <c r="AE102" s="13">
        <v>25</v>
      </c>
      <c r="AF102" s="13">
        <v>7338</v>
      </c>
    </row>
    <row r="103" spans="1:32" x14ac:dyDescent="0.2">
      <c r="A103" s="12">
        <v>45758</v>
      </c>
      <c r="B103" s="13">
        <v>5693</v>
      </c>
      <c r="C103" s="13">
        <v>1635</v>
      </c>
      <c r="D103" s="13">
        <v>134</v>
      </c>
      <c r="E103" s="13">
        <v>198</v>
      </c>
      <c r="F103" s="13">
        <v>104</v>
      </c>
      <c r="G103" s="13">
        <v>125</v>
      </c>
      <c r="H103" s="13">
        <v>9767</v>
      </c>
      <c r="I103" s="13">
        <v>966</v>
      </c>
      <c r="J103" s="13">
        <v>2382</v>
      </c>
      <c r="K103" s="13">
        <v>12011</v>
      </c>
      <c r="L103" s="13">
        <v>3576</v>
      </c>
      <c r="M103" s="13">
        <v>8446</v>
      </c>
      <c r="N103" s="13">
        <v>371</v>
      </c>
      <c r="O103" s="13">
        <v>9180</v>
      </c>
      <c r="P103" s="13">
        <v>480</v>
      </c>
      <c r="Q103" s="13">
        <v>7506</v>
      </c>
      <c r="R103" s="13">
        <v>2901</v>
      </c>
      <c r="S103" s="13">
        <v>10229</v>
      </c>
      <c r="T103" s="13">
        <v>0</v>
      </c>
      <c r="U103" s="13">
        <v>150.95519999999999</v>
      </c>
      <c r="V103" s="13">
        <v>862</v>
      </c>
      <c r="W103" s="13">
        <v>6464</v>
      </c>
      <c r="X103" s="13">
        <v>3572</v>
      </c>
      <c r="Y103" s="13">
        <v>2847</v>
      </c>
      <c r="Z103" s="13">
        <v>476.36363636363632</v>
      </c>
      <c r="AA103" s="13">
        <v>4308</v>
      </c>
      <c r="AB103" s="13">
        <v>160</v>
      </c>
      <c r="AC103" s="13">
        <v>8761</v>
      </c>
      <c r="AD103" s="13">
        <v>4060.63</v>
      </c>
      <c r="AE103" s="13">
        <v>25</v>
      </c>
      <c r="AF103" s="13">
        <v>7291</v>
      </c>
    </row>
    <row r="104" spans="1:32" x14ac:dyDescent="0.2">
      <c r="A104" s="12">
        <v>45759</v>
      </c>
      <c r="B104" s="13">
        <v>5722</v>
      </c>
      <c r="C104" s="13">
        <v>1635</v>
      </c>
      <c r="D104" s="13">
        <v>134</v>
      </c>
      <c r="E104" s="13">
        <v>198</v>
      </c>
      <c r="F104" s="13">
        <v>104</v>
      </c>
      <c r="G104" s="13">
        <v>125</v>
      </c>
      <c r="H104" s="13">
        <v>9552</v>
      </c>
      <c r="I104" s="13">
        <v>969</v>
      </c>
      <c r="J104" s="13">
        <v>2509</v>
      </c>
      <c r="K104" s="13">
        <v>12006</v>
      </c>
      <c r="L104" s="13">
        <v>3176</v>
      </c>
      <c r="M104" s="13">
        <v>7864</v>
      </c>
      <c r="N104" s="13">
        <v>348</v>
      </c>
      <c r="O104" s="13">
        <v>9210</v>
      </c>
      <c r="P104" s="13">
        <v>467</v>
      </c>
      <c r="Q104" s="13">
        <v>7517</v>
      </c>
      <c r="R104" s="13">
        <v>2835</v>
      </c>
      <c r="S104" s="13">
        <v>9446</v>
      </c>
      <c r="T104" s="13">
        <v>0</v>
      </c>
      <c r="U104" s="13">
        <v>62.897999999999996</v>
      </c>
      <c r="V104" s="13">
        <v>832</v>
      </c>
      <c r="W104" s="13">
        <v>6467</v>
      </c>
      <c r="X104" s="13">
        <v>3974</v>
      </c>
      <c r="Y104" s="13">
        <v>2838</v>
      </c>
      <c r="Z104" s="13">
        <v>605.45454545454538</v>
      </c>
      <c r="AA104" s="13">
        <v>4471</v>
      </c>
      <c r="AB104" s="13">
        <v>160</v>
      </c>
      <c r="AC104" s="13">
        <v>7305</v>
      </c>
      <c r="AD104" s="13">
        <v>4060.63</v>
      </c>
      <c r="AE104" s="13">
        <v>25</v>
      </c>
      <c r="AF104" s="13">
        <v>7139</v>
      </c>
    </row>
    <row r="105" spans="1:32" x14ac:dyDescent="0.2">
      <c r="A105" s="12">
        <v>45760</v>
      </c>
      <c r="B105" s="13">
        <f>7989-(C105+D105+E105+F105)</f>
        <v>5918</v>
      </c>
      <c r="C105" s="13">
        <v>1635</v>
      </c>
      <c r="D105" s="13">
        <v>134</v>
      </c>
      <c r="E105" s="13">
        <v>198</v>
      </c>
      <c r="F105" s="13">
        <v>104</v>
      </c>
      <c r="G105" s="13">
        <v>125</v>
      </c>
      <c r="H105" s="13">
        <v>9309</v>
      </c>
      <c r="I105" s="13">
        <v>1104</v>
      </c>
      <c r="J105" s="13">
        <v>2800</v>
      </c>
      <c r="K105" s="13">
        <v>10927</v>
      </c>
      <c r="L105" s="13">
        <v>3577</v>
      </c>
      <c r="M105" s="13">
        <v>7831</v>
      </c>
      <c r="N105" s="13">
        <v>369</v>
      </c>
      <c r="O105" s="13">
        <v>9214</v>
      </c>
      <c r="P105" s="13">
        <v>468</v>
      </c>
      <c r="Q105" s="13">
        <v>7529</v>
      </c>
      <c r="R105" s="13">
        <v>2799</v>
      </c>
      <c r="S105" s="13">
        <v>10084</v>
      </c>
      <c r="T105" s="13">
        <v>0</v>
      </c>
      <c r="U105" s="13">
        <v>245.30219999999997</v>
      </c>
      <c r="V105" s="13">
        <v>871</v>
      </c>
      <c r="W105" s="13">
        <v>6245</v>
      </c>
      <c r="X105" s="13">
        <v>3552</v>
      </c>
      <c r="Y105" s="13">
        <v>2841</v>
      </c>
      <c r="Z105" s="13">
        <v>267.27272727272725</v>
      </c>
      <c r="AA105" s="13">
        <v>4366</v>
      </c>
      <c r="AB105" s="13">
        <v>160</v>
      </c>
      <c r="AC105" s="13">
        <v>7220</v>
      </c>
      <c r="AD105" s="13">
        <v>4060.63</v>
      </c>
      <c r="AE105" s="13">
        <v>25</v>
      </c>
      <c r="AF105" s="13">
        <v>6980</v>
      </c>
    </row>
    <row r="106" spans="1:32" x14ac:dyDescent="0.2">
      <c r="A106" s="12">
        <v>45761</v>
      </c>
      <c r="B106" s="13">
        <v>5737</v>
      </c>
      <c r="C106" s="13">
        <v>1635</v>
      </c>
      <c r="D106" s="13">
        <v>134</v>
      </c>
      <c r="E106" s="13">
        <v>198</v>
      </c>
      <c r="F106" s="13">
        <v>104</v>
      </c>
      <c r="G106" s="13">
        <v>125</v>
      </c>
      <c r="H106" s="13">
        <v>9141</v>
      </c>
      <c r="I106" s="13">
        <v>905</v>
      </c>
      <c r="J106" s="13">
        <v>2264</v>
      </c>
      <c r="K106" s="13">
        <v>12176</v>
      </c>
      <c r="L106" s="13">
        <v>3788</v>
      </c>
      <c r="M106" s="13">
        <v>8120</v>
      </c>
      <c r="N106" s="13">
        <v>332</v>
      </c>
      <c r="O106" s="13">
        <v>8975</v>
      </c>
      <c r="P106" s="13">
        <v>468</v>
      </c>
      <c r="Q106" s="13">
        <v>7521</v>
      </c>
      <c r="R106" s="13">
        <v>2618</v>
      </c>
      <c r="S106" s="13">
        <v>10124</v>
      </c>
      <c r="T106" s="13">
        <v>0</v>
      </c>
      <c r="U106" s="13">
        <v>245.30219999999997</v>
      </c>
      <c r="V106" s="13">
        <v>918</v>
      </c>
      <c r="W106" s="13">
        <v>7227</v>
      </c>
      <c r="X106" s="13">
        <v>3829</v>
      </c>
      <c r="Y106" s="13">
        <v>3098</v>
      </c>
      <c r="Z106" s="13">
        <v>0</v>
      </c>
      <c r="AA106" s="13">
        <v>4411</v>
      </c>
      <c r="AB106" s="13">
        <v>160</v>
      </c>
      <c r="AC106" s="13">
        <v>8812</v>
      </c>
      <c r="AD106" s="13">
        <v>4060.63</v>
      </c>
      <c r="AE106" s="13">
        <v>25</v>
      </c>
      <c r="AF106" s="13">
        <v>6842</v>
      </c>
    </row>
    <row r="107" spans="1:32" x14ac:dyDescent="0.2">
      <c r="A107" s="12">
        <v>45762</v>
      </c>
      <c r="B107" s="13">
        <v>5672</v>
      </c>
      <c r="C107" s="13">
        <v>1635</v>
      </c>
      <c r="D107" s="13">
        <v>134</v>
      </c>
      <c r="E107" s="13">
        <v>198</v>
      </c>
      <c r="F107" s="13">
        <v>104</v>
      </c>
      <c r="G107" s="13">
        <v>125</v>
      </c>
      <c r="H107" s="13">
        <v>9252</v>
      </c>
      <c r="I107" s="13">
        <v>942</v>
      </c>
      <c r="J107" s="13">
        <v>2321</v>
      </c>
      <c r="K107" s="13">
        <v>12091</v>
      </c>
      <c r="L107" s="13">
        <v>3721</v>
      </c>
      <c r="M107" s="13">
        <v>8107</v>
      </c>
      <c r="N107" s="13">
        <v>353</v>
      </c>
      <c r="O107" s="13">
        <v>8442</v>
      </c>
      <c r="P107" s="13">
        <v>468</v>
      </c>
      <c r="Q107" s="13">
        <v>7579</v>
      </c>
      <c r="R107" s="13">
        <v>2835</v>
      </c>
      <c r="S107" s="13">
        <v>9402</v>
      </c>
      <c r="T107" s="13">
        <v>0</v>
      </c>
      <c r="U107" s="13">
        <v>245.30219999999997</v>
      </c>
      <c r="V107" s="13">
        <v>842</v>
      </c>
      <c r="W107" s="13">
        <v>7972</v>
      </c>
      <c r="X107" s="13">
        <v>3882</v>
      </c>
      <c r="Y107" s="13">
        <v>3507</v>
      </c>
      <c r="Z107" s="13">
        <v>1.8181818181818181E-2</v>
      </c>
      <c r="AA107" s="13">
        <v>4370</v>
      </c>
      <c r="AB107" s="13">
        <v>160</v>
      </c>
      <c r="AC107" s="13">
        <v>8805</v>
      </c>
      <c r="AD107" s="13">
        <v>4060.63</v>
      </c>
      <c r="AE107" s="13">
        <v>25</v>
      </c>
      <c r="AF107" s="13">
        <v>6868</v>
      </c>
    </row>
    <row r="108" spans="1:32" x14ac:dyDescent="0.2">
      <c r="A108" s="12">
        <v>45763</v>
      </c>
      <c r="B108" s="13">
        <v>5609</v>
      </c>
      <c r="C108" s="13">
        <v>1635</v>
      </c>
      <c r="D108" s="13">
        <v>134</v>
      </c>
      <c r="E108" s="13">
        <v>198</v>
      </c>
      <c r="F108" s="13">
        <v>104</v>
      </c>
      <c r="G108" s="13">
        <v>122</v>
      </c>
      <c r="H108" s="13">
        <v>9257.3230000000003</v>
      </c>
      <c r="I108" s="13">
        <v>941.06799999999998</v>
      </c>
      <c r="J108" s="13">
        <v>2350.02</v>
      </c>
      <c r="K108" s="13">
        <v>12002</v>
      </c>
      <c r="L108" s="13">
        <v>3571.1456878399999</v>
      </c>
      <c r="M108" s="13">
        <v>8150</v>
      </c>
      <c r="N108" s="13">
        <v>352</v>
      </c>
      <c r="O108" s="13">
        <v>8442</v>
      </c>
      <c r="P108" s="13">
        <v>468</v>
      </c>
      <c r="Q108" s="13">
        <v>7562</v>
      </c>
      <c r="R108" s="13">
        <v>2853</v>
      </c>
      <c r="S108" s="13">
        <v>10061</v>
      </c>
      <c r="T108" s="13">
        <v>0</v>
      </c>
      <c r="U108" s="13">
        <v>239.01239999999999</v>
      </c>
      <c r="V108" s="13">
        <v>879</v>
      </c>
      <c r="W108" s="13">
        <v>7589</v>
      </c>
      <c r="X108" s="13">
        <v>3665</v>
      </c>
      <c r="Y108" s="13">
        <v>3482</v>
      </c>
      <c r="Z108" s="13">
        <v>1.8181818181818181E-2</v>
      </c>
      <c r="AA108" s="13">
        <v>4399</v>
      </c>
      <c r="AB108" s="13">
        <v>160</v>
      </c>
      <c r="AC108" s="13">
        <v>8786</v>
      </c>
      <c r="AD108" s="13">
        <v>4060.63</v>
      </c>
      <c r="AE108" s="13">
        <v>25</v>
      </c>
      <c r="AF108" s="13">
        <v>6950</v>
      </c>
    </row>
    <row r="109" spans="1:32" x14ac:dyDescent="0.2">
      <c r="A109" s="12">
        <v>45764</v>
      </c>
      <c r="B109" s="13">
        <f>7689-(C109+D109+E109+F109)</f>
        <v>5618</v>
      </c>
      <c r="C109" s="13">
        <v>1635</v>
      </c>
      <c r="D109" s="13">
        <v>134</v>
      </c>
      <c r="E109" s="13">
        <v>198</v>
      </c>
      <c r="F109" s="13">
        <v>104</v>
      </c>
      <c r="G109" s="13">
        <v>122</v>
      </c>
      <c r="H109" s="13">
        <v>9020.8320000000003</v>
      </c>
      <c r="I109" s="13">
        <v>961.73900000000003</v>
      </c>
      <c r="J109" s="13">
        <v>2517.1950000000002</v>
      </c>
      <c r="K109" s="13">
        <v>11978</v>
      </c>
      <c r="L109" s="13">
        <f>3264.99199604+289</f>
        <v>3553.9919960399998</v>
      </c>
      <c r="M109" s="13">
        <f>8701-N109</f>
        <v>8332</v>
      </c>
      <c r="N109" s="13">
        <v>369</v>
      </c>
      <c r="O109" s="13">
        <v>8975</v>
      </c>
      <c r="P109" s="13">
        <v>468</v>
      </c>
      <c r="Q109" s="13">
        <v>7528</v>
      </c>
      <c r="R109" s="13">
        <v>2576</v>
      </c>
      <c r="S109" s="13">
        <v>10154</v>
      </c>
      <c r="T109" s="13">
        <v>0</v>
      </c>
      <c r="U109" s="13">
        <f>29*6.2898</f>
        <v>182.4042</v>
      </c>
      <c r="V109" s="13">
        <v>858</v>
      </c>
      <c r="W109" s="13">
        <v>6740</v>
      </c>
      <c r="X109" s="13">
        <v>2949</v>
      </c>
      <c r="Y109" s="13">
        <v>3468</v>
      </c>
      <c r="Z109" s="13">
        <f>8/0.55</f>
        <v>14.545454545454545</v>
      </c>
      <c r="AA109" s="13">
        <v>4325</v>
      </c>
      <c r="AB109" s="13">
        <v>160</v>
      </c>
      <c r="AC109" s="13">
        <v>8795</v>
      </c>
      <c r="AD109" s="13">
        <v>4060.63</v>
      </c>
      <c r="AE109" s="13">
        <v>25</v>
      </c>
      <c r="AF109" s="13">
        <v>6829</v>
      </c>
    </row>
    <row r="110" spans="1:32" x14ac:dyDescent="0.2">
      <c r="A110" s="12">
        <v>45765</v>
      </c>
      <c r="B110" s="13">
        <f>7641-(C110+D110+E110+F110)</f>
        <v>5570</v>
      </c>
      <c r="C110" s="13">
        <v>1635</v>
      </c>
      <c r="D110" s="13">
        <v>134</v>
      </c>
      <c r="E110" s="13">
        <v>198</v>
      </c>
      <c r="F110" s="13">
        <v>104</v>
      </c>
      <c r="G110" s="13">
        <v>122</v>
      </c>
      <c r="H110" s="13">
        <v>8842.6939999999995</v>
      </c>
      <c r="I110" s="13">
        <v>756.40200000000004</v>
      </c>
      <c r="J110" s="13">
        <v>2307.1149999999998</v>
      </c>
      <c r="K110" s="13">
        <v>12169</v>
      </c>
      <c r="L110" s="13">
        <f>3268.96923984+290</f>
        <v>3558.9692398399998</v>
      </c>
      <c r="M110" s="13">
        <f>8765-N110</f>
        <v>8395</v>
      </c>
      <c r="N110" s="13">
        <v>370</v>
      </c>
      <c r="O110" s="13">
        <v>9057</v>
      </c>
      <c r="P110" s="13">
        <v>410</v>
      </c>
      <c r="Q110" s="13">
        <v>7569</v>
      </c>
      <c r="R110" s="13">
        <v>2631</v>
      </c>
      <c r="S110" s="13">
        <v>10091</v>
      </c>
      <c r="T110" s="13">
        <v>0</v>
      </c>
      <c r="U110" s="13">
        <f>19*6.2898</f>
        <v>119.50619999999999</v>
      </c>
      <c r="V110" s="13">
        <v>854</v>
      </c>
      <c r="W110" s="13">
        <v>5457</v>
      </c>
      <c r="X110" s="13">
        <v>3191</v>
      </c>
      <c r="Y110" s="13">
        <v>3471</v>
      </c>
      <c r="Z110" s="13">
        <f>332/0.55</f>
        <v>603.63636363636363</v>
      </c>
      <c r="AA110" s="13">
        <v>4428</v>
      </c>
      <c r="AB110" s="13">
        <v>160</v>
      </c>
      <c r="AC110" s="13">
        <v>8735</v>
      </c>
      <c r="AD110" s="13">
        <v>4060.63</v>
      </c>
      <c r="AE110" s="13">
        <v>25</v>
      </c>
      <c r="AF110" s="13">
        <v>6838</v>
      </c>
    </row>
    <row r="111" spans="1:32" x14ac:dyDescent="0.2">
      <c r="A111" s="12">
        <v>45766</v>
      </c>
      <c r="B111" s="13">
        <f>7773-(C111+D111+E111+F111)</f>
        <v>5702</v>
      </c>
      <c r="C111" s="13">
        <v>1635</v>
      </c>
      <c r="D111" s="13">
        <v>134</v>
      </c>
      <c r="E111" s="13">
        <v>198</v>
      </c>
      <c r="F111" s="13">
        <v>104</v>
      </c>
      <c r="G111" s="13">
        <v>122</v>
      </c>
      <c r="H111" s="13">
        <v>8827.3179999999993</v>
      </c>
      <c r="I111" s="13">
        <v>728.28200000000004</v>
      </c>
      <c r="J111" s="13">
        <v>2200.8789999999999</v>
      </c>
      <c r="K111" s="13">
        <v>12295</v>
      </c>
      <c r="L111" s="13">
        <f>3228.83657156+291</f>
        <v>3519.8365715599998</v>
      </c>
      <c r="M111" s="13">
        <f>9306-N111</f>
        <v>8935</v>
      </c>
      <c r="N111" s="13">
        <v>371</v>
      </c>
      <c r="O111" s="13">
        <v>8777</v>
      </c>
      <c r="P111" s="13">
        <v>416</v>
      </c>
      <c r="Q111" s="13">
        <v>7535</v>
      </c>
      <c r="R111" s="13">
        <v>2679</v>
      </c>
      <c r="S111" s="13">
        <v>10061</v>
      </c>
      <c r="T111" s="13">
        <v>0</v>
      </c>
      <c r="U111" s="13">
        <f>19*6.2898</f>
        <v>119.50619999999999</v>
      </c>
      <c r="V111" s="13">
        <v>699</v>
      </c>
      <c r="W111" s="13">
        <v>8012</v>
      </c>
      <c r="X111" s="13">
        <v>3570</v>
      </c>
      <c r="Y111" s="13">
        <v>3469</v>
      </c>
      <c r="Z111" s="13">
        <f>271/0.55</f>
        <v>492.72727272727269</v>
      </c>
      <c r="AA111" s="13">
        <v>4272</v>
      </c>
      <c r="AB111" s="13">
        <v>160</v>
      </c>
      <c r="AC111" s="13">
        <v>8729</v>
      </c>
      <c r="AD111" s="13">
        <v>4060.63</v>
      </c>
      <c r="AE111" s="13">
        <v>25</v>
      </c>
      <c r="AF111" s="13">
        <v>6828</v>
      </c>
    </row>
    <row r="112" spans="1:32" x14ac:dyDescent="0.2">
      <c r="A112" s="12">
        <v>45767</v>
      </c>
      <c r="B112" s="13">
        <f>7829-(C112+D112+E112+F112)</f>
        <v>5758</v>
      </c>
      <c r="C112" s="13">
        <v>1635</v>
      </c>
      <c r="D112" s="13">
        <v>134</v>
      </c>
      <c r="E112" s="13">
        <v>198</v>
      </c>
      <c r="F112" s="13">
        <v>104</v>
      </c>
      <c r="G112" s="13">
        <v>122</v>
      </c>
      <c r="H112" s="13">
        <v>8923.7279999999992</v>
      </c>
      <c r="I112" s="13">
        <v>718.245</v>
      </c>
      <c r="J112" s="13">
        <v>2184.2959999999998</v>
      </c>
      <c r="K112" s="13">
        <v>12309</v>
      </c>
      <c r="L112" s="13">
        <f>3242.42315952+290</f>
        <v>3532.4231595199999</v>
      </c>
      <c r="M112" s="13">
        <f>9105-N112</f>
        <v>8732</v>
      </c>
      <c r="N112" s="13">
        <v>373</v>
      </c>
      <c r="O112" s="13">
        <v>8955</v>
      </c>
      <c r="P112" s="13">
        <v>410</v>
      </c>
      <c r="Q112" s="13">
        <v>7524</v>
      </c>
      <c r="R112" s="13">
        <v>3142</v>
      </c>
      <c r="S112" s="13">
        <v>10048</v>
      </c>
      <c r="T112" s="13">
        <v>0</v>
      </c>
      <c r="U112" s="13">
        <f>19*6.2898</f>
        <v>119.50619999999999</v>
      </c>
      <c r="V112" s="13">
        <v>828</v>
      </c>
      <c r="W112" s="13">
        <v>7279</v>
      </c>
      <c r="X112" s="13">
        <v>4054</v>
      </c>
      <c r="Y112" s="13">
        <v>3441</v>
      </c>
      <c r="Z112" s="13">
        <f>221/0.55</f>
        <v>401.81818181818181</v>
      </c>
      <c r="AA112" s="13">
        <v>4353</v>
      </c>
      <c r="AB112" s="13">
        <v>160</v>
      </c>
      <c r="AC112" s="13">
        <v>8750</v>
      </c>
      <c r="AD112" s="13">
        <v>4060.63</v>
      </c>
      <c r="AE112" s="13">
        <v>25</v>
      </c>
      <c r="AF112" s="13">
        <v>6844</v>
      </c>
    </row>
    <row r="113" spans="1:32" x14ac:dyDescent="0.2">
      <c r="A113" s="12">
        <v>45768</v>
      </c>
      <c r="B113" s="13">
        <f>7703-(C113+D113+E113+F113)</f>
        <v>5632</v>
      </c>
      <c r="C113" s="13">
        <v>1635</v>
      </c>
      <c r="D113" s="13">
        <v>134</v>
      </c>
      <c r="E113" s="13">
        <v>198</v>
      </c>
      <c r="F113" s="13">
        <v>104</v>
      </c>
      <c r="G113" s="13">
        <v>122</v>
      </c>
      <c r="H113" s="13">
        <v>10138</v>
      </c>
      <c r="I113" s="13">
        <v>638</v>
      </c>
      <c r="J113" s="13">
        <v>1920</v>
      </c>
      <c r="K113" s="13">
        <v>12353</v>
      </c>
      <c r="L113" s="13">
        <v>3497</v>
      </c>
      <c r="M113" s="13">
        <v>9198</v>
      </c>
      <c r="N113" s="13">
        <v>517</v>
      </c>
      <c r="O113" s="13">
        <v>8604</v>
      </c>
      <c r="P113" s="13">
        <v>410</v>
      </c>
      <c r="Q113" s="13">
        <v>7539</v>
      </c>
      <c r="R113" s="13">
        <v>3045</v>
      </c>
      <c r="S113" s="13">
        <v>9856</v>
      </c>
      <c r="T113" s="13">
        <v>0</v>
      </c>
      <c r="U113" s="13">
        <f>39*6.2898</f>
        <v>245.30219999999997</v>
      </c>
      <c r="V113" s="13">
        <v>875</v>
      </c>
      <c r="W113" s="13">
        <v>8103</v>
      </c>
      <c r="X113" s="13">
        <v>4106</v>
      </c>
      <c r="Y113" s="13">
        <v>3216</v>
      </c>
      <c r="Z113" s="13">
        <f>302/0.55</f>
        <v>549.09090909090901</v>
      </c>
      <c r="AA113" s="13">
        <v>4281</v>
      </c>
      <c r="AB113" s="13">
        <v>160</v>
      </c>
      <c r="AC113" s="13">
        <v>8286</v>
      </c>
      <c r="AD113" s="13">
        <v>4060.63</v>
      </c>
      <c r="AE113" s="13">
        <v>25</v>
      </c>
      <c r="AF113" s="13">
        <v>6868</v>
      </c>
    </row>
    <row r="114" spans="1:32" x14ac:dyDescent="0.2">
      <c r="A114" s="12">
        <v>45769</v>
      </c>
      <c r="B114" s="13">
        <f>7884-(C114+D114+E114+F114)</f>
        <v>5813</v>
      </c>
      <c r="C114" s="13">
        <v>1635</v>
      </c>
      <c r="D114" s="13">
        <v>134</v>
      </c>
      <c r="E114" s="13">
        <v>198</v>
      </c>
      <c r="F114" s="13">
        <v>104</v>
      </c>
      <c r="G114" s="13">
        <v>122</v>
      </c>
      <c r="H114" s="13">
        <v>8904</v>
      </c>
      <c r="I114" s="13">
        <v>705</v>
      </c>
      <c r="J114" s="13">
        <v>2065</v>
      </c>
      <c r="K114" s="13">
        <v>12427</v>
      </c>
      <c r="L114" s="13">
        <v>3528</v>
      </c>
      <c r="M114" s="13">
        <v>8909</v>
      </c>
      <c r="N114" s="13">
        <v>541</v>
      </c>
      <c r="O114" s="13">
        <v>8755</v>
      </c>
      <c r="P114" s="13">
        <v>410</v>
      </c>
      <c r="Q114" s="13">
        <v>7519</v>
      </c>
      <c r="R114" s="13">
        <v>3177</v>
      </c>
      <c r="S114" s="13">
        <v>10038</v>
      </c>
      <c r="T114" s="13">
        <v>0</v>
      </c>
      <c r="U114" s="13">
        <f>29*6.2898</f>
        <v>182.4042</v>
      </c>
      <c r="V114" s="13">
        <v>858</v>
      </c>
      <c r="W114" s="13">
        <v>7976</v>
      </c>
      <c r="X114" s="13">
        <v>4026</v>
      </c>
      <c r="Y114" s="13">
        <v>3435</v>
      </c>
      <c r="Z114" s="13">
        <f>292/0.55</f>
        <v>530.90909090909088</v>
      </c>
      <c r="AA114" s="13">
        <v>4289</v>
      </c>
      <c r="AB114" s="13">
        <v>160</v>
      </c>
      <c r="AC114" s="13">
        <v>8911</v>
      </c>
      <c r="AD114" s="13">
        <v>4060.63</v>
      </c>
      <c r="AE114" s="13">
        <v>25</v>
      </c>
      <c r="AF114" s="13">
        <v>6711</v>
      </c>
    </row>
    <row r="115" spans="1:32" x14ac:dyDescent="0.2">
      <c r="A115" s="12">
        <v>45770</v>
      </c>
      <c r="B115" s="13">
        <f>7763-(C115+D115+E115+F115)</f>
        <v>5692</v>
      </c>
      <c r="C115" s="13">
        <v>1635</v>
      </c>
      <c r="D115" s="13">
        <v>134</v>
      </c>
      <c r="E115" s="13">
        <v>198</v>
      </c>
      <c r="F115" s="13">
        <v>104</v>
      </c>
      <c r="G115" s="13">
        <v>122</v>
      </c>
      <c r="H115" s="13">
        <v>8740.6479999999992</v>
      </c>
      <c r="I115" s="13">
        <v>682.02</v>
      </c>
      <c r="J115" s="13">
        <v>2072.2959999999998</v>
      </c>
      <c r="K115" s="13">
        <v>12503</v>
      </c>
      <c r="L115" s="13">
        <f>3295.95223332+298</f>
        <v>3593.9522333199998</v>
      </c>
      <c r="M115" s="13">
        <f>9406-N115</f>
        <v>8924</v>
      </c>
      <c r="N115" s="13">
        <v>482</v>
      </c>
      <c r="O115" s="13">
        <v>8886</v>
      </c>
      <c r="P115" s="13">
        <v>414</v>
      </c>
      <c r="Q115" s="13">
        <v>7325</v>
      </c>
      <c r="R115" s="13">
        <v>3232</v>
      </c>
      <c r="S115" s="13">
        <v>10069</v>
      </c>
      <c r="T115" s="13">
        <v>0</v>
      </c>
      <c r="U115" s="13">
        <f>38*6.2898</f>
        <v>239.01239999999999</v>
      </c>
      <c r="V115" s="13">
        <v>880</v>
      </c>
      <c r="W115" s="13">
        <v>7918</v>
      </c>
      <c r="X115" s="13">
        <v>3913</v>
      </c>
      <c r="Y115" s="13">
        <v>3426</v>
      </c>
      <c r="Z115" s="13">
        <f>172/0.55</f>
        <v>312.72727272727269</v>
      </c>
      <c r="AA115" s="13">
        <v>4006</v>
      </c>
      <c r="AB115" s="13">
        <v>160</v>
      </c>
      <c r="AC115" s="13">
        <v>8854</v>
      </c>
      <c r="AD115" s="13">
        <v>4060.63</v>
      </c>
      <c r="AE115" s="13">
        <v>25</v>
      </c>
      <c r="AF115" s="13">
        <v>6922</v>
      </c>
    </row>
    <row r="116" spans="1:32" x14ac:dyDescent="0.2">
      <c r="A116" s="12">
        <v>45771</v>
      </c>
      <c r="B116" s="13">
        <f>7768-(C116+D116+E116+F116)</f>
        <v>5697</v>
      </c>
      <c r="C116" s="13">
        <v>1635</v>
      </c>
      <c r="D116" s="13">
        <v>134</v>
      </c>
      <c r="E116" s="13">
        <v>198</v>
      </c>
      <c r="F116" s="13">
        <v>104</v>
      </c>
      <c r="G116" s="13">
        <v>122</v>
      </c>
      <c r="H116" s="13">
        <v>8523.0370000000003</v>
      </c>
      <c r="I116" s="13">
        <v>740.66300000000001</v>
      </c>
      <c r="J116" s="13">
        <v>1857.2739999999999</v>
      </c>
      <c r="K116" s="13">
        <v>12487</v>
      </c>
      <c r="L116" s="13">
        <f>3314.27986172+301</f>
        <v>3615.2798617200001</v>
      </c>
      <c r="M116" s="13">
        <f>9308-N116</f>
        <v>8825</v>
      </c>
      <c r="N116" s="13">
        <v>483</v>
      </c>
      <c r="O116" s="13">
        <v>9031</v>
      </c>
      <c r="P116" s="13">
        <v>449</v>
      </c>
      <c r="Q116" s="13">
        <v>7518</v>
      </c>
      <c r="R116" s="13">
        <v>3100</v>
      </c>
      <c r="S116" s="13">
        <v>10019</v>
      </c>
      <c r="T116" s="13">
        <v>0</v>
      </c>
      <c r="U116" s="13">
        <f>29*6.2898</f>
        <v>182.4042</v>
      </c>
      <c r="V116" s="13">
        <v>864</v>
      </c>
      <c r="W116" s="13">
        <v>7940</v>
      </c>
      <c r="X116" s="13">
        <v>3965</v>
      </c>
      <c r="Y116" s="13">
        <v>3412</v>
      </c>
      <c r="Z116" s="13">
        <f>283/0.55</f>
        <v>514.5454545454545</v>
      </c>
      <c r="AA116" s="13">
        <v>4287</v>
      </c>
      <c r="AB116" s="13">
        <v>160</v>
      </c>
      <c r="AC116" s="13">
        <v>8809</v>
      </c>
      <c r="AD116" s="13">
        <v>4060.63</v>
      </c>
      <c r="AE116" s="13">
        <v>25</v>
      </c>
      <c r="AF116" s="13">
        <v>6715</v>
      </c>
    </row>
    <row r="117" spans="1:32" x14ac:dyDescent="0.2">
      <c r="A117" s="12">
        <v>45772</v>
      </c>
      <c r="B117" s="13">
        <f>7783-(C117+D117+E117+F117)</f>
        <v>5712</v>
      </c>
      <c r="C117" s="13">
        <v>1635</v>
      </c>
      <c r="D117" s="13">
        <v>134</v>
      </c>
      <c r="E117" s="13">
        <v>198</v>
      </c>
      <c r="F117" s="13">
        <v>104</v>
      </c>
      <c r="G117" s="13">
        <v>122</v>
      </c>
      <c r="H117" s="13">
        <v>8725</v>
      </c>
      <c r="I117" s="13">
        <v>711</v>
      </c>
      <c r="J117" s="13">
        <v>1782</v>
      </c>
      <c r="K117" s="13">
        <v>12466</v>
      </c>
      <c r="L117" s="13">
        <v>3770</v>
      </c>
      <c r="M117" s="13">
        <v>8910</v>
      </c>
      <c r="N117" s="13">
        <v>399</v>
      </c>
      <c r="O117" s="13">
        <v>7212</v>
      </c>
      <c r="P117" s="13">
        <v>449</v>
      </c>
      <c r="Q117" s="13">
        <v>7452</v>
      </c>
      <c r="R117" s="13">
        <v>2823</v>
      </c>
      <c r="S117" s="13">
        <v>10047</v>
      </c>
      <c r="T117" s="13">
        <v>0</v>
      </c>
      <c r="U117" s="13">
        <f>25*6.2898</f>
        <v>157.245</v>
      </c>
      <c r="V117" s="13">
        <v>850</v>
      </c>
      <c r="W117" s="13">
        <v>7904</v>
      </c>
      <c r="X117" s="13">
        <v>4006</v>
      </c>
      <c r="Y117" s="13">
        <v>3409</v>
      </c>
      <c r="Z117" s="13">
        <f>260/0.55</f>
        <v>472.72727272727269</v>
      </c>
      <c r="AA117" s="13">
        <v>4332</v>
      </c>
      <c r="AB117" s="13">
        <v>160</v>
      </c>
      <c r="AC117" s="13">
        <v>8694</v>
      </c>
      <c r="AD117" s="13">
        <v>4060.63</v>
      </c>
      <c r="AE117" s="13">
        <v>25</v>
      </c>
      <c r="AF117" s="13">
        <v>6770</v>
      </c>
    </row>
    <row r="118" spans="1:32" x14ac:dyDescent="0.2">
      <c r="A118" s="12">
        <v>45773</v>
      </c>
      <c r="B118" s="13">
        <f>7772-(C118+D118+E118+F118)</f>
        <v>5701</v>
      </c>
      <c r="C118" s="13">
        <v>1635</v>
      </c>
      <c r="D118" s="13">
        <v>134</v>
      </c>
      <c r="E118" s="13">
        <v>198</v>
      </c>
      <c r="F118" s="13">
        <v>104</v>
      </c>
      <c r="G118" s="13">
        <v>122</v>
      </c>
      <c r="H118" s="13">
        <v>8437.7150000000001</v>
      </c>
      <c r="I118" s="13">
        <v>648.46900000000005</v>
      </c>
      <c r="J118" s="13">
        <v>1506.4849999999999</v>
      </c>
      <c r="K118" s="13">
        <v>12470</v>
      </c>
      <c r="L118" s="13">
        <f>3616.38969216+334</f>
        <v>3950.3896921599999</v>
      </c>
      <c r="M118" s="13">
        <f>9163-N118</f>
        <v>8774</v>
      </c>
      <c r="N118" s="13">
        <v>389</v>
      </c>
      <c r="O118" s="13">
        <v>7526</v>
      </c>
      <c r="P118" s="13">
        <v>305</v>
      </c>
      <c r="Q118" s="13">
        <v>7559</v>
      </c>
      <c r="R118" s="13">
        <v>2883</v>
      </c>
      <c r="S118" s="13">
        <v>9968</v>
      </c>
      <c r="T118" s="13">
        <v>0</v>
      </c>
      <c r="U118" s="13">
        <f>29*6.2898</f>
        <v>182.4042</v>
      </c>
      <c r="V118" s="13">
        <v>856</v>
      </c>
      <c r="W118" s="13">
        <v>7916</v>
      </c>
      <c r="X118" s="13">
        <v>4220</v>
      </c>
      <c r="Y118" s="13">
        <v>3305</v>
      </c>
      <c r="Z118" s="13">
        <f>261/0.55</f>
        <v>474.5454545454545</v>
      </c>
      <c r="AA118" s="13">
        <v>4366</v>
      </c>
      <c r="AB118" s="13">
        <v>160</v>
      </c>
      <c r="AC118" s="13">
        <v>8608</v>
      </c>
      <c r="AD118" s="13">
        <v>4060.63</v>
      </c>
      <c r="AE118" s="13">
        <v>25</v>
      </c>
      <c r="AF118" s="13">
        <v>6776</v>
      </c>
    </row>
    <row r="119" spans="1:32" x14ac:dyDescent="0.2">
      <c r="A119" s="12">
        <v>45774</v>
      </c>
      <c r="B119" s="13">
        <f>7768-(C119+D119+E119+F119)</f>
        <v>5697</v>
      </c>
      <c r="C119" s="13">
        <v>1635</v>
      </c>
      <c r="D119" s="13">
        <v>134</v>
      </c>
      <c r="E119" s="13">
        <v>198</v>
      </c>
      <c r="F119" s="13">
        <v>104</v>
      </c>
      <c r="G119" s="13">
        <v>122</v>
      </c>
      <c r="H119" s="13">
        <v>8627.5220000000008</v>
      </c>
      <c r="I119" s="13">
        <v>580.86699999999996</v>
      </c>
      <c r="J119" s="13">
        <v>1653.2339999999999</v>
      </c>
      <c r="K119" s="13">
        <v>12436</v>
      </c>
      <c r="L119" s="13">
        <f>3589.11216268+328</f>
        <v>3917.11216268</v>
      </c>
      <c r="M119" s="13">
        <f>9028-N119</f>
        <v>8661</v>
      </c>
      <c r="N119" s="13">
        <v>367</v>
      </c>
      <c r="O119" s="13">
        <v>6445</v>
      </c>
      <c r="P119" s="13">
        <v>249</v>
      </c>
      <c r="Q119" s="13">
        <v>7452</v>
      </c>
      <c r="R119" s="13">
        <v>2967</v>
      </c>
      <c r="S119" s="13">
        <v>9957</v>
      </c>
      <c r="T119" s="13">
        <v>0</v>
      </c>
      <c r="U119" s="13">
        <f>19*6.2898</f>
        <v>119.50619999999999</v>
      </c>
      <c r="V119" s="13">
        <v>843</v>
      </c>
      <c r="W119" s="13">
        <v>7746</v>
      </c>
      <c r="X119" s="13">
        <v>3867</v>
      </c>
      <c r="Y119" s="13">
        <v>3311</v>
      </c>
      <c r="Z119" s="13">
        <f>256/0.55</f>
        <v>465.45454545454544</v>
      </c>
      <c r="AA119" s="13">
        <v>4382</v>
      </c>
      <c r="AB119" s="13">
        <v>160</v>
      </c>
      <c r="AC119" s="13">
        <v>8728</v>
      </c>
      <c r="AD119" s="13">
        <v>4060.63</v>
      </c>
      <c r="AE119" s="13">
        <v>25</v>
      </c>
      <c r="AF119" s="13">
        <v>6869</v>
      </c>
    </row>
    <row r="120" spans="1:32" x14ac:dyDescent="0.2">
      <c r="A120" s="12">
        <v>45775</v>
      </c>
      <c r="B120" s="13">
        <f>7744-(C120+D120+E120+F120)</f>
        <v>5673</v>
      </c>
      <c r="C120" s="13">
        <v>1635</v>
      </c>
      <c r="D120" s="13">
        <v>134</v>
      </c>
      <c r="E120" s="13">
        <v>198</v>
      </c>
      <c r="F120" s="13">
        <v>104</v>
      </c>
      <c r="G120" s="13">
        <v>122</v>
      </c>
      <c r="H120" s="13">
        <v>8469</v>
      </c>
      <c r="I120" s="13">
        <v>616</v>
      </c>
      <c r="J120" s="13">
        <v>1776</v>
      </c>
      <c r="K120" s="13">
        <v>12454</v>
      </c>
      <c r="L120" s="13">
        <v>3791</v>
      </c>
      <c r="M120" s="13">
        <v>8756</v>
      </c>
      <c r="N120" s="13">
        <v>356</v>
      </c>
      <c r="O120" s="13">
        <v>6467</v>
      </c>
      <c r="P120" s="13">
        <v>270</v>
      </c>
      <c r="Q120" s="13">
        <v>7505</v>
      </c>
      <c r="R120" s="13">
        <v>2919</v>
      </c>
      <c r="S120" s="13">
        <v>9859</v>
      </c>
      <c r="T120" s="13">
        <v>0</v>
      </c>
      <c r="U120" s="13">
        <f>19*6.2898</f>
        <v>119.50619999999999</v>
      </c>
      <c r="V120" s="13">
        <v>868</v>
      </c>
      <c r="W120" s="13">
        <v>7748</v>
      </c>
      <c r="X120" s="13">
        <v>3938</v>
      </c>
      <c r="Y120" s="13">
        <v>3316</v>
      </c>
      <c r="Z120" s="13">
        <f>259/0.55</f>
        <v>470.90909090909088</v>
      </c>
      <c r="AA120" s="13">
        <v>4266</v>
      </c>
      <c r="AB120" s="13">
        <v>160</v>
      </c>
      <c r="AC120" s="13">
        <v>8748</v>
      </c>
      <c r="AD120" s="13">
        <v>4060.63</v>
      </c>
      <c r="AE120" s="13">
        <v>25</v>
      </c>
      <c r="AF120" s="13">
        <v>6634</v>
      </c>
    </row>
    <row r="121" spans="1:32" x14ac:dyDescent="0.2">
      <c r="A121" s="12">
        <v>45776</v>
      </c>
      <c r="B121" s="13">
        <f>7787-(C121+D121+E121+F121)</f>
        <v>5716</v>
      </c>
      <c r="C121" s="13">
        <v>1635</v>
      </c>
      <c r="D121" s="13">
        <v>134</v>
      </c>
      <c r="E121" s="13">
        <v>198</v>
      </c>
      <c r="F121" s="13">
        <v>104</v>
      </c>
      <c r="G121" s="13">
        <v>122</v>
      </c>
      <c r="H121" s="13">
        <v>8629</v>
      </c>
      <c r="I121" s="13">
        <v>552</v>
      </c>
      <c r="J121" s="13">
        <v>1655</v>
      </c>
      <c r="K121" s="13">
        <v>12439</v>
      </c>
      <c r="L121" s="13">
        <v>3731</v>
      </c>
      <c r="M121" s="13">
        <v>8781</v>
      </c>
      <c r="N121" s="13">
        <v>325</v>
      </c>
      <c r="O121" s="13">
        <v>7320</v>
      </c>
      <c r="P121" s="13">
        <v>262</v>
      </c>
      <c r="Q121" s="13">
        <v>7532</v>
      </c>
      <c r="R121" s="13">
        <v>2847</v>
      </c>
      <c r="S121" s="13">
        <v>9942</v>
      </c>
      <c r="T121" s="13">
        <v>0</v>
      </c>
      <c r="U121" s="13">
        <f>19*6.2898</f>
        <v>119.50619999999999</v>
      </c>
      <c r="V121" s="13">
        <v>848</v>
      </c>
      <c r="W121" s="13">
        <v>7931</v>
      </c>
      <c r="X121" s="13">
        <v>4035</v>
      </c>
      <c r="Y121" s="13">
        <v>3310</v>
      </c>
      <c r="Z121" s="13">
        <f>259/0.55</f>
        <v>470.90909090909088</v>
      </c>
      <c r="AA121" s="13">
        <v>4175</v>
      </c>
      <c r="AB121" s="13">
        <v>160</v>
      </c>
      <c r="AC121" s="13">
        <v>8729</v>
      </c>
      <c r="AD121" s="13">
        <f>8310*0.49</f>
        <v>4071.9</v>
      </c>
      <c r="AE121" s="13">
        <v>25</v>
      </c>
      <c r="AF121" s="13">
        <v>6852</v>
      </c>
    </row>
    <row r="122" spans="1:32" x14ac:dyDescent="0.2">
      <c r="A122" s="12">
        <v>45777</v>
      </c>
      <c r="B122" s="13">
        <f>7724-(C122+D122+E122+F122)</f>
        <v>5653</v>
      </c>
      <c r="C122" s="13">
        <v>1635</v>
      </c>
      <c r="D122" s="13">
        <v>134</v>
      </c>
      <c r="E122" s="13">
        <v>198</v>
      </c>
      <c r="F122" s="13">
        <v>104</v>
      </c>
      <c r="G122" s="13">
        <v>122</v>
      </c>
      <c r="H122" s="13">
        <v>8524</v>
      </c>
      <c r="I122" s="13">
        <v>571</v>
      </c>
      <c r="J122" s="13">
        <v>1796</v>
      </c>
      <c r="K122" s="13">
        <v>12447</v>
      </c>
      <c r="L122" s="13">
        <v>3679</v>
      </c>
      <c r="M122" s="13">
        <v>8756</v>
      </c>
      <c r="N122" s="13">
        <v>248</v>
      </c>
      <c r="O122" s="13">
        <v>8205</v>
      </c>
      <c r="P122" s="13">
        <v>323</v>
      </c>
      <c r="Q122" s="13">
        <v>7540</v>
      </c>
      <c r="R122" s="13">
        <v>2901</v>
      </c>
      <c r="S122" s="13">
        <v>9779</v>
      </c>
      <c r="T122" s="13">
        <v>7433</v>
      </c>
      <c r="U122" s="13">
        <f>19*6.2898</f>
        <v>119.50619999999999</v>
      </c>
      <c r="V122" s="13">
        <v>838</v>
      </c>
      <c r="W122" s="13">
        <v>7880</v>
      </c>
      <c r="X122" s="13">
        <v>3653</v>
      </c>
      <c r="Y122" s="13">
        <v>3310</v>
      </c>
      <c r="Z122" s="13">
        <f>260/0.55</f>
        <v>472.72727272727269</v>
      </c>
      <c r="AA122" s="13">
        <v>4175</v>
      </c>
      <c r="AB122" s="13">
        <v>160</v>
      </c>
      <c r="AC122" s="13">
        <v>8824</v>
      </c>
      <c r="AD122" s="13">
        <f>8198*0.49</f>
        <v>4017.02</v>
      </c>
      <c r="AE122" s="13">
        <v>25</v>
      </c>
      <c r="AF122" s="13">
        <v>6634</v>
      </c>
    </row>
    <row r="123" spans="1:32" x14ac:dyDescent="0.2">
      <c r="A123" s="12">
        <v>45778</v>
      </c>
      <c r="B123" s="13">
        <v>5494</v>
      </c>
      <c r="C123" s="13">
        <v>1635</v>
      </c>
      <c r="D123" s="13">
        <v>134</v>
      </c>
      <c r="E123" s="13">
        <v>198</v>
      </c>
      <c r="F123" s="13">
        <v>104</v>
      </c>
      <c r="G123" s="13">
        <v>115</v>
      </c>
      <c r="H123" s="13">
        <v>8392</v>
      </c>
      <c r="I123" s="13">
        <v>528</v>
      </c>
      <c r="J123" s="13">
        <v>1828</v>
      </c>
      <c r="K123" s="13">
        <v>12142</v>
      </c>
      <c r="L123" s="13">
        <v>3611</v>
      </c>
      <c r="M123" s="13">
        <v>8849</v>
      </c>
      <c r="N123" s="13">
        <v>265</v>
      </c>
      <c r="O123" s="13">
        <v>8001</v>
      </c>
      <c r="P123" s="13">
        <v>323</v>
      </c>
      <c r="Q123" s="13">
        <v>7568</v>
      </c>
      <c r="R123" s="13">
        <v>2853</v>
      </c>
      <c r="S123" s="13">
        <v>9761</v>
      </c>
      <c r="T123" s="13">
        <v>8831</v>
      </c>
      <c r="U123" s="13">
        <v>119.50619999999999</v>
      </c>
      <c r="V123" s="13">
        <v>835</v>
      </c>
      <c r="W123" s="13">
        <v>7764</v>
      </c>
      <c r="X123" s="13">
        <v>4125</v>
      </c>
      <c r="Y123" s="13">
        <v>2744</v>
      </c>
      <c r="Z123" s="13">
        <v>463</v>
      </c>
      <c r="AA123" s="13">
        <v>5000</v>
      </c>
      <c r="AB123" s="13">
        <v>164</v>
      </c>
      <c r="AC123" s="13">
        <v>8998</v>
      </c>
      <c r="AD123" s="13">
        <v>4025.84</v>
      </c>
      <c r="AE123" s="13">
        <v>19</v>
      </c>
      <c r="AF123" s="13">
        <v>6657</v>
      </c>
    </row>
    <row r="124" spans="1:32" x14ac:dyDescent="0.2">
      <c r="A124" s="12">
        <v>45779</v>
      </c>
      <c r="B124" s="13">
        <v>5778</v>
      </c>
      <c r="C124" s="13">
        <v>1635</v>
      </c>
      <c r="D124" s="13">
        <v>134</v>
      </c>
      <c r="E124" s="13">
        <v>198</v>
      </c>
      <c r="F124" s="13">
        <v>104</v>
      </c>
      <c r="G124" s="13">
        <v>115</v>
      </c>
      <c r="H124" s="13">
        <v>8348</v>
      </c>
      <c r="I124" s="13">
        <v>500</v>
      </c>
      <c r="J124" s="13">
        <v>1888</v>
      </c>
      <c r="K124" s="13">
        <v>12172</v>
      </c>
      <c r="L124" s="13">
        <v>3598</v>
      </c>
      <c r="M124" s="13">
        <v>8906</v>
      </c>
      <c r="N124" s="13">
        <v>194</v>
      </c>
      <c r="O124" s="13">
        <v>8131</v>
      </c>
      <c r="P124" s="13">
        <v>374</v>
      </c>
      <c r="Q124" s="13">
        <v>7587</v>
      </c>
      <c r="R124" s="13">
        <v>2830</v>
      </c>
      <c r="S124" s="13">
        <v>9704</v>
      </c>
      <c r="T124" s="13">
        <v>8296</v>
      </c>
      <c r="U124" s="13">
        <v>119.50619999999999</v>
      </c>
      <c r="V124" s="13">
        <v>813</v>
      </c>
      <c r="W124" s="13">
        <v>7782</v>
      </c>
      <c r="X124" s="13">
        <v>3792</v>
      </c>
      <c r="Y124" s="13">
        <v>2725</v>
      </c>
      <c r="Z124" s="13">
        <v>463</v>
      </c>
      <c r="AA124" s="13">
        <v>5259</v>
      </c>
      <c r="AB124" s="13">
        <v>164</v>
      </c>
      <c r="AC124" s="13">
        <v>10332</v>
      </c>
      <c r="AD124" s="13">
        <v>4051.3199999999997</v>
      </c>
      <c r="AE124" s="13">
        <v>28.5</v>
      </c>
      <c r="AF124" s="13">
        <v>6879</v>
      </c>
    </row>
    <row r="125" spans="1:32" x14ac:dyDescent="0.2">
      <c r="A125" s="12">
        <v>45780</v>
      </c>
      <c r="B125" s="13">
        <v>5719</v>
      </c>
      <c r="C125" s="13">
        <v>1635</v>
      </c>
      <c r="D125" s="13">
        <v>134</v>
      </c>
      <c r="E125" s="13">
        <v>198</v>
      </c>
      <c r="F125" s="13">
        <v>104</v>
      </c>
      <c r="G125" s="13">
        <v>115</v>
      </c>
      <c r="H125" s="13">
        <v>8630</v>
      </c>
      <c r="I125" s="13">
        <v>605</v>
      </c>
      <c r="J125" s="13">
        <v>1850</v>
      </c>
      <c r="K125" s="13">
        <v>12441</v>
      </c>
      <c r="L125" s="13">
        <v>3719</v>
      </c>
      <c r="M125" s="13">
        <v>8674</v>
      </c>
      <c r="N125" s="13">
        <v>451</v>
      </c>
      <c r="O125" s="13">
        <v>8237</v>
      </c>
      <c r="P125" s="13">
        <v>394</v>
      </c>
      <c r="Q125" s="13">
        <v>7592</v>
      </c>
      <c r="R125" s="13">
        <v>2799</v>
      </c>
      <c r="S125" s="13">
        <v>9778</v>
      </c>
      <c r="T125" s="13">
        <v>7989</v>
      </c>
      <c r="U125" s="13">
        <v>119.50619999999999</v>
      </c>
      <c r="V125" s="13">
        <v>748</v>
      </c>
      <c r="W125" s="13">
        <v>7753</v>
      </c>
      <c r="X125" s="13">
        <v>4085</v>
      </c>
      <c r="Y125" s="13">
        <v>2685</v>
      </c>
      <c r="Z125" s="13">
        <v>463</v>
      </c>
      <c r="AA125" s="13">
        <v>4141</v>
      </c>
      <c r="AB125" s="13">
        <v>164</v>
      </c>
      <c r="AC125" s="13">
        <v>9684</v>
      </c>
      <c r="AD125" s="13">
        <v>4051.81</v>
      </c>
      <c r="AE125" s="13">
        <v>28.5</v>
      </c>
      <c r="AF125" s="13">
        <v>6878</v>
      </c>
    </row>
    <row r="126" spans="1:32" x14ac:dyDescent="0.2">
      <c r="A126" s="12">
        <v>45781</v>
      </c>
      <c r="B126" s="13">
        <v>5778</v>
      </c>
      <c r="C126" s="13">
        <v>1635</v>
      </c>
      <c r="D126" s="13">
        <v>134</v>
      </c>
      <c r="E126" s="13">
        <v>198</v>
      </c>
      <c r="F126" s="13">
        <v>104</v>
      </c>
      <c r="G126" s="13">
        <v>115</v>
      </c>
      <c r="H126" s="13">
        <v>8568</v>
      </c>
      <c r="I126" s="13">
        <v>1797</v>
      </c>
      <c r="J126" s="13">
        <v>2165</v>
      </c>
      <c r="K126" s="13">
        <v>12435</v>
      </c>
      <c r="L126" s="13">
        <v>3499</v>
      </c>
      <c r="M126" s="13">
        <v>8760</v>
      </c>
      <c r="N126" s="13">
        <v>470</v>
      </c>
      <c r="O126" s="13">
        <v>8161</v>
      </c>
      <c r="P126" s="13">
        <v>491</v>
      </c>
      <c r="Q126" s="13">
        <v>7584</v>
      </c>
      <c r="R126" s="13">
        <v>2775</v>
      </c>
      <c r="S126" s="13">
        <v>9666</v>
      </c>
      <c r="T126" s="13">
        <v>7844</v>
      </c>
      <c r="U126" s="13">
        <v>100.63679999999999</v>
      </c>
      <c r="V126" s="13">
        <v>769</v>
      </c>
      <c r="W126" s="13">
        <v>7763</v>
      </c>
      <c r="X126" s="13">
        <v>4050</v>
      </c>
      <c r="Y126" s="13">
        <v>2690</v>
      </c>
      <c r="Z126" s="13">
        <v>463</v>
      </c>
      <c r="AA126" s="13">
        <v>4205</v>
      </c>
      <c r="AB126" s="13">
        <v>164</v>
      </c>
      <c r="AC126" s="13">
        <v>9962</v>
      </c>
      <c r="AD126" s="13">
        <v>4047.89</v>
      </c>
      <c r="AE126" s="13">
        <v>28.5</v>
      </c>
      <c r="AF126" s="13">
        <v>6902</v>
      </c>
    </row>
    <row r="127" spans="1:32" x14ac:dyDescent="0.2">
      <c r="A127" s="12">
        <v>45782</v>
      </c>
      <c r="B127" s="13">
        <v>5789</v>
      </c>
      <c r="C127" s="13">
        <v>1635</v>
      </c>
      <c r="D127" s="13">
        <v>134</v>
      </c>
      <c r="E127" s="13">
        <v>198</v>
      </c>
      <c r="F127" s="13">
        <v>104</v>
      </c>
      <c r="G127" s="13">
        <v>115</v>
      </c>
      <c r="H127" s="13">
        <v>8502</v>
      </c>
      <c r="I127" s="13">
        <v>1522</v>
      </c>
      <c r="J127" s="13">
        <v>2073</v>
      </c>
      <c r="K127" s="13">
        <v>12421</v>
      </c>
      <c r="L127" s="13">
        <v>3500</v>
      </c>
      <c r="M127" s="13">
        <v>7906</v>
      </c>
      <c r="N127" s="13">
        <v>604</v>
      </c>
      <c r="O127" s="13">
        <v>7086</v>
      </c>
      <c r="P127" s="13">
        <v>396</v>
      </c>
      <c r="Q127" s="13">
        <v>7550</v>
      </c>
      <c r="R127" s="13">
        <v>2739</v>
      </c>
      <c r="S127" s="13">
        <v>9658</v>
      </c>
      <c r="T127" s="13">
        <v>7813</v>
      </c>
      <c r="U127" s="13">
        <v>100.63679999999999</v>
      </c>
      <c r="V127" s="13">
        <v>833</v>
      </c>
      <c r="W127" s="13">
        <v>7750</v>
      </c>
      <c r="X127" s="13">
        <v>4071</v>
      </c>
      <c r="Y127" s="13">
        <v>2693</v>
      </c>
      <c r="Z127" s="13">
        <v>463</v>
      </c>
      <c r="AA127" s="13">
        <v>4311</v>
      </c>
      <c r="AB127" s="13">
        <v>164</v>
      </c>
      <c r="AC127" s="13">
        <v>9676</v>
      </c>
      <c r="AD127" s="13">
        <v>3955.2799999999997</v>
      </c>
      <c r="AE127" s="13">
        <v>28.5</v>
      </c>
      <c r="AF127" s="13">
        <v>6876</v>
      </c>
    </row>
    <row r="128" spans="1:32" x14ac:dyDescent="0.2">
      <c r="A128" s="12">
        <v>45783</v>
      </c>
      <c r="B128" s="13">
        <v>5784</v>
      </c>
      <c r="C128" s="13">
        <v>1635</v>
      </c>
      <c r="D128" s="13">
        <v>134</v>
      </c>
      <c r="E128" s="13">
        <v>198</v>
      </c>
      <c r="F128" s="13">
        <v>104</v>
      </c>
      <c r="G128" s="13">
        <v>115</v>
      </c>
      <c r="H128" s="13">
        <v>8604.7960000000003</v>
      </c>
      <c r="I128" s="13">
        <v>1302.7860000000001</v>
      </c>
      <c r="J128" s="13">
        <v>2497.63</v>
      </c>
      <c r="K128" s="13">
        <v>12403</v>
      </c>
      <c r="L128" s="13">
        <v>3930.3470912799999</v>
      </c>
      <c r="M128" s="13">
        <v>8922</v>
      </c>
      <c r="N128" s="13">
        <v>478</v>
      </c>
      <c r="O128" s="13">
        <v>8295</v>
      </c>
      <c r="P128" s="13">
        <v>396</v>
      </c>
      <c r="Q128" s="13">
        <v>7535</v>
      </c>
      <c r="R128" s="13">
        <v>2991</v>
      </c>
      <c r="S128" s="13">
        <v>9733</v>
      </c>
      <c r="T128" s="13">
        <v>7751</v>
      </c>
      <c r="U128" s="13">
        <v>69.187799999999996</v>
      </c>
      <c r="V128" s="13">
        <v>833</v>
      </c>
      <c r="W128" s="13">
        <v>7770</v>
      </c>
      <c r="X128" s="13">
        <v>3845</v>
      </c>
      <c r="Y128" s="13">
        <v>2744</v>
      </c>
      <c r="Z128" s="13">
        <v>463</v>
      </c>
      <c r="AA128" s="13">
        <v>4321</v>
      </c>
      <c r="AB128" s="13">
        <v>164</v>
      </c>
      <c r="AC128" s="13">
        <v>9621</v>
      </c>
      <c r="AD128" s="13">
        <v>4045.44</v>
      </c>
      <c r="AE128" s="13">
        <v>28.5</v>
      </c>
      <c r="AF128" s="13">
        <v>6830</v>
      </c>
    </row>
    <row r="129" spans="1:32" x14ac:dyDescent="0.2">
      <c r="A129" s="12">
        <v>45784</v>
      </c>
      <c r="B129" s="13">
        <v>5719</v>
      </c>
      <c r="C129" s="13">
        <v>1635</v>
      </c>
      <c r="D129" s="13">
        <v>134</v>
      </c>
      <c r="E129" s="13">
        <v>198</v>
      </c>
      <c r="F129" s="13">
        <v>104</v>
      </c>
      <c r="G129" s="13">
        <v>115</v>
      </c>
      <c r="H129" s="13">
        <v>8610.0689999999995</v>
      </c>
      <c r="I129" s="13">
        <v>1177.6389999999999</v>
      </c>
      <c r="J129" s="13">
        <v>2488.335</v>
      </c>
      <c r="K129" s="13">
        <v>12409</v>
      </c>
      <c r="L129" s="13">
        <v>3821.4470553199999</v>
      </c>
      <c r="M129" s="13">
        <v>8906</v>
      </c>
      <c r="N129" s="13">
        <v>406</v>
      </c>
      <c r="O129" s="13">
        <v>8039</v>
      </c>
      <c r="P129" s="13">
        <v>359</v>
      </c>
      <c r="Q129" s="13">
        <v>7580</v>
      </c>
      <c r="R129" s="13">
        <v>2925</v>
      </c>
      <c r="S129" s="13">
        <v>9796</v>
      </c>
      <c r="T129" s="13">
        <v>7725</v>
      </c>
      <c r="U129" s="13">
        <v>157.245</v>
      </c>
      <c r="V129" s="13">
        <v>833</v>
      </c>
      <c r="W129" s="13">
        <v>7747</v>
      </c>
      <c r="X129" s="13">
        <v>4181</v>
      </c>
      <c r="Y129" s="13">
        <v>2756</v>
      </c>
      <c r="Z129" s="13">
        <v>463</v>
      </c>
      <c r="AA129" s="13">
        <v>4326</v>
      </c>
      <c r="AB129" s="13">
        <v>164</v>
      </c>
      <c r="AC129" s="13">
        <v>9545</v>
      </c>
      <c r="AD129" s="13">
        <v>3916.08</v>
      </c>
      <c r="AE129" s="13">
        <v>28.5</v>
      </c>
      <c r="AF129" s="13">
        <v>6811</v>
      </c>
    </row>
    <row r="130" spans="1:32" x14ac:dyDescent="0.2">
      <c r="A130" s="12">
        <v>45785</v>
      </c>
      <c r="B130" s="13">
        <v>5737</v>
      </c>
      <c r="C130" s="13">
        <v>1635</v>
      </c>
      <c r="D130" s="13">
        <v>134</v>
      </c>
      <c r="E130" s="13">
        <v>198</v>
      </c>
      <c r="F130" s="13">
        <v>104</v>
      </c>
      <c r="G130" s="13">
        <v>115</v>
      </c>
      <c r="H130" s="13">
        <v>8589.3310000000001</v>
      </c>
      <c r="I130" s="13">
        <v>1145.28</v>
      </c>
      <c r="J130" s="13">
        <v>2518.848</v>
      </c>
      <c r="K130" s="13">
        <v>12420</v>
      </c>
      <c r="L130" s="13">
        <v>3821.9569807600001</v>
      </c>
      <c r="M130" s="13">
        <v>8949</v>
      </c>
      <c r="N130" s="13">
        <v>401</v>
      </c>
      <c r="O130" s="13">
        <v>8390</v>
      </c>
      <c r="P130" s="13">
        <v>381</v>
      </c>
      <c r="Q130" s="13">
        <v>7529</v>
      </c>
      <c r="R130" s="13">
        <v>2883</v>
      </c>
      <c r="S130" s="13">
        <v>9702</v>
      </c>
      <c r="T130" s="13">
        <v>10776</v>
      </c>
      <c r="U130" s="13">
        <v>157.245</v>
      </c>
      <c r="V130" s="13">
        <v>833</v>
      </c>
      <c r="W130" s="13">
        <v>7517</v>
      </c>
      <c r="X130" s="13">
        <v>3779</v>
      </c>
      <c r="Y130" s="13">
        <v>2752</v>
      </c>
      <c r="Z130" s="13">
        <v>463</v>
      </c>
      <c r="AA130" s="13">
        <v>4343</v>
      </c>
      <c r="AB130" s="13">
        <v>164</v>
      </c>
      <c r="AC130" s="13">
        <v>9525</v>
      </c>
      <c r="AD130" s="13">
        <v>4042.5</v>
      </c>
      <c r="AE130" s="13">
        <v>28.5</v>
      </c>
      <c r="AF130" s="13">
        <v>6588</v>
      </c>
    </row>
    <row r="131" spans="1:32" x14ac:dyDescent="0.2">
      <c r="A131" s="12">
        <v>45786</v>
      </c>
      <c r="B131" s="13">
        <v>5729</v>
      </c>
      <c r="C131" s="13">
        <v>1635</v>
      </c>
      <c r="D131" s="13">
        <v>134</v>
      </c>
      <c r="E131" s="13">
        <v>198</v>
      </c>
      <c r="F131" s="13">
        <v>104</v>
      </c>
      <c r="G131" s="13">
        <v>115</v>
      </c>
      <c r="H131" s="13">
        <v>8484</v>
      </c>
      <c r="I131" s="13">
        <v>1074</v>
      </c>
      <c r="J131" s="13">
        <v>2453</v>
      </c>
      <c r="K131" s="13">
        <v>12376</v>
      </c>
      <c r="L131" s="13">
        <v>3751</v>
      </c>
      <c r="M131" s="13">
        <v>9151</v>
      </c>
      <c r="N131" s="13">
        <v>374</v>
      </c>
      <c r="O131" s="13">
        <v>8326</v>
      </c>
      <c r="P131" s="13">
        <v>392</v>
      </c>
      <c r="Q131" s="13">
        <v>7529</v>
      </c>
      <c r="R131" s="13">
        <v>2956</v>
      </c>
      <c r="S131" s="13">
        <v>9714</v>
      </c>
      <c r="T131" s="13">
        <v>11541</v>
      </c>
      <c r="U131" s="13">
        <v>157.245</v>
      </c>
      <c r="V131" s="13">
        <v>833</v>
      </c>
      <c r="W131" s="13">
        <v>7213</v>
      </c>
      <c r="X131" s="13">
        <v>4065</v>
      </c>
      <c r="Y131" s="13">
        <v>2757</v>
      </c>
      <c r="Z131" s="13">
        <v>463</v>
      </c>
      <c r="AA131" s="13">
        <v>4266</v>
      </c>
      <c r="AB131" s="13">
        <v>164</v>
      </c>
      <c r="AC131" s="13">
        <v>9432</v>
      </c>
      <c r="AD131" s="13">
        <v>4041.0299999999997</v>
      </c>
      <c r="AE131" s="13">
        <v>28.5</v>
      </c>
      <c r="AF131" s="13">
        <v>6609</v>
      </c>
    </row>
    <row r="132" spans="1:32" x14ac:dyDescent="0.2">
      <c r="A132" s="12">
        <v>45787</v>
      </c>
      <c r="B132" s="13">
        <v>5781</v>
      </c>
      <c r="C132" s="13">
        <v>1635</v>
      </c>
      <c r="D132" s="13">
        <v>134</v>
      </c>
      <c r="E132" s="13">
        <v>198</v>
      </c>
      <c r="F132" s="13">
        <v>104</v>
      </c>
      <c r="G132" s="13">
        <v>115</v>
      </c>
      <c r="H132" s="13">
        <v>8392</v>
      </c>
      <c r="I132" s="13">
        <v>1134</v>
      </c>
      <c r="J132" s="13">
        <v>2472</v>
      </c>
      <c r="K132" s="13">
        <v>12338</v>
      </c>
      <c r="L132" s="13">
        <v>3688</v>
      </c>
      <c r="M132" s="13">
        <v>9009</v>
      </c>
      <c r="N132" s="13">
        <v>364</v>
      </c>
      <c r="O132" s="13">
        <v>8227</v>
      </c>
      <c r="P132" s="13">
        <v>392</v>
      </c>
      <c r="Q132" s="13">
        <v>7529</v>
      </c>
      <c r="R132" s="13">
        <v>2931</v>
      </c>
      <c r="S132" s="13">
        <v>9687</v>
      </c>
      <c r="T132" s="13">
        <v>11692</v>
      </c>
      <c r="U132" s="13">
        <v>157.245</v>
      </c>
      <c r="V132" s="13">
        <v>833</v>
      </c>
      <c r="W132" s="13">
        <v>7324</v>
      </c>
      <c r="X132" s="13">
        <v>4226</v>
      </c>
      <c r="Y132" s="13">
        <v>2751</v>
      </c>
      <c r="Z132" s="13">
        <v>463</v>
      </c>
      <c r="AA132" s="13">
        <v>4381</v>
      </c>
      <c r="AB132" s="13">
        <v>164</v>
      </c>
      <c r="AC132" s="13">
        <v>9618</v>
      </c>
      <c r="AD132" s="13">
        <v>4042.99</v>
      </c>
      <c r="AE132" s="13">
        <v>28.5</v>
      </c>
      <c r="AF132" s="13">
        <v>6777</v>
      </c>
    </row>
    <row r="133" spans="1:32" x14ac:dyDescent="0.2">
      <c r="A133" s="12">
        <v>45788</v>
      </c>
      <c r="B133" s="13">
        <v>5719</v>
      </c>
      <c r="C133" s="13">
        <v>1635</v>
      </c>
      <c r="D133" s="13">
        <v>134</v>
      </c>
      <c r="E133" s="13">
        <v>198</v>
      </c>
      <c r="F133" s="13">
        <v>104</v>
      </c>
      <c r="G133" s="13">
        <v>115</v>
      </c>
      <c r="H133" s="13">
        <v>8248.7720000000008</v>
      </c>
      <c r="I133" s="13">
        <v>1089.242</v>
      </c>
      <c r="J133" s="13">
        <v>2358.2510000000002</v>
      </c>
      <c r="K133" s="13">
        <v>12320</v>
      </c>
      <c r="L133" s="13">
        <v>3713.8072815199998</v>
      </c>
      <c r="M133" s="13">
        <v>8853</v>
      </c>
      <c r="N133" s="13">
        <v>363</v>
      </c>
      <c r="O133" s="13">
        <v>8078</v>
      </c>
      <c r="P133" s="13">
        <v>379</v>
      </c>
      <c r="Q133" s="13">
        <v>7519</v>
      </c>
      <c r="R133" s="13">
        <v>2907</v>
      </c>
      <c r="S133" s="13">
        <v>9602</v>
      </c>
      <c r="T133" s="13">
        <v>12538</v>
      </c>
      <c r="U133" s="13">
        <v>157.245</v>
      </c>
      <c r="V133" s="13">
        <v>833</v>
      </c>
      <c r="W133" s="13">
        <v>7273</v>
      </c>
      <c r="X133" s="13">
        <v>4206</v>
      </c>
      <c r="Y133" s="13">
        <v>2744</v>
      </c>
      <c r="Z133" s="13">
        <v>463</v>
      </c>
      <c r="AA133" s="13">
        <v>4318</v>
      </c>
      <c r="AB133" s="13">
        <v>164</v>
      </c>
      <c r="AC133" s="13">
        <v>9404</v>
      </c>
      <c r="AD133" s="13">
        <v>4043.48</v>
      </c>
      <c r="AE133" s="13">
        <v>28.5</v>
      </c>
      <c r="AF133" s="13">
        <v>6742</v>
      </c>
    </row>
    <row r="134" spans="1:32" x14ac:dyDescent="0.2">
      <c r="A134" s="12">
        <v>45789</v>
      </c>
      <c r="B134" s="13">
        <v>5797</v>
      </c>
      <c r="C134" s="13">
        <v>1635</v>
      </c>
      <c r="D134" s="13">
        <v>134</v>
      </c>
      <c r="E134" s="13">
        <v>198</v>
      </c>
      <c r="F134" s="13">
        <v>104</v>
      </c>
      <c r="G134" s="13">
        <v>115</v>
      </c>
      <c r="H134" s="13">
        <v>9331.2639999999992</v>
      </c>
      <c r="I134" s="13">
        <v>1016.901</v>
      </c>
      <c r="J134" s="13">
        <v>2723.9659999999999</v>
      </c>
      <c r="K134" s="13">
        <v>11382</v>
      </c>
      <c r="L134" s="13">
        <v>3725.4022049599998</v>
      </c>
      <c r="M134" s="13">
        <v>8947</v>
      </c>
      <c r="N134" s="13">
        <v>341</v>
      </c>
      <c r="O134" s="13">
        <v>8202</v>
      </c>
      <c r="P134" s="13">
        <v>379</v>
      </c>
      <c r="Q134" s="13">
        <v>7515</v>
      </c>
      <c r="R134" s="13">
        <v>2877</v>
      </c>
      <c r="S134" s="13">
        <v>9716</v>
      </c>
      <c r="T134" s="13">
        <v>12934</v>
      </c>
      <c r="U134" s="13">
        <v>119.50619999999999</v>
      </c>
      <c r="V134" s="13">
        <v>833</v>
      </c>
      <c r="W134" s="13">
        <v>7025</v>
      </c>
      <c r="X134" s="13">
        <v>4081</v>
      </c>
      <c r="Y134" s="13">
        <v>2950</v>
      </c>
      <c r="Z134" s="13">
        <v>463</v>
      </c>
      <c r="AA134" s="13">
        <v>4260</v>
      </c>
      <c r="AB134" s="13">
        <v>164</v>
      </c>
      <c r="AC134" s="13">
        <v>9294</v>
      </c>
      <c r="AD134" s="13">
        <v>4045.44</v>
      </c>
      <c r="AE134" s="13">
        <v>28.5</v>
      </c>
      <c r="AF134" s="13">
        <v>6683</v>
      </c>
    </row>
    <row r="135" spans="1:32" x14ac:dyDescent="0.2">
      <c r="A135" s="12">
        <v>45790</v>
      </c>
      <c r="B135" s="13">
        <v>5685</v>
      </c>
      <c r="C135" s="13">
        <v>1635</v>
      </c>
      <c r="D135" s="13">
        <v>134</v>
      </c>
      <c r="E135" s="13">
        <v>198</v>
      </c>
      <c r="F135" s="13">
        <v>104</v>
      </c>
      <c r="G135" s="13">
        <v>115</v>
      </c>
      <c r="H135" s="13">
        <v>8875</v>
      </c>
      <c r="I135" s="13">
        <v>1079</v>
      </c>
      <c r="J135" s="13">
        <v>2779</v>
      </c>
      <c r="K135" s="13">
        <v>11359</v>
      </c>
      <c r="L135" s="13">
        <v>3675</v>
      </c>
      <c r="M135" s="13">
        <v>9004</v>
      </c>
      <c r="N135" s="13">
        <v>305</v>
      </c>
      <c r="O135" s="13">
        <v>8040</v>
      </c>
      <c r="P135" s="13">
        <v>381</v>
      </c>
      <c r="Q135" s="13">
        <v>7475</v>
      </c>
      <c r="R135" s="13">
        <v>2841</v>
      </c>
      <c r="S135" s="13">
        <v>9734</v>
      </c>
      <c r="T135" s="13">
        <v>12914</v>
      </c>
      <c r="U135" s="13">
        <v>157.245</v>
      </c>
      <c r="V135" s="13">
        <v>846</v>
      </c>
      <c r="W135" s="13">
        <v>6734</v>
      </c>
      <c r="X135" s="13">
        <v>4653</v>
      </c>
      <c r="Y135" s="13">
        <v>2950</v>
      </c>
      <c r="Z135" s="13">
        <v>463</v>
      </c>
      <c r="AA135" s="13">
        <v>4261</v>
      </c>
      <c r="AB135" s="13">
        <v>164</v>
      </c>
      <c r="AC135" s="13">
        <v>9295</v>
      </c>
      <c r="AD135" s="13">
        <v>4047.4</v>
      </c>
      <c r="AE135" s="13">
        <v>28.5</v>
      </c>
      <c r="AF135" s="13">
        <v>6775</v>
      </c>
    </row>
    <row r="136" spans="1:32" x14ac:dyDescent="0.2">
      <c r="A136" s="12">
        <v>45791</v>
      </c>
      <c r="B136" s="13">
        <v>5734</v>
      </c>
      <c r="C136" s="13">
        <v>1635</v>
      </c>
      <c r="D136" s="13">
        <v>134</v>
      </c>
      <c r="E136" s="13">
        <v>198</v>
      </c>
      <c r="F136" s="13">
        <v>104</v>
      </c>
      <c r="G136" s="13">
        <v>115</v>
      </c>
      <c r="H136" s="13">
        <v>8580</v>
      </c>
      <c r="I136" s="13">
        <v>972</v>
      </c>
      <c r="J136" s="13">
        <v>2786</v>
      </c>
      <c r="K136" s="13">
        <v>11303</v>
      </c>
      <c r="L136" s="13">
        <v>3464</v>
      </c>
      <c r="M136" s="13">
        <v>9145</v>
      </c>
      <c r="N136" s="13">
        <v>218</v>
      </c>
      <c r="O136" s="13">
        <v>8038</v>
      </c>
      <c r="P136" s="13">
        <v>381</v>
      </c>
      <c r="Q136" s="13">
        <v>7489</v>
      </c>
      <c r="R136" s="13">
        <v>2914</v>
      </c>
      <c r="S136" s="13">
        <v>9765</v>
      </c>
      <c r="T136" s="13">
        <v>12904</v>
      </c>
      <c r="U136" s="13">
        <v>163.53479999999999</v>
      </c>
      <c r="V136" s="13">
        <v>844</v>
      </c>
      <c r="W136" s="13">
        <v>7192</v>
      </c>
      <c r="X136" s="13">
        <v>3982</v>
      </c>
      <c r="Y136" s="13">
        <v>3406</v>
      </c>
      <c r="Z136" s="13">
        <v>463</v>
      </c>
      <c r="AA136" s="13">
        <v>4433</v>
      </c>
      <c r="AB136" s="13">
        <v>164</v>
      </c>
      <c r="AC136" s="13">
        <v>9087</v>
      </c>
      <c r="AD136" s="13">
        <v>4047.4</v>
      </c>
      <c r="AE136" s="13">
        <v>28.5</v>
      </c>
      <c r="AF136" s="13">
        <v>6560</v>
      </c>
    </row>
    <row r="137" spans="1:32" x14ac:dyDescent="0.2">
      <c r="A137" s="12">
        <v>45792</v>
      </c>
      <c r="B137" s="13">
        <v>5684</v>
      </c>
      <c r="C137" s="13">
        <v>1635</v>
      </c>
      <c r="D137" s="13">
        <v>134</v>
      </c>
      <c r="E137" s="13">
        <v>198</v>
      </c>
      <c r="F137" s="13">
        <v>104</v>
      </c>
      <c r="G137" s="13">
        <v>115</v>
      </c>
      <c r="H137" s="13">
        <v>8673</v>
      </c>
      <c r="I137" s="13">
        <v>1049</v>
      </c>
      <c r="J137" s="13">
        <v>3022</v>
      </c>
      <c r="K137" s="13">
        <v>11417</v>
      </c>
      <c r="L137" s="13">
        <v>3478</v>
      </c>
      <c r="M137" s="13">
        <v>9045</v>
      </c>
      <c r="N137" s="13">
        <v>475</v>
      </c>
      <c r="O137" s="13">
        <v>8496</v>
      </c>
      <c r="P137" s="13">
        <v>379</v>
      </c>
      <c r="Q137" s="13">
        <v>7479</v>
      </c>
      <c r="R137" s="13">
        <v>2853</v>
      </c>
      <c r="S137" s="13">
        <v>9742</v>
      </c>
      <c r="T137" s="13">
        <v>13510</v>
      </c>
      <c r="U137" s="13">
        <v>157.245</v>
      </c>
      <c r="V137" s="13">
        <v>850</v>
      </c>
      <c r="W137" s="13">
        <v>7192</v>
      </c>
      <c r="X137" s="13">
        <v>4276</v>
      </c>
      <c r="Y137" s="13">
        <v>3377</v>
      </c>
      <c r="Z137" s="13">
        <v>463</v>
      </c>
      <c r="AA137" s="13">
        <v>4398</v>
      </c>
      <c r="AB137" s="13">
        <v>164</v>
      </c>
      <c r="AC137" s="13">
        <v>9252</v>
      </c>
      <c r="AD137" s="13">
        <v>4055.24</v>
      </c>
      <c r="AE137" s="13">
        <v>28.5</v>
      </c>
      <c r="AF137" s="13">
        <v>6703</v>
      </c>
    </row>
    <row r="138" spans="1:32" x14ac:dyDescent="0.2">
      <c r="A138" s="12">
        <v>45793</v>
      </c>
      <c r="B138" s="13">
        <v>5641</v>
      </c>
      <c r="C138" s="13">
        <v>1635</v>
      </c>
      <c r="D138" s="13">
        <v>134</v>
      </c>
      <c r="E138" s="13">
        <v>198</v>
      </c>
      <c r="F138" s="13">
        <v>104</v>
      </c>
      <c r="G138" s="13">
        <v>115</v>
      </c>
      <c r="H138" s="13">
        <v>9185</v>
      </c>
      <c r="I138" s="13">
        <v>1034</v>
      </c>
      <c r="J138" s="13">
        <v>2920</v>
      </c>
      <c r="K138" s="13">
        <v>11334</v>
      </c>
      <c r="L138" s="13">
        <v>3473</v>
      </c>
      <c r="M138" s="13">
        <v>8641</v>
      </c>
      <c r="N138" s="13">
        <v>560</v>
      </c>
      <c r="O138" s="13">
        <v>8323</v>
      </c>
      <c r="P138" s="13">
        <v>394</v>
      </c>
      <c r="Q138" s="13">
        <v>7486</v>
      </c>
      <c r="R138" s="13">
        <v>2763</v>
      </c>
      <c r="S138" s="13">
        <v>9603</v>
      </c>
      <c r="T138" s="13">
        <v>13216</v>
      </c>
      <c r="U138" s="13">
        <v>207.5634</v>
      </c>
      <c r="V138" s="13">
        <v>871</v>
      </c>
      <c r="W138" s="13">
        <v>7273</v>
      </c>
      <c r="X138" s="13">
        <v>4302</v>
      </c>
      <c r="Y138" s="13">
        <v>3383</v>
      </c>
      <c r="Z138" s="13">
        <v>638.18181818181813</v>
      </c>
      <c r="AA138" s="13">
        <v>4404</v>
      </c>
      <c r="AB138" s="13">
        <v>164</v>
      </c>
      <c r="AC138" s="13">
        <v>9343</v>
      </c>
      <c r="AD138" s="13">
        <v>4054.75</v>
      </c>
      <c r="AE138" s="13">
        <v>28.5</v>
      </c>
      <c r="AF138" s="13">
        <v>6812</v>
      </c>
    </row>
    <row r="139" spans="1:32" x14ac:dyDescent="0.2">
      <c r="A139" s="12">
        <v>45794</v>
      </c>
      <c r="B139" s="13">
        <v>5733</v>
      </c>
      <c r="C139" s="13">
        <v>1635</v>
      </c>
      <c r="D139" s="13">
        <v>134</v>
      </c>
      <c r="E139" s="13">
        <v>198</v>
      </c>
      <c r="F139" s="13">
        <v>104</v>
      </c>
      <c r="G139" s="13">
        <v>115</v>
      </c>
      <c r="H139" s="13">
        <v>8921</v>
      </c>
      <c r="I139" s="13">
        <v>953</v>
      </c>
      <c r="J139" s="13">
        <v>2691</v>
      </c>
      <c r="K139" s="13">
        <v>12672</v>
      </c>
      <c r="L139" s="13">
        <v>3493</v>
      </c>
      <c r="M139" s="13">
        <v>8811</v>
      </c>
      <c r="N139" s="13">
        <v>495</v>
      </c>
      <c r="O139" s="13">
        <v>8193</v>
      </c>
      <c r="P139" s="13">
        <v>411</v>
      </c>
      <c r="Q139" s="13">
        <v>7482</v>
      </c>
      <c r="R139" s="13">
        <v>2865</v>
      </c>
      <c r="S139" s="13">
        <v>9721</v>
      </c>
      <c r="T139" s="13">
        <v>12070</v>
      </c>
      <c r="U139" s="13">
        <v>163.53479999999999</v>
      </c>
      <c r="V139" s="13">
        <v>859</v>
      </c>
      <c r="W139" s="13">
        <v>7302</v>
      </c>
      <c r="X139" s="13">
        <v>4315</v>
      </c>
      <c r="Y139" s="13">
        <v>3367</v>
      </c>
      <c r="Z139" s="13">
        <v>569.09090909090901</v>
      </c>
      <c r="AA139" s="13">
        <v>4352</v>
      </c>
      <c r="AB139" s="13">
        <v>164</v>
      </c>
      <c r="AC139" s="13">
        <v>8928</v>
      </c>
      <c r="AD139" s="13">
        <v>4053.77</v>
      </c>
      <c r="AE139" s="13">
        <v>28.5</v>
      </c>
      <c r="AF139" s="13">
        <v>6847</v>
      </c>
    </row>
    <row r="140" spans="1:32" x14ac:dyDescent="0.2">
      <c r="A140" s="12">
        <v>45795</v>
      </c>
      <c r="B140" s="13">
        <v>5769</v>
      </c>
      <c r="C140" s="13">
        <v>1635</v>
      </c>
      <c r="D140" s="13">
        <v>134</v>
      </c>
      <c r="E140" s="13">
        <v>198</v>
      </c>
      <c r="F140" s="13">
        <v>104</v>
      </c>
      <c r="G140" s="13">
        <v>115</v>
      </c>
      <c r="H140" s="13">
        <v>8803</v>
      </c>
      <c r="I140" s="13">
        <v>895</v>
      </c>
      <c r="J140" s="13">
        <v>2654</v>
      </c>
      <c r="K140" s="13">
        <v>12387</v>
      </c>
      <c r="L140" s="13">
        <v>3549</v>
      </c>
      <c r="M140" s="13">
        <v>8897</v>
      </c>
      <c r="N140" s="13">
        <v>461</v>
      </c>
      <c r="O140" s="13">
        <v>8407</v>
      </c>
      <c r="P140" s="13">
        <v>394</v>
      </c>
      <c r="Q140" s="13">
        <v>7506</v>
      </c>
      <c r="R140" s="13">
        <v>3058</v>
      </c>
      <c r="S140" s="13">
        <v>9466</v>
      </c>
      <c r="T140" s="13">
        <v>12642</v>
      </c>
      <c r="U140" s="13">
        <v>100.63679999999999</v>
      </c>
      <c r="V140" s="13">
        <v>839</v>
      </c>
      <c r="W140" s="13">
        <v>7372</v>
      </c>
      <c r="X140" s="13">
        <v>4467</v>
      </c>
      <c r="Y140" s="13">
        <v>3378</v>
      </c>
      <c r="Z140" s="13">
        <v>561.81818181818176</v>
      </c>
      <c r="AA140" s="13">
        <v>4376</v>
      </c>
      <c r="AB140" s="13">
        <v>164</v>
      </c>
      <c r="AC140" s="13">
        <v>8962</v>
      </c>
      <c r="AD140" s="13">
        <v>4053.2799999999997</v>
      </c>
      <c r="AE140" s="13">
        <v>28.5</v>
      </c>
      <c r="AF140" s="13">
        <v>6873</v>
      </c>
    </row>
    <row r="141" spans="1:32" x14ac:dyDescent="0.2">
      <c r="A141" s="12">
        <v>45796</v>
      </c>
      <c r="B141" s="13">
        <v>5689</v>
      </c>
      <c r="C141" s="13">
        <v>1635</v>
      </c>
      <c r="D141" s="13">
        <v>134</v>
      </c>
      <c r="E141" s="13">
        <v>198</v>
      </c>
      <c r="F141" s="13">
        <v>104</v>
      </c>
      <c r="G141" s="13">
        <v>115</v>
      </c>
      <c r="H141" s="13">
        <v>8600.6</v>
      </c>
      <c r="I141" s="13">
        <v>843.62599999999998</v>
      </c>
      <c r="J141" s="13">
        <v>2439.94</v>
      </c>
      <c r="K141" s="13">
        <v>12413</v>
      </c>
      <c r="L141" s="13">
        <v>3530.8339999999998</v>
      </c>
      <c r="M141" s="13">
        <v>8984.3462500000005</v>
      </c>
      <c r="N141" s="13">
        <v>394.65375</v>
      </c>
      <c r="O141" s="13">
        <v>8249.5</v>
      </c>
      <c r="P141" s="13">
        <v>398</v>
      </c>
      <c r="Q141" s="13">
        <v>7506</v>
      </c>
      <c r="R141" s="13">
        <v>3058</v>
      </c>
      <c r="S141" s="13">
        <v>9466</v>
      </c>
      <c r="T141" s="13">
        <v>13539</v>
      </c>
      <c r="U141" s="13">
        <v>100.63679999999999</v>
      </c>
      <c r="V141" s="13">
        <v>801</v>
      </c>
      <c r="W141" s="13">
        <v>7413</v>
      </c>
      <c r="X141" s="13">
        <v>4290.3999999999996</v>
      </c>
      <c r="Y141" s="13">
        <v>3377</v>
      </c>
      <c r="Z141" s="13">
        <v>512.72727272727263</v>
      </c>
      <c r="AA141" s="13">
        <v>3296</v>
      </c>
      <c r="AB141" s="13">
        <v>164</v>
      </c>
      <c r="AC141" s="13">
        <v>8775</v>
      </c>
      <c r="AD141" s="13">
        <v>4047.4</v>
      </c>
      <c r="AE141" s="13">
        <v>28.5</v>
      </c>
      <c r="AF141" s="13">
        <v>6829</v>
      </c>
    </row>
    <row r="142" spans="1:32" x14ac:dyDescent="0.2">
      <c r="A142" s="12">
        <v>45797</v>
      </c>
      <c r="B142" s="13">
        <v>5727</v>
      </c>
      <c r="C142" s="13">
        <v>1635</v>
      </c>
      <c r="D142" s="13">
        <v>134</v>
      </c>
      <c r="E142" s="13">
        <v>198</v>
      </c>
      <c r="F142" s="13">
        <v>104</v>
      </c>
      <c r="G142" s="13">
        <v>115</v>
      </c>
      <c r="H142" s="13">
        <v>8434.0840000000007</v>
      </c>
      <c r="I142" s="13">
        <v>773.28700000000003</v>
      </c>
      <c r="J142" s="13">
        <v>2292.65</v>
      </c>
      <c r="K142" s="13">
        <v>12493</v>
      </c>
      <c r="L142" s="13">
        <v>3535.9790000000003</v>
      </c>
      <c r="M142" s="13">
        <v>8937.4375</v>
      </c>
      <c r="N142" s="13">
        <v>342.5625</v>
      </c>
      <c r="O142" s="13">
        <v>8294</v>
      </c>
      <c r="P142" s="13">
        <v>350</v>
      </c>
      <c r="Q142" s="13">
        <v>7506</v>
      </c>
      <c r="R142" s="13">
        <v>2568</v>
      </c>
      <c r="S142" s="13">
        <v>9538</v>
      </c>
      <c r="T142" s="13">
        <v>13053</v>
      </c>
      <c r="U142" s="13">
        <v>100.63679999999999</v>
      </c>
      <c r="V142" s="13">
        <v>802</v>
      </c>
      <c r="W142" s="13">
        <v>7377</v>
      </c>
      <c r="X142" s="13">
        <v>4264.7</v>
      </c>
      <c r="Y142" s="13">
        <v>3354</v>
      </c>
      <c r="Z142" s="13">
        <v>312.72727272727269</v>
      </c>
      <c r="AA142" s="13">
        <v>2901</v>
      </c>
      <c r="AB142" s="13">
        <v>164</v>
      </c>
      <c r="AC142" s="13">
        <v>9160</v>
      </c>
      <c r="AD142" s="13">
        <v>4050.34</v>
      </c>
      <c r="AE142" s="13">
        <v>28.5</v>
      </c>
      <c r="AF142" s="13">
        <v>6847</v>
      </c>
    </row>
    <row r="143" spans="1:32" x14ac:dyDescent="0.2">
      <c r="A143" s="12">
        <v>45798</v>
      </c>
      <c r="B143" s="13">
        <v>5640</v>
      </c>
      <c r="C143" s="13">
        <v>1635</v>
      </c>
      <c r="D143" s="13">
        <v>134</v>
      </c>
      <c r="E143" s="13">
        <v>198</v>
      </c>
      <c r="F143" s="13">
        <v>104</v>
      </c>
      <c r="G143" s="13">
        <v>115</v>
      </c>
      <c r="H143" s="13">
        <v>8655</v>
      </c>
      <c r="I143" s="13">
        <v>772</v>
      </c>
      <c r="J143" s="13">
        <v>2359</v>
      </c>
      <c r="K143" s="13">
        <v>12616</v>
      </c>
      <c r="L143" s="13">
        <v>3814.9789999999998</v>
      </c>
      <c r="M143" s="13">
        <v>6667</v>
      </c>
      <c r="N143" s="13">
        <v>267</v>
      </c>
      <c r="O143" s="13">
        <v>7344</v>
      </c>
      <c r="P143" s="13">
        <v>390</v>
      </c>
      <c r="Q143" s="13">
        <v>7406</v>
      </c>
      <c r="R143" s="13">
        <v>2757</v>
      </c>
      <c r="S143" s="13">
        <v>9738</v>
      </c>
      <c r="T143" s="13">
        <v>12458</v>
      </c>
      <c r="U143" s="13">
        <v>100.63679999999999</v>
      </c>
      <c r="V143" s="13">
        <v>802</v>
      </c>
      <c r="W143" s="13">
        <v>7427</v>
      </c>
      <c r="X143" s="13">
        <v>4242</v>
      </c>
      <c r="Y143" s="13">
        <v>3358</v>
      </c>
      <c r="Z143" s="13">
        <v>649.09090909090901</v>
      </c>
      <c r="AA143" s="13">
        <v>2876</v>
      </c>
      <c r="AB143" s="13">
        <v>164</v>
      </c>
      <c r="AC143" s="13">
        <v>9544</v>
      </c>
      <c r="AD143" s="13">
        <v>4058.18</v>
      </c>
      <c r="AE143" s="13">
        <v>28.5</v>
      </c>
      <c r="AF143" s="13">
        <v>6835</v>
      </c>
    </row>
    <row r="144" spans="1:32" x14ac:dyDescent="0.2">
      <c r="A144" s="12">
        <v>45799</v>
      </c>
      <c r="B144" s="13">
        <v>5747</v>
      </c>
      <c r="C144" s="13">
        <v>1635</v>
      </c>
      <c r="D144" s="13">
        <v>134</v>
      </c>
      <c r="E144" s="13">
        <v>198</v>
      </c>
      <c r="F144" s="13">
        <v>104</v>
      </c>
      <c r="G144" s="13">
        <v>115</v>
      </c>
      <c r="H144" s="13">
        <v>8620.3430000000008</v>
      </c>
      <c r="I144" s="13">
        <v>580.65499999999997</v>
      </c>
      <c r="J144" s="13">
        <v>1761.367</v>
      </c>
      <c r="K144" s="13">
        <v>10789</v>
      </c>
      <c r="L144" s="13">
        <v>3533.6349999999998</v>
      </c>
      <c r="M144" s="13">
        <v>4162</v>
      </c>
      <c r="N144" s="13">
        <v>162</v>
      </c>
      <c r="O144" s="13">
        <v>8404.5</v>
      </c>
      <c r="P144" s="13">
        <v>350</v>
      </c>
      <c r="Q144" s="13">
        <v>7406</v>
      </c>
      <c r="R144" s="13">
        <v>3093</v>
      </c>
      <c r="S144" s="13">
        <v>9733</v>
      </c>
      <c r="T144" s="13">
        <v>12869</v>
      </c>
      <c r="U144" s="13">
        <v>106.92659999999999</v>
      </c>
      <c r="V144" s="13">
        <v>802</v>
      </c>
      <c r="W144" s="13">
        <v>7407</v>
      </c>
      <c r="X144" s="13">
        <v>4573</v>
      </c>
      <c r="Y144" s="13">
        <v>3350</v>
      </c>
      <c r="Z144" s="13">
        <v>578.18181818181813</v>
      </c>
      <c r="AA144" s="13">
        <v>2992</v>
      </c>
      <c r="AB144" s="13">
        <v>164</v>
      </c>
      <c r="AC144" s="13">
        <v>9275</v>
      </c>
      <c r="AD144" s="13">
        <v>4045.44</v>
      </c>
      <c r="AE144" s="13">
        <v>28.5</v>
      </c>
      <c r="AF144" s="13">
        <v>6866</v>
      </c>
    </row>
    <row r="145" spans="1:32" x14ac:dyDescent="0.2">
      <c r="A145" s="12">
        <v>45800</v>
      </c>
      <c r="B145" s="13">
        <v>5707</v>
      </c>
      <c r="C145" s="13">
        <v>1635</v>
      </c>
      <c r="D145" s="13">
        <v>134</v>
      </c>
      <c r="E145" s="13">
        <v>198</v>
      </c>
      <c r="F145" s="13">
        <v>104</v>
      </c>
      <c r="G145" s="13">
        <v>115</v>
      </c>
      <c r="H145" s="13">
        <v>8627.9189999999999</v>
      </c>
      <c r="I145" s="13">
        <v>669.71699999999998</v>
      </c>
      <c r="J145" s="13">
        <v>2119.4009999999998</v>
      </c>
      <c r="K145" s="13">
        <v>12636</v>
      </c>
      <c r="L145" s="13">
        <v>3706.9630000000002</v>
      </c>
      <c r="M145" s="13">
        <v>4316.4737500000001</v>
      </c>
      <c r="N145" s="13">
        <v>139.52625</v>
      </c>
      <c r="O145" s="13">
        <v>8259.5</v>
      </c>
      <c r="P145" s="13">
        <v>366</v>
      </c>
      <c r="Q145" s="13">
        <v>7484</v>
      </c>
      <c r="R145" s="13">
        <v>2655</v>
      </c>
      <c r="S145" s="13">
        <v>9689</v>
      </c>
      <c r="T145" s="13">
        <v>12955</v>
      </c>
      <c r="U145" s="13">
        <v>52.456931999999995</v>
      </c>
      <c r="V145" s="13">
        <v>802</v>
      </c>
      <c r="W145" s="13">
        <v>7426</v>
      </c>
      <c r="X145" s="13">
        <v>3889</v>
      </c>
      <c r="Y145" s="13">
        <v>3355</v>
      </c>
      <c r="Z145" s="13">
        <v>582</v>
      </c>
      <c r="AA145" s="13">
        <v>2995</v>
      </c>
      <c r="AB145" s="13">
        <v>164</v>
      </c>
      <c r="AC145" s="13">
        <v>9199</v>
      </c>
      <c r="AD145" s="13">
        <v>4046.91</v>
      </c>
      <c r="AE145" s="13">
        <v>28.5</v>
      </c>
      <c r="AF145" s="13">
        <v>6837</v>
      </c>
    </row>
    <row r="146" spans="1:32" x14ac:dyDescent="0.2">
      <c r="A146" s="12">
        <v>45801</v>
      </c>
      <c r="B146" s="13">
        <v>5680</v>
      </c>
      <c r="C146" s="13">
        <v>1635</v>
      </c>
      <c r="D146" s="13">
        <v>134</v>
      </c>
      <c r="E146" s="13">
        <v>198</v>
      </c>
      <c r="F146" s="13">
        <v>104</v>
      </c>
      <c r="G146" s="13">
        <v>115</v>
      </c>
      <c r="H146" s="13">
        <v>8645.4750000000004</v>
      </c>
      <c r="I146" s="13">
        <v>689.50300000000004</v>
      </c>
      <c r="J146" s="13">
        <v>2111.6280000000002</v>
      </c>
      <c r="K146" s="13">
        <v>12681</v>
      </c>
      <c r="L146" s="13">
        <v>3658.3939999999998</v>
      </c>
      <c r="M146" s="13">
        <v>8259.3024999999998</v>
      </c>
      <c r="N146" s="13">
        <v>90.697500000000005</v>
      </c>
      <c r="O146" s="13">
        <v>8896.5</v>
      </c>
      <c r="P146" s="13">
        <v>405</v>
      </c>
      <c r="Q146" s="13">
        <v>7492</v>
      </c>
      <c r="R146" s="13">
        <v>2295</v>
      </c>
      <c r="S146" s="13">
        <v>8876</v>
      </c>
      <c r="T146" s="13">
        <v>12188</v>
      </c>
      <c r="U146" s="13">
        <v>52.456931999999995</v>
      </c>
      <c r="V146" s="13">
        <v>802</v>
      </c>
      <c r="W146" s="13">
        <v>7461</v>
      </c>
      <c r="X146" s="13">
        <v>4419</v>
      </c>
      <c r="Y146" s="13">
        <v>3348</v>
      </c>
      <c r="Z146" s="13">
        <v>572</v>
      </c>
      <c r="AA146" s="13">
        <v>3516</v>
      </c>
      <c r="AB146" s="13">
        <v>164</v>
      </c>
      <c r="AC146" s="13">
        <v>9054</v>
      </c>
      <c r="AD146" s="13">
        <v>4049.36</v>
      </c>
      <c r="AE146" s="13">
        <v>28.5</v>
      </c>
      <c r="AF146" s="13">
        <v>7040</v>
      </c>
    </row>
    <row r="147" spans="1:32" x14ac:dyDescent="0.2">
      <c r="A147" s="12">
        <v>45802</v>
      </c>
      <c r="B147" s="13">
        <v>5717</v>
      </c>
      <c r="C147" s="13">
        <v>1635</v>
      </c>
      <c r="D147" s="13">
        <v>134</v>
      </c>
      <c r="E147" s="13">
        <v>198</v>
      </c>
      <c r="F147" s="13">
        <v>104</v>
      </c>
      <c r="G147" s="13">
        <v>115</v>
      </c>
      <c r="H147" s="13">
        <v>8461.8439999999991</v>
      </c>
      <c r="I147" s="13">
        <v>650.46500000000003</v>
      </c>
      <c r="J147" s="13">
        <v>2132.8879999999999</v>
      </c>
      <c r="K147" s="13">
        <v>12627</v>
      </c>
      <c r="L147" s="13">
        <v>3626.8029999999999</v>
      </c>
      <c r="M147" s="13">
        <v>8632.3125</v>
      </c>
      <c r="N147" s="13">
        <v>679.6875</v>
      </c>
      <c r="O147" s="13">
        <v>8217</v>
      </c>
      <c r="P147" s="13">
        <v>409</v>
      </c>
      <c r="Q147" s="13">
        <v>7453</v>
      </c>
      <c r="R147" s="13">
        <v>3250</v>
      </c>
      <c r="S147" s="13">
        <v>9488</v>
      </c>
      <c r="T147" s="13">
        <v>13356</v>
      </c>
      <c r="U147" s="13">
        <v>104.850966</v>
      </c>
      <c r="V147" s="13">
        <v>802</v>
      </c>
      <c r="W147" s="13">
        <v>6418</v>
      </c>
      <c r="X147" s="13">
        <v>4321</v>
      </c>
      <c r="Y147" s="13">
        <v>3351</v>
      </c>
      <c r="Z147" s="13">
        <v>587</v>
      </c>
      <c r="AA147" s="13">
        <v>2909</v>
      </c>
      <c r="AB147" s="13">
        <v>164</v>
      </c>
      <c r="AC147" s="13">
        <v>8791</v>
      </c>
      <c r="AD147" s="13">
        <v>4044.46</v>
      </c>
      <c r="AE147" s="13">
        <v>28.5</v>
      </c>
      <c r="AF147" s="13">
        <v>7145</v>
      </c>
    </row>
    <row r="148" spans="1:32" x14ac:dyDescent="0.2">
      <c r="A148" s="12">
        <v>45803</v>
      </c>
      <c r="B148" s="13">
        <v>5606</v>
      </c>
      <c r="C148" s="13">
        <v>1635</v>
      </c>
      <c r="D148" s="13">
        <v>134</v>
      </c>
      <c r="E148" s="13">
        <v>198</v>
      </c>
      <c r="F148" s="13">
        <v>104</v>
      </c>
      <c r="G148" s="13">
        <v>115</v>
      </c>
      <c r="H148" s="13">
        <v>8380.5759999999991</v>
      </c>
      <c r="I148" s="13">
        <v>633.68399999999997</v>
      </c>
      <c r="J148" s="13">
        <v>2020.615</v>
      </c>
      <c r="K148" s="13">
        <v>12578</v>
      </c>
      <c r="L148" s="13">
        <v>3607.125</v>
      </c>
      <c r="M148" s="13">
        <v>8867.0849999999991</v>
      </c>
      <c r="N148" s="13">
        <v>612.91499999999996</v>
      </c>
      <c r="O148" s="13">
        <v>8317</v>
      </c>
      <c r="P148" s="13">
        <v>405</v>
      </c>
      <c r="Q148" s="13">
        <v>7459</v>
      </c>
      <c r="R148" s="13">
        <v>3153</v>
      </c>
      <c r="S148" s="13">
        <v>9635</v>
      </c>
      <c r="T148" s="13">
        <v>14442</v>
      </c>
      <c r="U148" s="13">
        <v>104.850966</v>
      </c>
      <c r="V148" s="13">
        <v>802</v>
      </c>
      <c r="W148" s="13">
        <v>7581</v>
      </c>
      <c r="X148" s="13">
        <v>4059</v>
      </c>
      <c r="Y148" s="13">
        <v>3352</v>
      </c>
      <c r="Z148" s="13">
        <v>587.27272727272725</v>
      </c>
      <c r="AA148" s="13">
        <v>2843</v>
      </c>
      <c r="AB148" s="13">
        <v>164</v>
      </c>
      <c r="AC148" s="13">
        <v>8815</v>
      </c>
      <c r="AD148" s="13">
        <v>4040.54</v>
      </c>
      <c r="AE148" s="13">
        <v>28.5</v>
      </c>
      <c r="AF148" s="13">
        <v>7056</v>
      </c>
    </row>
    <row r="149" spans="1:32" x14ac:dyDescent="0.2">
      <c r="A149" s="12">
        <v>45804</v>
      </c>
      <c r="B149" s="13">
        <v>5707</v>
      </c>
      <c r="C149" s="13">
        <v>1635</v>
      </c>
      <c r="D149" s="13">
        <v>134</v>
      </c>
      <c r="E149" s="13">
        <v>198</v>
      </c>
      <c r="F149" s="13">
        <v>104</v>
      </c>
      <c r="G149" s="13">
        <v>115</v>
      </c>
      <c r="H149" s="13">
        <v>8459.6180000000004</v>
      </c>
      <c r="I149" s="13">
        <v>669.90200000000004</v>
      </c>
      <c r="J149" s="13">
        <v>1745.7429999999999</v>
      </c>
      <c r="K149" s="13">
        <v>12558</v>
      </c>
      <c r="L149" s="13">
        <v>3604.7370000000001</v>
      </c>
      <c r="M149" s="13">
        <v>8747.5912499999995</v>
      </c>
      <c r="N149" s="13">
        <v>600</v>
      </c>
      <c r="O149" s="13">
        <v>7892</v>
      </c>
      <c r="P149" s="13">
        <v>395</v>
      </c>
      <c r="Q149" s="13">
        <v>7496</v>
      </c>
      <c r="R149" s="13">
        <v>3087</v>
      </c>
      <c r="S149" s="13">
        <v>9566</v>
      </c>
      <c r="T149" s="13">
        <v>14759</v>
      </c>
      <c r="U149" s="13">
        <v>104.850966</v>
      </c>
      <c r="V149" s="13">
        <v>802</v>
      </c>
      <c r="W149" s="13">
        <v>7461</v>
      </c>
      <c r="X149" s="13">
        <v>4360</v>
      </c>
      <c r="Y149" s="13">
        <v>3346</v>
      </c>
      <c r="Z149" s="13">
        <v>576.36363636363626</v>
      </c>
      <c r="AA149" s="13">
        <v>2495</v>
      </c>
      <c r="AB149" s="13">
        <v>164</v>
      </c>
      <c r="AC149" s="13">
        <v>8824</v>
      </c>
      <c r="AD149" s="13">
        <v>4043.97</v>
      </c>
      <c r="AE149" s="13">
        <v>28.5</v>
      </c>
      <c r="AF149" s="13">
        <v>7166</v>
      </c>
    </row>
    <row r="150" spans="1:32" x14ac:dyDescent="0.2">
      <c r="A150" s="12">
        <v>45805</v>
      </c>
      <c r="B150" s="13">
        <v>5680</v>
      </c>
      <c r="C150" s="13">
        <v>1635</v>
      </c>
      <c r="D150" s="13">
        <v>134</v>
      </c>
      <c r="E150" s="13">
        <v>198</v>
      </c>
      <c r="F150" s="13">
        <v>104</v>
      </c>
      <c r="G150" s="13">
        <v>115</v>
      </c>
      <c r="H150" s="13">
        <v>8385</v>
      </c>
      <c r="I150" s="13">
        <v>616</v>
      </c>
      <c r="J150" s="13">
        <v>1856</v>
      </c>
      <c r="K150" s="13">
        <v>12599</v>
      </c>
      <c r="L150" s="13">
        <v>3594</v>
      </c>
      <c r="M150" s="13">
        <v>8824</v>
      </c>
      <c r="N150" s="13">
        <v>516</v>
      </c>
      <c r="O150" s="13">
        <v>8809</v>
      </c>
      <c r="P150" s="13">
        <v>400</v>
      </c>
      <c r="Q150" s="13">
        <v>7459</v>
      </c>
      <c r="R150" s="13">
        <v>2985</v>
      </c>
      <c r="S150" s="13">
        <v>9635</v>
      </c>
      <c r="T150" s="13">
        <v>14620</v>
      </c>
      <c r="U150" s="13">
        <v>104.850966</v>
      </c>
      <c r="V150" s="13">
        <v>803</v>
      </c>
      <c r="W150" s="13">
        <v>7513</v>
      </c>
      <c r="X150" s="13">
        <v>4175</v>
      </c>
      <c r="Y150" s="13">
        <v>3341</v>
      </c>
      <c r="Z150" s="13">
        <v>576.36363636363626</v>
      </c>
      <c r="AA150" s="13">
        <v>2834</v>
      </c>
      <c r="AB150" s="13">
        <v>164</v>
      </c>
      <c r="AC150" s="13">
        <v>8796</v>
      </c>
      <c r="AD150" s="13">
        <v>4042.99</v>
      </c>
      <c r="AE150" s="13">
        <v>28.5</v>
      </c>
      <c r="AF150" s="13">
        <v>7315</v>
      </c>
    </row>
    <row r="151" spans="1:32" x14ac:dyDescent="0.2">
      <c r="A151" s="12">
        <v>45806</v>
      </c>
      <c r="B151" s="13">
        <v>5604</v>
      </c>
      <c r="C151" s="13">
        <v>1635</v>
      </c>
      <c r="D151" s="13">
        <v>134</v>
      </c>
      <c r="E151" s="13">
        <v>198</v>
      </c>
      <c r="F151" s="13">
        <v>104</v>
      </c>
      <c r="G151" s="13">
        <v>115</v>
      </c>
      <c r="H151" s="13">
        <v>8530.7870000000003</v>
      </c>
      <c r="I151" s="13">
        <v>491.702</v>
      </c>
      <c r="J151" s="13">
        <v>1687.098</v>
      </c>
      <c r="K151" s="13">
        <v>12672</v>
      </c>
      <c r="L151" s="13">
        <v>3636.413</v>
      </c>
      <c r="M151" s="13">
        <v>8896.0212499999961</v>
      </c>
      <c r="N151" s="13">
        <v>404</v>
      </c>
      <c r="O151" s="13">
        <v>8278</v>
      </c>
      <c r="P151" s="13">
        <v>400</v>
      </c>
      <c r="Q151" s="13">
        <v>7476</v>
      </c>
      <c r="R151" s="13">
        <v>2973</v>
      </c>
      <c r="S151" s="13">
        <v>9581</v>
      </c>
      <c r="T151" s="13">
        <v>14680</v>
      </c>
      <c r="U151" s="13">
        <v>104.850966</v>
      </c>
      <c r="V151" s="13">
        <v>803</v>
      </c>
      <c r="W151" s="13">
        <v>7265</v>
      </c>
      <c r="X151" s="13">
        <v>4275</v>
      </c>
      <c r="Y151" s="13">
        <v>2968</v>
      </c>
      <c r="Z151" s="13">
        <v>550.90909090909088</v>
      </c>
      <c r="AA151" s="13">
        <v>3015</v>
      </c>
      <c r="AB151" s="13">
        <v>164</v>
      </c>
      <c r="AC151" s="13">
        <v>8758</v>
      </c>
      <c r="AD151" s="13">
        <v>4042.99</v>
      </c>
      <c r="AE151" s="13">
        <v>28.5</v>
      </c>
      <c r="AF151" s="13">
        <v>7315</v>
      </c>
    </row>
    <row r="152" spans="1:32" x14ac:dyDescent="0.2">
      <c r="A152" s="12">
        <v>45807</v>
      </c>
      <c r="B152" s="13">
        <v>5614</v>
      </c>
      <c r="C152" s="13">
        <v>1635</v>
      </c>
      <c r="D152" s="13">
        <v>134</v>
      </c>
      <c r="E152" s="13">
        <v>198</v>
      </c>
      <c r="F152" s="13">
        <v>104</v>
      </c>
      <c r="G152" s="13">
        <v>115</v>
      </c>
      <c r="H152" s="13">
        <v>8521.8719999999994</v>
      </c>
      <c r="I152" s="13">
        <v>531.29700000000003</v>
      </c>
      <c r="J152" s="13">
        <v>1799.9680000000001</v>
      </c>
      <c r="K152" s="13">
        <v>12668</v>
      </c>
      <c r="L152" s="13">
        <v>3720.6654447199999</v>
      </c>
      <c r="M152" s="13">
        <v>8959</v>
      </c>
      <c r="N152" s="13">
        <v>387</v>
      </c>
      <c r="O152" s="13">
        <v>8555</v>
      </c>
      <c r="P152" s="13">
        <v>388</v>
      </c>
      <c r="Q152" s="13">
        <v>7508</v>
      </c>
      <c r="R152" s="13">
        <v>2961</v>
      </c>
      <c r="S152" s="13">
        <v>9509</v>
      </c>
      <c r="T152" s="13">
        <v>14499</v>
      </c>
      <c r="U152" s="13">
        <v>113.21639999999999</v>
      </c>
      <c r="V152" s="13">
        <v>803</v>
      </c>
      <c r="W152" s="13">
        <v>7523</v>
      </c>
      <c r="X152" s="13">
        <v>4499</v>
      </c>
      <c r="Y152" s="13">
        <v>2705</v>
      </c>
      <c r="Z152" s="13">
        <v>556.36363636363637</v>
      </c>
      <c r="AA152" s="13">
        <v>2957</v>
      </c>
      <c r="AB152" s="13">
        <v>164</v>
      </c>
      <c r="AC152" s="13">
        <v>9484</v>
      </c>
      <c r="AD152" s="13">
        <v>4040.0499999999997</v>
      </c>
      <c r="AE152" s="13">
        <v>28.5</v>
      </c>
      <c r="AF152" s="13">
        <v>7470</v>
      </c>
    </row>
    <row r="153" spans="1:32" x14ac:dyDescent="0.2">
      <c r="A153" s="12">
        <v>45808</v>
      </c>
      <c r="B153" s="13">
        <v>5669</v>
      </c>
      <c r="C153" s="13">
        <v>1635</v>
      </c>
      <c r="D153" s="13">
        <v>134</v>
      </c>
      <c r="E153" s="13">
        <v>198</v>
      </c>
      <c r="F153" s="13">
        <v>104</v>
      </c>
      <c r="G153" s="13">
        <v>115</v>
      </c>
      <c r="H153" s="13">
        <v>8549.9969999999994</v>
      </c>
      <c r="I153" s="13">
        <v>561.822</v>
      </c>
      <c r="J153" s="13">
        <v>1964.123</v>
      </c>
      <c r="K153" s="13">
        <v>12674</v>
      </c>
      <c r="L153" s="13">
        <v>3761.63527092</v>
      </c>
      <c r="M153" s="13">
        <v>9035</v>
      </c>
      <c r="N153" s="13">
        <v>367</v>
      </c>
      <c r="O153" s="13">
        <v>7056</v>
      </c>
      <c r="P153" s="13">
        <v>289</v>
      </c>
      <c r="Q153" s="13">
        <v>7478</v>
      </c>
      <c r="R153" s="13">
        <v>2937</v>
      </c>
      <c r="S153" s="13">
        <v>9530</v>
      </c>
      <c r="T153" s="13">
        <v>13836</v>
      </c>
      <c r="U153" s="13">
        <v>50.318399999999997</v>
      </c>
      <c r="V153" s="13">
        <v>803</v>
      </c>
      <c r="W153" s="13">
        <v>7442</v>
      </c>
      <c r="X153" s="13">
        <v>4114</v>
      </c>
      <c r="Y153" s="13">
        <v>2712</v>
      </c>
      <c r="Z153" s="13">
        <v>560</v>
      </c>
      <c r="AA153" s="13">
        <v>3103</v>
      </c>
      <c r="AB153" s="13">
        <v>164</v>
      </c>
      <c r="AC153" s="13">
        <v>9805</v>
      </c>
      <c r="AD153" s="13">
        <v>4038.09</v>
      </c>
      <c r="AE153" s="13">
        <v>20</v>
      </c>
      <c r="AF153" s="13">
        <v>7230</v>
      </c>
    </row>
    <row r="154" spans="1:32" x14ac:dyDescent="0.2">
      <c r="A154" s="12">
        <v>45809</v>
      </c>
      <c r="B154" s="13">
        <f>7700-(C154+D154+E154+F154)</f>
        <v>5634</v>
      </c>
      <c r="C154" s="13">
        <v>1635</v>
      </c>
      <c r="D154" s="13">
        <v>134</v>
      </c>
      <c r="E154" s="13">
        <v>198</v>
      </c>
      <c r="F154" s="13">
        <v>99</v>
      </c>
      <c r="G154" s="13">
        <v>105</v>
      </c>
      <c r="H154" s="13">
        <v>8549.9969999999994</v>
      </c>
      <c r="I154" s="13">
        <v>561.822</v>
      </c>
      <c r="J154" s="13">
        <v>1964.123</v>
      </c>
      <c r="K154" s="13">
        <v>12674</v>
      </c>
      <c r="L154" s="13">
        <f>3456.63527092+305</f>
        <v>3761.63527092</v>
      </c>
      <c r="M154" s="13">
        <f>9329-N154</f>
        <v>8988</v>
      </c>
      <c r="N154" s="13">
        <v>341</v>
      </c>
      <c r="O154" s="13">
        <v>8510</v>
      </c>
      <c r="P154" s="13">
        <v>407</v>
      </c>
      <c r="Q154" s="13">
        <v>7506</v>
      </c>
      <c r="R154" s="13">
        <v>2895</v>
      </c>
      <c r="S154" s="13">
        <v>9582</v>
      </c>
      <c r="T154" s="13">
        <v>14173</v>
      </c>
      <c r="U154" s="13">
        <f>6*6.2898</f>
        <v>37.738799999999998</v>
      </c>
      <c r="V154" s="13">
        <v>838</v>
      </c>
      <c r="W154" s="13">
        <v>7515</v>
      </c>
      <c r="X154" s="13">
        <v>4285</v>
      </c>
      <c r="Y154" s="13">
        <v>2709</v>
      </c>
      <c r="Z154" s="13">
        <f>305/0.55</f>
        <v>554.5454545454545</v>
      </c>
      <c r="AA154" s="13">
        <v>4100</v>
      </c>
      <c r="AB154" s="13">
        <v>153</v>
      </c>
      <c r="AC154" s="13">
        <v>9478</v>
      </c>
      <c r="AD154" s="13">
        <f>8239*0.49</f>
        <v>4037.11</v>
      </c>
      <c r="AE154" s="13">
        <v>43</v>
      </c>
      <c r="AF154" s="13">
        <v>7358</v>
      </c>
    </row>
    <row r="155" spans="1:32" x14ac:dyDescent="0.2">
      <c r="A155" s="12">
        <v>45810</v>
      </c>
      <c r="B155" s="13">
        <f>7892-(C155+D155+E155+F155)</f>
        <v>5826</v>
      </c>
      <c r="C155" s="13">
        <v>1635</v>
      </c>
      <c r="D155" s="13">
        <v>134</v>
      </c>
      <c r="E155" s="13">
        <v>198</v>
      </c>
      <c r="F155" s="13">
        <v>99</v>
      </c>
      <c r="G155" s="13">
        <v>105</v>
      </c>
      <c r="H155" s="13">
        <v>8469.9349999999995</v>
      </c>
      <c r="I155" s="13">
        <v>501.38200000000001</v>
      </c>
      <c r="J155" s="13">
        <v>1771.693</v>
      </c>
      <c r="K155" s="13">
        <v>12657</v>
      </c>
      <c r="L155" s="13">
        <f>3304.64605604+283</f>
        <v>3587.6460560400001</v>
      </c>
      <c r="M155" s="13">
        <f>9543-N155</f>
        <v>9191</v>
      </c>
      <c r="N155" s="13">
        <v>352</v>
      </c>
      <c r="O155" s="13">
        <v>8164</v>
      </c>
      <c r="P155" s="13">
        <v>400</v>
      </c>
      <c r="Q155" s="13">
        <v>7479</v>
      </c>
      <c r="R155" s="13">
        <v>2835</v>
      </c>
      <c r="S155" s="13">
        <v>9487</v>
      </c>
      <c r="T155" s="13">
        <v>14012</v>
      </c>
      <c r="U155" s="13">
        <f>16*6.2898</f>
        <v>100.63679999999999</v>
      </c>
      <c r="V155" s="13">
        <v>865</v>
      </c>
      <c r="W155" s="13">
        <v>6614</v>
      </c>
      <c r="X155" s="13">
        <v>4592</v>
      </c>
      <c r="Y155" s="13">
        <v>2709</v>
      </c>
      <c r="Z155" s="13">
        <f>294/0.55</f>
        <v>534.5454545454545</v>
      </c>
      <c r="AA155" s="13">
        <v>3577</v>
      </c>
      <c r="AB155" s="13">
        <v>153</v>
      </c>
      <c r="AC155" s="13">
        <v>9334</v>
      </c>
      <c r="AD155" s="13">
        <f>8217*0.49</f>
        <v>4026.33</v>
      </c>
      <c r="AE155" s="13">
        <v>35.5</v>
      </c>
      <c r="AF155" s="13">
        <v>7537</v>
      </c>
    </row>
    <row r="156" spans="1:32" x14ac:dyDescent="0.2">
      <c r="A156" s="12">
        <v>45811</v>
      </c>
      <c r="B156" s="13">
        <f>7920-(C156+D156+E156+F156)</f>
        <v>5854</v>
      </c>
      <c r="C156" s="13">
        <v>1635</v>
      </c>
      <c r="D156" s="13">
        <v>134</v>
      </c>
      <c r="E156" s="13">
        <v>198</v>
      </c>
      <c r="F156" s="13">
        <v>99</v>
      </c>
      <c r="G156" s="13">
        <v>105</v>
      </c>
      <c r="H156" s="13">
        <v>8495.48</v>
      </c>
      <c r="I156" s="13">
        <v>601.11800000000005</v>
      </c>
      <c r="J156" s="13">
        <v>2086.7739999999999</v>
      </c>
      <c r="K156" s="13">
        <v>12637</v>
      </c>
      <c r="L156" s="13">
        <f>3228.4817996+283</f>
        <v>3511.4817996000002</v>
      </c>
      <c r="M156" s="13">
        <f>9700-N156</f>
        <v>9356</v>
      </c>
      <c r="N156" s="13">
        <v>344</v>
      </c>
      <c r="O156" s="13">
        <v>8033</v>
      </c>
      <c r="P156" s="13">
        <v>395</v>
      </c>
      <c r="Q156" s="13">
        <v>7504</v>
      </c>
      <c r="R156" s="13">
        <v>2763</v>
      </c>
      <c r="S156" s="13">
        <v>9420</v>
      </c>
      <c r="T156" s="13">
        <v>14114</v>
      </c>
      <c r="U156" s="13">
        <f>12*6.2898</f>
        <v>75.477599999999995</v>
      </c>
      <c r="V156" s="13">
        <v>819</v>
      </c>
      <c r="W156" s="13">
        <v>3262</v>
      </c>
      <c r="X156" s="13">
        <v>4065</v>
      </c>
      <c r="Y156" s="13">
        <v>2699</v>
      </c>
      <c r="Z156" s="13">
        <f>190/0.55</f>
        <v>345.45454545454544</v>
      </c>
      <c r="AA156" s="13">
        <v>3220</v>
      </c>
      <c r="AB156" s="13">
        <v>153</v>
      </c>
      <c r="AC156" s="13">
        <v>9260</v>
      </c>
      <c r="AD156" s="13">
        <f>8263*0.49</f>
        <v>4048.87</v>
      </c>
      <c r="AE156" s="13">
        <v>35.5</v>
      </c>
      <c r="AF156" s="13">
        <v>7442</v>
      </c>
    </row>
    <row r="157" spans="1:32" x14ac:dyDescent="0.2">
      <c r="A157" s="12">
        <v>45812</v>
      </c>
      <c r="B157" s="13">
        <f>8006-(C157+D157+E157+F157)</f>
        <v>5940</v>
      </c>
      <c r="C157" s="13">
        <v>1635</v>
      </c>
      <c r="D157" s="13">
        <v>134</v>
      </c>
      <c r="E157" s="13">
        <v>198</v>
      </c>
      <c r="F157" s="13">
        <v>99</v>
      </c>
      <c r="G157" s="13">
        <v>105</v>
      </c>
      <c r="H157" s="13">
        <v>8503.0879999999997</v>
      </c>
      <c r="I157" s="13">
        <v>676.88</v>
      </c>
      <c r="J157" s="13">
        <v>2173.7750000000001</v>
      </c>
      <c r="K157" s="13">
        <v>12621</v>
      </c>
      <c r="L157" s="13">
        <f>3244.74789724+286</f>
        <v>3530.7478972399999</v>
      </c>
      <c r="M157" s="13">
        <f>9543-N157</f>
        <v>9202</v>
      </c>
      <c r="N157" s="13">
        <v>341</v>
      </c>
      <c r="O157" s="13">
        <v>8637</v>
      </c>
      <c r="P157" s="13">
        <v>412</v>
      </c>
      <c r="Q157" s="13">
        <v>7495</v>
      </c>
      <c r="R157" s="13">
        <v>2830</v>
      </c>
      <c r="S157" s="13">
        <v>9518</v>
      </c>
      <c r="T157" s="13">
        <v>14072</v>
      </c>
      <c r="U157" s="13">
        <f>6*6.2898</f>
        <v>37.738799999999998</v>
      </c>
      <c r="V157" s="13">
        <v>748</v>
      </c>
      <c r="W157" s="13">
        <v>0</v>
      </c>
      <c r="X157" s="13">
        <v>4372</v>
      </c>
      <c r="Y157" s="13">
        <v>2687</v>
      </c>
      <c r="Z157" s="13">
        <f>303/0.55</f>
        <v>550.90909090909088</v>
      </c>
      <c r="AA157" s="13">
        <v>3265</v>
      </c>
      <c r="AB157" s="13">
        <v>153</v>
      </c>
      <c r="AC157" s="13">
        <v>9220</v>
      </c>
      <c r="AD157" s="13">
        <f>8263*0.49</f>
        <v>4048.87</v>
      </c>
      <c r="AE157" s="13">
        <v>35.5</v>
      </c>
      <c r="AF157" s="13">
        <v>7267</v>
      </c>
    </row>
    <row r="158" spans="1:32" x14ac:dyDescent="0.2">
      <c r="A158" s="12">
        <v>45813</v>
      </c>
      <c r="B158" s="13">
        <f>7977-(C158+D158+E158+F158)</f>
        <v>5911</v>
      </c>
      <c r="C158" s="13">
        <v>1635</v>
      </c>
      <c r="D158" s="13">
        <v>134</v>
      </c>
      <c r="E158" s="13">
        <v>198</v>
      </c>
      <c r="F158" s="13">
        <v>99</v>
      </c>
      <c r="G158" s="13">
        <v>105</v>
      </c>
      <c r="H158" s="13">
        <v>8395.19</v>
      </c>
      <c r="I158" s="13">
        <v>625.68600000000004</v>
      </c>
      <c r="J158" s="13">
        <v>1867.0419999999999</v>
      </c>
      <c r="K158" s="13">
        <v>12609</v>
      </c>
      <c r="L158" s="13">
        <f>3335.40373424+299</f>
        <v>3634.4037342400002</v>
      </c>
      <c r="M158" s="13">
        <f>9120-N158</f>
        <v>8779</v>
      </c>
      <c r="N158" s="13">
        <v>341</v>
      </c>
      <c r="O158" s="13">
        <v>8299</v>
      </c>
      <c r="P158" s="13">
        <v>398</v>
      </c>
      <c r="Q158" s="13">
        <v>7451</v>
      </c>
      <c r="R158" s="13">
        <v>2841</v>
      </c>
      <c r="S158" s="13">
        <v>9525</v>
      </c>
      <c r="T158" s="13">
        <v>14270</v>
      </c>
      <c r="U158" s="13">
        <f>6*6.2898</f>
        <v>37.738799999999998</v>
      </c>
      <c r="V158" s="13">
        <v>779</v>
      </c>
      <c r="W158" s="13">
        <v>0</v>
      </c>
      <c r="X158" s="13">
        <v>4275</v>
      </c>
      <c r="Y158" s="13">
        <v>2685</v>
      </c>
      <c r="Z158" s="13">
        <f>304/0.55</f>
        <v>552.72727272727263</v>
      </c>
      <c r="AA158" s="13">
        <v>3226</v>
      </c>
      <c r="AB158" s="13">
        <v>153</v>
      </c>
      <c r="AC158" s="13">
        <v>9216</v>
      </c>
      <c r="AD158" s="13">
        <f>8260*0.49</f>
        <v>4047.4</v>
      </c>
      <c r="AE158" s="13">
        <v>35.5</v>
      </c>
      <c r="AF158" s="13">
        <v>7339</v>
      </c>
    </row>
    <row r="159" spans="1:32" x14ac:dyDescent="0.2">
      <c r="A159" s="12">
        <v>45814</v>
      </c>
      <c r="B159" s="13">
        <f>7983-(C159+D159+E159+F159)</f>
        <v>5917</v>
      </c>
      <c r="C159" s="13">
        <v>1635</v>
      </c>
      <c r="D159" s="13">
        <v>134</v>
      </c>
      <c r="E159" s="13">
        <v>198</v>
      </c>
      <c r="F159" s="13">
        <v>99</v>
      </c>
      <c r="G159" s="13">
        <v>105</v>
      </c>
      <c r="H159" s="13">
        <v>8521</v>
      </c>
      <c r="I159" s="13">
        <v>671</v>
      </c>
      <c r="J159" s="13">
        <v>1919</v>
      </c>
      <c r="K159" s="13">
        <v>12602</v>
      </c>
      <c r="L159" s="13">
        <v>3704</v>
      </c>
      <c r="M159" s="13">
        <v>8915</v>
      </c>
      <c r="N159" s="13">
        <v>324</v>
      </c>
      <c r="O159" s="13">
        <v>8712</v>
      </c>
      <c r="P159" s="13">
        <v>414</v>
      </c>
      <c r="Q159" s="13">
        <v>6606</v>
      </c>
      <c r="R159" s="13">
        <v>2799</v>
      </c>
      <c r="S159" s="13">
        <v>9457</v>
      </c>
      <c r="T159" s="13">
        <v>14022</v>
      </c>
      <c r="U159" s="13">
        <f>12*6.2898</f>
        <v>75.477599999999995</v>
      </c>
      <c r="V159" s="13">
        <v>825</v>
      </c>
      <c r="W159" s="13">
        <v>0</v>
      </c>
      <c r="X159" s="13">
        <v>4226</v>
      </c>
      <c r="Y159" s="13">
        <v>2689</v>
      </c>
      <c r="Z159" s="13">
        <f>310/0.55</f>
        <v>563.63636363636363</v>
      </c>
      <c r="AA159" s="13">
        <v>3285</v>
      </c>
      <c r="AB159" s="13">
        <v>153</v>
      </c>
      <c r="AC159" s="13">
        <v>9330</v>
      </c>
      <c r="AD159" s="13">
        <f>8278*0.49</f>
        <v>4056.22</v>
      </c>
      <c r="AE159" s="13">
        <v>35.5</v>
      </c>
      <c r="AF159" s="13">
        <v>7238</v>
      </c>
    </row>
    <row r="160" spans="1:32" x14ac:dyDescent="0.2">
      <c r="A160" s="12">
        <v>45815</v>
      </c>
      <c r="B160" s="13">
        <f>7980-(C160+D160+E160+F160)</f>
        <v>5914</v>
      </c>
      <c r="C160" s="13">
        <v>1635</v>
      </c>
      <c r="D160" s="13">
        <v>134</v>
      </c>
      <c r="E160" s="13">
        <v>198</v>
      </c>
      <c r="F160" s="13">
        <v>99</v>
      </c>
      <c r="G160" s="13">
        <v>105</v>
      </c>
      <c r="H160" s="13">
        <v>8407</v>
      </c>
      <c r="I160" s="13">
        <v>670</v>
      </c>
      <c r="J160" s="13">
        <v>1862</v>
      </c>
      <c r="K160" s="13">
        <v>12607</v>
      </c>
      <c r="L160" s="13">
        <v>3688</v>
      </c>
      <c r="M160" s="13">
        <v>8904</v>
      </c>
      <c r="N160" s="13">
        <v>307</v>
      </c>
      <c r="O160" s="13">
        <v>8708</v>
      </c>
      <c r="P160" s="13">
        <v>410</v>
      </c>
      <c r="Q160" s="13">
        <v>6691</v>
      </c>
      <c r="R160" s="13">
        <v>2793</v>
      </c>
      <c r="S160" s="13">
        <v>9330</v>
      </c>
      <c r="T160" s="13">
        <v>14781</v>
      </c>
      <c r="U160" s="13">
        <f>12*6.2898</f>
        <v>75.477599999999995</v>
      </c>
      <c r="V160" s="13">
        <v>787</v>
      </c>
      <c r="W160" s="13">
        <v>0</v>
      </c>
      <c r="X160" s="13">
        <v>4283</v>
      </c>
      <c r="Y160" s="13">
        <v>2691</v>
      </c>
      <c r="Z160" s="13">
        <f>309/0.55</f>
        <v>561.81818181818176</v>
      </c>
      <c r="AA160" s="13">
        <v>3261</v>
      </c>
      <c r="AB160" s="13">
        <v>153</v>
      </c>
      <c r="AC160" s="13">
        <v>9162</v>
      </c>
      <c r="AD160" s="13">
        <f>8248*0.49</f>
        <v>4041.52</v>
      </c>
      <c r="AE160" s="13">
        <v>35.5</v>
      </c>
      <c r="AF160" s="13">
        <v>7133</v>
      </c>
    </row>
    <row r="161" spans="1:32" x14ac:dyDescent="0.2">
      <c r="A161" s="12">
        <v>45816</v>
      </c>
      <c r="B161" s="13">
        <f>7984-(C161+D161+E161+F161)</f>
        <v>5918</v>
      </c>
      <c r="C161" s="13">
        <v>1635</v>
      </c>
      <c r="D161" s="13">
        <v>134</v>
      </c>
      <c r="E161" s="13">
        <v>198</v>
      </c>
      <c r="F161" s="13">
        <v>99</v>
      </c>
      <c r="G161" s="13">
        <v>105</v>
      </c>
      <c r="H161" s="13">
        <v>8314</v>
      </c>
      <c r="I161" s="13">
        <v>694</v>
      </c>
      <c r="J161" s="13">
        <v>1780</v>
      </c>
      <c r="K161" s="13">
        <v>12600</v>
      </c>
      <c r="L161" s="13">
        <v>3633</v>
      </c>
      <c r="M161" s="13">
        <v>9009</v>
      </c>
      <c r="N161" s="13">
        <v>338</v>
      </c>
      <c r="O161" s="13">
        <v>9092</v>
      </c>
      <c r="P161" s="13">
        <v>440</v>
      </c>
      <c r="Q161" s="13">
        <v>6630</v>
      </c>
      <c r="R161" s="13">
        <v>2637</v>
      </c>
      <c r="S161" s="13">
        <v>9317</v>
      </c>
      <c r="T161" s="13">
        <v>14578</v>
      </c>
      <c r="U161" s="13">
        <f>18*6.2898</f>
        <v>113.21639999999999</v>
      </c>
      <c r="V161" s="13">
        <v>828</v>
      </c>
      <c r="W161" s="13">
        <v>0</v>
      </c>
      <c r="X161" s="13">
        <v>4261</v>
      </c>
      <c r="Y161" s="13">
        <v>2693</v>
      </c>
      <c r="Z161" s="13">
        <f>294/0.55</f>
        <v>534.5454545454545</v>
      </c>
      <c r="AA161" s="13">
        <v>3224</v>
      </c>
      <c r="AB161" s="13">
        <v>153</v>
      </c>
      <c r="AC161" s="13">
        <v>8808</v>
      </c>
      <c r="AD161" s="13">
        <f>8260*0.49</f>
        <v>4047.4</v>
      </c>
      <c r="AE161" s="13">
        <v>35.5</v>
      </c>
      <c r="AF161" s="13">
        <v>6945</v>
      </c>
    </row>
    <row r="162" spans="1:32" x14ac:dyDescent="0.2">
      <c r="A162" s="12">
        <v>45817</v>
      </c>
      <c r="B162" s="13">
        <f>7980-(C162+D162+E162+F162)</f>
        <v>5914</v>
      </c>
      <c r="C162" s="13">
        <v>1635</v>
      </c>
      <c r="D162" s="13">
        <v>134</v>
      </c>
      <c r="E162" s="13">
        <v>198</v>
      </c>
      <c r="F162" s="13">
        <v>99</v>
      </c>
      <c r="G162" s="13">
        <v>105</v>
      </c>
      <c r="H162" s="13">
        <v>8438.1929999999993</v>
      </c>
      <c r="I162" s="13">
        <v>710.71299999999997</v>
      </c>
      <c r="J162" s="13">
        <v>1959.165</v>
      </c>
      <c r="K162" s="13">
        <v>12592</v>
      </c>
      <c r="L162" s="13">
        <f>3259.30522076+288</f>
        <v>3547.3052207599999</v>
      </c>
      <c r="M162" s="13">
        <f>9107-N162</f>
        <v>8775</v>
      </c>
      <c r="N162" s="13">
        <v>332</v>
      </c>
      <c r="O162" s="13">
        <v>9274</v>
      </c>
      <c r="P162" s="13">
        <v>414</v>
      </c>
      <c r="Q162" s="13">
        <v>6679</v>
      </c>
      <c r="R162" s="13">
        <v>2727</v>
      </c>
      <c r="S162" s="13">
        <v>9343</v>
      </c>
      <c r="T162" s="13">
        <v>14513</v>
      </c>
      <c r="U162" s="13">
        <f>13*6.2898</f>
        <v>81.767399999999995</v>
      </c>
      <c r="V162" s="13">
        <v>828</v>
      </c>
      <c r="W162" s="13">
        <v>0</v>
      </c>
      <c r="X162" s="13">
        <v>4664</v>
      </c>
      <c r="Y162" s="13">
        <v>2695</v>
      </c>
      <c r="Z162" s="13">
        <f>305/0.55</f>
        <v>554.5454545454545</v>
      </c>
      <c r="AA162" s="13">
        <v>3659</v>
      </c>
      <c r="AB162" s="13">
        <v>153</v>
      </c>
      <c r="AC162" s="13">
        <v>9445</v>
      </c>
      <c r="AD162" s="13">
        <f>8194*0.49</f>
        <v>4015.06</v>
      </c>
      <c r="AE162" s="13">
        <v>35.5</v>
      </c>
      <c r="AF162" s="13">
        <v>6983</v>
      </c>
    </row>
    <row r="163" spans="1:32" x14ac:dyDescent="0.2">
      <c r="A163" s="12">
        <v>45818</v>
      </c>
      <c r="B163" s="13">
        <f>7970-(C163+D163+E163+F163)</f>
        <v>5904</v>
      </c>
      <c r="C163" s="13">
        <v>1635</v>
      </c>
      <c r="D163" s="13">
        <v>134</v>
      </c>
      <c r="E163" s="13">
        <v>198</v>
      </c>
      <c r="F163" s="13">
        <v>99</v>
      </c>
      <c r="G163" s="13">
        <v>105</v>
      </c>
      <c r="H163" s="13">
        <v>8459</v>
      </c>
      <c r="I163" s="13">
        <v>695</v>
      </c>
      <c r="J163" s="13">
        <v>1955</v>
      </c>
      <c r="K163" s="13">
        <v>12575</v>
      </c>
      <c r="L163" s="13">
        <v>3524</v>
      </c>
      <c r="M163" s="13">
        <v>8796</v>
      </c>
      <c r="N163" s="13">
        <v>336</v>
      </c>
      <c r="O163" s="13">
        <v>9077</v>
      </c>
      <c r="P163" s="13">
        <v>402</v>
      </c>
      <c r="Q163" s="13">
        <v>7122</v>
      </c>
      <c r="R163" s="13">
        <v>2823</v>
      </c>
      <c r="S163" s="13">
        <v>10030</v>
      </c>
      <c r="T163" s="13">
        <v>13356</v>
      </c>
      <c r="U163" s="13">
        <f>10*6.2898</f>
        <v>62.897999999999996</v>
      </c>
      <c r="V163" s="13">
        <v>828</v>
      </c>
      <c r="W163" s="13">
        <v>0</v>
      </c>
      <c r="X163" s="13">
        <v>4136</v>
      </c>
      <c r="Y163" s="13">
        <v>2691</v>
      </c>
      <c r="Z163" s="13">
        <f>315/0.55</f>
        <v>572.72727272727263</v>
      </c>
      <c r="AA163" s="13">
        <v>4135</v>
      </c>
      <c r="AB163" s="13">
        <v>153</v>
      </c>
      <c r="AC163" s="13">
        <v>8920</v>
      </c>
      <c r="AD163" s="13">
        <f>8007*0.49</f>
        <v>3923.43</v>
      </c>
      <c r="AE163" s="13">
        <v>35.5</v>
      </c>
      <c r="AF163" s="13">
        <v>7009</v>
      </c>
    </row>
    <row r="164" spans="1:32" x14ac:dyDescent="0.2">
      <c r="A164" s="12">
        <v>45819</v>
      </c>
      <c r="B164" s="13">
        <f>7859-(C164+D164+E164+F164)</f>
        <v>5793</v>
      </c>
      <c r="C164" s="13">
        <v>1635</v>
      </c>
      <c r="D164" s="13">
        <v>134</v>
      </c>
      <c r="E164" s="13">
        <v>198</v>
      </c>
      <c r="F164" s="13">
        <v>99</v>
      </c>
      <c r="G164" s="13">
        <v>105</v>
      </c>
      <c r="H164" s="13">
        <v>9865.4169999999995</v>
      </c>
      <c r="I164" s="13">
        <v>660.37099999999998</v>
      </c>
      <c r="J164" s="13">
        <v>1851.42</v>
      </c>
      <c r="K164" s="13">
        <v>12605</v>
      </c>
      <c r="L164" s="13">
        <f>3234.3575382+278</f>
        <v>3512.3575381999999</v>
      </c>
      <c r="M164" s="13">
        <f>9303-N164</f>
        <v>8971</v>
      </c>
      <c r="N164" s="13">
        <v>332</v>
      </c>
      <c r="O164" s="13">
        <v>9536</v>
      </c>
      <c r="P164" s="13">
        <v>404</v>
      </c>
      <c r="Q164" s="13">
        <v>5226</v>
      </c>
      <c r="R164" s="13">
        <v>2721</v>
      </c>
      <c r="S164" s="13">
        <v>10026</v>
      </c>
      <c r="T164" s="13">
        <v>14614</v>
      </c>
      <c r="U164" s="13">
        <f>17*6.2898</f>
        <v>106.92659999999999</v>
      </c>
      <c r="V164" s="13">
        <v>828</v>
      </c>
      <c r="W164" s="13">
        <v>0</v>
      </c>
      <c r="X164" s="13">
        <v>4246</v>
      </c>
      <c r="Y164" s="13">
        <v>2689</v>
      </c>
      <c r="Z164" s="13">
        <f>309/0.55</f>
        <v>561.81818181818176</v>
      </c>
      <c r="AA164" s="13">
        <v>3312</v>
      </c>
      <c r="AB164" s="13">
        <v>153</v>
      </c>
      <c r="AC164" s="13">
        <v>9088</v>
      </c>
      <c r="AD164" s="13">
        <f>8248*0.49</f>
        <v>4041.52</v>
      </c>
      <c r="AE164" s="13">
        <v>35.5</v>
      </c>
      <c r="AF164" s="13">
        <v>7029</v>
      </c>
    </row>
    <row r="165" spans="1:32" x14ac:dyDescent="0.2">
      <c r="A165" s="12">
        <v>45820</v>
      </c>
      <c r="B165" s="13">
        <f>7879-(C165+D165+E165+F165)</f>
        <v>5813</v>
      </c>
      <c r="C165" s="13">
        <v>1635</v>
      </c>
      <c r="D165" s="13">
        <v>134</v>
      </c>
      <c r="E165" s="13">
        <v>198</v>
      </c>
      <c r="F165" s="13">
        <v>99</v>
      </c>
      <c r="G165" s="13">
        <v>105</v>
      </c>
      <c r="H165" s="13">
        <v>8379.741</v>
      </c>
      <c r="I165" s="13">
        <v>706.71600000000001</v>
      </c>
      <c r="J165" s="13">
        <v>1998.1969999999999</v>
      </c>
      <c r="K165" s="13">
        <v>12582</v>
      </c>
      <c r="L165" s="13">
        <f>3268.02134884+281</f>
        <v>3549.02134884</v>
      </c>
      <c r="M165" s="13">
        <f>9306-N165</f>
        <v>8955</v>
      </c>
      <c r="N165" s="13">
        <v>351</v>
      </c>
      <c r="O165" s="13">
        <v>8497</v>
      </c>
      <c r="P165" s="13">
        <v>396</v>
      </c>
      <c r="Q165" s="13">
        <v>5802</v>
      </c>
      <c r="R165" s="13">
        <v>2631</v>
      </c>
      <c r="S165" s="13">
        <v>10107</v>
      </c>
      <c r="T165" s="13">
        <v>14785</v>
      </c>
      <c r="U165" s="13">
        <v>0</v>
      </c>
      <c r="V165" s="13">
        <v>828</v>
      </c>
      <c r="W165" s="13">
        <v>0</v>
      </c>
      <c r="X165" s="13">
        <v>4283</v>
      </c>
      <c r="Y165" s="13">
        <v>2689</v>
      </c>
      <c r="Z165" s="13">
        <f>337/0.55</f>
        <v>612.72727272727263</v>
      </c>
      <c r="AA165" s="13">
        <v>3249</v>
      </c>
      <c r="AB165" s="13">
        <v>153</v>
      </c>
      <c r="AC165" s="13">
        <v>8882</v>
      </c>
      <c r="AD165" s="13">
        <f>8254*0.49</f>
        <v>4044.46</v>
      </c>
      <c r="AE165" s="13">
        <v>35.5</v>
      </c>
      <c r="AF165" s="13">
        <v>6786</v>
      </c>
    </row>
    <row r="166" spans="1:32" x14ac:dyDescent="0.2">
      <c r="A166" s="12">
        <v>45821</v>
      </c>
      <c r="B166" s="13">
        <f>7813-(C166+D166+E166+F166)</f>
        <v>5747</v>
      </c>
      <c r="C166" s="13">
        <v>1635</v>
      </c>
      <c r="D166" s="13">
        <v>134</v>
      </c>
      <c r="E166" s="13">
        <v>198</v>
      </c>
      <c r="F166" s="13">
        <v>99</v>
      </c>
      <c r="G166" s="13">
        <v>105</v>
      </c>
      <c r="H166" s="13">
        <v>8452</v>
      </c>
      <c r="I166" s="13">
        <v>696</v>
      </c>
      <c r="J166" s="13">
        <v>1990</v>
      </c>
      <c r="K166" s="13">
        <v>12589</v>
      </c>
      <c r="L166" s="13">
        <v>3540</v>
      </c>
      <c r="M166" s="13">
        <f>9302-N166</f>
        <v>8958</v>
      </c>
      <c r="N166" s="13">
        <v>344</v>
      </c>
      <c r="O166" s="13">
        <v>9068</v>
      </c>
      <c r="P166" s="13">
        <v>384</v>
      </c>
      <c r="Q166" s="13">
        <v>6686</v>
      </c>
      <c r="R166" s="13">
        <v>2529</v>
      </c>
      <c r="S166" s="13">
        <v>9777</v>
      </c>
      <c r="T166" s="13">
        <v>14444</v>
      </c>
      <c r="U166" s="13">
        <f>10*6.2898</f>
        <v>62.897999999999996</v>
      </c>
      <c r="V166" s="13">
        <v>828</v>
      </c>
      <c r="W166" s="13">
        <v>0</v>
      </c>
      <c r="X166" s="13">
        <v>4273</v>
      </c>
      <c r="Y166" s="13">
        <v>3012</v>
      </c>
      <c r="Z166" s="13">
        <f>249/0.55</f>
        <v>452.72727272727269</v>
      </c>
      <c r="AA166" s="13">
        <v>3254</v>
      </c>
      <c r="AB166" s="13">
        <v>153</v>
      </c>
      <c r="AC166" s="13">
        <v>8774</v>
      </c>
      <c r="AD166" s="13">
        <f>8255*0.49</f>
        <v>4044.95</v>
      </c>
      <c r="AE166" s="13">
        <v>35.5</v>
      </c>
      <c r="AF166" s="13">
        <v>7078</v>
      </c>
    </row>
    <row r="167" spans="1:32" x14ac:dyDescent="0.2">
      <c r="A167" s="12">
        <v>45822</v>
      </c>
      <c r="B167" s="13">
        <f>7824-(C167+D167+E167+F167)</f>
        <v>5758</v>
      </c>
      <c r="C167" s="13">
        <v>1635</v>
      </c>
      <c r="D167" s="13">
        <v>134</v>
      </c>
      <c r="E167" s="13">
        <v>198</v>
      </c>
      <c r="F167" s="13">
        <v>99</v>
      </c>
      <c r="G167" s="13">
        <v>105</v>
      </c>
      <c r="H167" s="13">
        <v>8268</v>
      </c>
      <c r="I167" s="13">
        <v>671</v>
      </c>
      <c r="J167" s="13">
        <v>1920</v>
      </c>
      <c r="K167" s="13">
        <v>12607</v>
      </c>
      <c r="L167" s="13">
        <v>3535</v>
      </c>
      <c r="M167" s="13">
        <f>9306-N167</f>
        <v>8955</v>
      </c>
      <c r="N167" s="13">
        <v>351</v>
      </c>
      <c r="O167" s="13">
        <v>9214</v>
      </c>
      <c r="P167" s="13">
        <v>394</v>
      </c>
      <c r="Q167" s="13">
        <v>6746</v>
      </c>
      <c r="R167" s="13">
        <v>2553</v>
      </c>
      <c r="S167" s="13">
        <v>9410</v>
      </c>
      <c r="T167" s="13">
        <v>14557</v>
      </c>
      <c r="U167" s="13">
        <f>17*6.2898</f>
        <v>106.92659999999999</v>
      </c>
      <c r="V167" s="13">
        <v>828</v>
      </c>
      <c r="W167" s="13">
        <v>0</v>
      </c>
      <c r="X167" s="13">
        <v>4236</v>
      </c>
      <c r="Y167" s="13">
        <v>3224</v>
      </c>
      <c r="Z167" s="13">
        <f>315/0.55</f>
        <v>572.72727272727263</v>
      </c>
      <c r="AA167" s="13">
        <v>3301</v>
      </c>
      <c r="AB167" s="13">
        <v>153</v>
      </c>
      <c r="AC167" s="13">
        <v>8940</v>
      </c>
      <c r="AD167" s="13">
        <f>8256*0.49</f>
        <v>4045.44</v>
      </c>
      <c r="AE167" s="13">
        <v>35.5</v>
      </c>
      <c r="AF167" s="13">
        <v>7170</v>
      </c>
    </row>
    <row r="168" spans="1:32" x14ac:dyDescent="0.2">
      <c r="A168" s="12">
        <v>45823</v>
      </c>
      <c r="B168" s="13">
        <f>7883-(C168+D168+E168+F168)</f>
        <v>5817</v>
      </c>
      <c r="C168" s="13">
        <v>1635</v>
      </c>
      <c r="D168" s="13">
        <v>134</v>
      </c>
      <c r="E168" s="13">
        <v>198</v>
      </c>
      <c r="F168" s="13">
        <v>99</v>
      </c>
      <c r="G168" s="13">
        <v>105</v>
      </c>
      <c r="H168" s="13">
        <v>8277.5339999999997</v>
      </c>
      <c r="I168" s="13">
        <v>705.53200000000004</v>
      </c>
      <c r="J168" s="13">
        <v>1893.1279999999999</v>
      </c>
      <c r="K168" s="13">
        <v>12596</v>
      </c>
      <c r="L168" s="13">
        <f>3255.32560244+279</f>
        <v>3534.3256024399998</v>
      </c>
      <c r="M168" s="13">
        <f>9475-N168</f>
        <v>9117</v>
      </c>
      <c r="N168" s="13">
        <v>358</v>
      </c>
      <c r="O168" s="13">
        <v>8424</v>
      </c>
      <c r="P168" s="13">
        <v>367</v>
      </c>
      <c r="Q168" s="13">
        <v>7239</v>
      </c>
      <c r="R168" s="13">
        <v>2529</v>
      </c>
      <c r="S168" s="13">
        <v>9727</v>
      </c>
      <c r="T168" s="13">
        <v>15030</v>
      </c>
      <c r="U168" s="13">
        <f>3.4*6.2898</f>
        <v>21.385319999999997</v>
      </c>
      <c r="V168" s="13">
        <v>828</v>
      </c>
      <c r="W168" s="13">
        <v>0</v>
      </c>
      <c r="X168" s="13">
        <v>4178</v>
      </c>
      <c r="Y168" s="13">
        <v>3401</v>
      </c>
      <c r="Z168" s="13">
        <f>305/0.55</f>
        <v>554.5454545454545</v>
      </c>
      <c r="AA168" s="13">
        <v>3315</v>
      </c>
      <c r="AB168" s="13">
        <v>153</v>
      </c>
      <c r="AC168" s="13">
        <v>9406</v>
      </c>
      <c r="AD168" s="13">
        <f>8266*0.49</f>
        <v>4050.34</v>
      </c>
      <c r="AE168" s="13">
        <v>35.5</v>
      </c>
      <c r="AF168" s="13">
        <v>7228.4624000000003</v>
      </c>
    </row>
    <row r="169" spans="1:32" x14ac:dyDescent="0.2">
      <c r="A169" s="12">
        <v>45824</v>
      </c>
      <c r="B169" s="13">
        <f>7861-(C169+D169+E169+F169)</f>
        <v>5795</v>
      </c>
      <c r="C169" s="13">
        <v>1635</v>
      </c>
      <c r="D169" s="13">
        <v>134</v>
      </c>
      <c r="E169" s="13">
        <v>198</v>
      </c>
      <c r="F169" s="13">
        <v>99</v>
      </c>
      <c r="G169" s="13">
        <v>105</v>
      </c>
      <c r="H169" s="13">
        <v>8220</v>
      </c>
      <c r="I169" s="13">
        <v>731</v>
      </c>
      <c r="J169" s="13">
        <v>1868</v>
      </c>
      <c r="K169" s="13">
        <v>12593</v>
      </c>
      <c r="L169" s="13">
        <v>3499</v>
      </c>
      <c r="M169" s="13">
        <v>8947</v>
      </c>
      <c r="N169" s="13">
        <v>363</v>
      </c>
      <c r="O169" s="13">
        <v>8089</v>
      </c>
      <c r="P169" s="13">
        <v>309</v>
      </c>
      <c r="Q169" s="13">
        <v>7402</v>
      </c>
      <c r="R169" s="13">
        <v>2589</v>
      </c>
      <c r="S169" s="13">
        <v>9591</v>
      </c>
      <c r="T169" s="13">
        <v>15155</v>
      </c>
      <c r="U169" s="13">
        <f>3.4*6.2898</f>
        <v>21.385319999999997</v>
      </c>
      <c r="V169" s="13">
        <v>828</v>
      </c>
      <c r="W169" s="13">
        <v>0</v>
      </c>
      <c r="X169" s="13">
        <v>4515</v>
      </c>
      <c r="Y169" s="13">
        <v>3382</v>
      </c>
      <c r="Z169" s="13">
        <f>293/0.55</f>
        <v>532.72727272727263</v>
      </c>
      <c r="AA169" s="13">
        <v>3283</v>
      </c>
      <c r="AB169" s="13">
        <v>153</v>
      </c>
      <c r="AC169" s="13">
        <v>9115</v>
      </c>
      <c r="AD169" s="13">
        <f>8253*0.49</f>
        <v>4043.97</v>
      </c>
      <c r="AE169" s="13">
        <v>35.5</v>
      </c>
      <c r="AF169" s="13">
        <v>7115.0115999999998</v>
      </c>
    </row>
    <row r="170" spans="1:32" x14ac:dyDescent="0.2">
      <c r="A170" s="12">
        <v>45825</v>
      </c>
      <c r="B170" s="13">
        <f>7880-(C170+D170+E170+F170)</f>
        <v>5814</v>
      </c>
      <c r="C170" s="13">
        <v>1635</v>
      </c>
      <c r="D170" s="13">
        <v>134</v>
      </c>
      <c r="E170" s="13">
        <v>198</v>
      </c>
      <c r="F170" s="13">
        <v>99</v>
      </c>
      <c r="G170" s="13">
        <v>105</v>
      </c>
      <c r="H170" s="13">
        <v>8347</v>
      </c>
      <c r="I170" s="13">
        <v>714</v>
      </c>
      <c r="J170" s="13">
        <v>1761</v>
      </c>
      <c r="K170" s="13">
        <v>12589</v>
      </c>
      <c r="L170" s="13">
        <v>3492</v>
      </c>
      <c r="M170" s="13">
        <v>8968</v>
      </c>
      <c r="N170" s="13">
        <v>357</v>
      </c>
      <c r="O170" s="13">
        <v>8637</v>
      </c>
      <c r="P170" s="13">
        <v>396</v>
      </c>
      <c r="Q170" s="13">
        <v>7429</v>
      </c>
      <c r="R170" s="13">
        <v>2589</v>
      </c>
      <c r="S170" s="13">
        <v>9616</v>
      </c>
      <c r="T170" s="13">
        <v>15322</v>
      </c>
      <c r="U170" s="13">
        <f>11*6.2898</f>
        <v>69.187799999999996</v>
      </c>
      <c r="V170" s="13">
        <v>828</v>
      </c>
      <c r="W170" s="13">
        <v>0</v>
      </c>
      <c r="X170" s="13">
        <v>4082</v>
      </c>
      <c r="Y170" s="13">
        <v>3264</v>
      </c>
      <c r="Z170" s="13">
        <f>197/0.55</f>
        <v>358.18181818181813</v>
      </c>
      <c r="AA170" s="13">
        <v>3275</v>
      </c>
      <c r="AB170" s="13">
        <v>153</v>
      </c>
      <c r="AC170" s="13">
        <v>9285</v>
      </c>
      <c r="AD170" s="13">
        <f>8252*0.49</f>
        <v>4043.48</v>
      </c>
      <c r="AE170" s="13">
        <v>35.5</v>
      </c>
      <c r="AF170" s="13">
        <v>7122.4183999999996</v>
      </c>
    </row>
    <row r="171" spans="1:32" x14ac:dyDescent="0.2">
      <c r="A171" s="12">
        <v>45826</v>
      </c>
      <c r="B171" s="13">
        <f>7886-(C171+D171+E171+F171)</f>
        <v>5820</v>
      </c>
      <c r="C171" s="13">
        <v>1635</v>
      </c>
      <c r="D171" s="13">
        <v>134</v>
      </c>
      <c r="E171" s="13">
        <v>198</v>
      </c>
      <c r="F171" s="13">
        <v>99</v>
      </c>
      <c r="G171" s="13">
        <v>105</v>
      </c>
      <c r="H171" s="13">
        <v>8235.0720000000001</v>
      </c>
      <c r="I171" s="13">
        <v>686.94799999999998</v>
      </c>
      <c r="J171" s="13">
        <v>1685.3240000000001</v>
      </c>
      <c r="K171" s="13">
        <v>12571</v>
      </c>
      <c r="L171" s="13">
        <f>3240.6987912+283</f>
        <v>3523.6987912</v>
      </c>
      <c r="M171" s="13">
        <f>9307-N171</f>
        <v>8932</v>
      </c>
      <c r="N171" s="13">
        <v>375</v>
      </c>
      <c r="O171" s="13">
        <v>8797</v>
      </c>
      <c r="P171" s="13">
        <v>369</v>
      </c>
      <c r="Q171" s="13">
        <v>7412</v>
      </c>
      <c r="R171" s="13">
        <v>2534</v>
      </c>
      <c r="S171" s="13">
        <v>9720</v>
      </c>
      <c r="T171" s="13">
        <v>15163</v>
      </c>
      <c r="U171" s="13">
        <f>13*6.2898</f>
        <v>81.767399999999995</v>
      </c>
      <c r="V171" s="13">
        <v>828</v>
      </c>
      <c r="W171" s="13">
        <v>0</v>
      </c>
      <c r="X171" s="13">
        <v>4264</v>
      </c>
      <c r="Y171" s="13">
        <v>3202</v>
      </c>
      <c r="Z171" s="13">
        <f>294/0.55</f>
        <v>534.5454545454545</v>
      </c>
      <c r="AA171" s="13">
        <v>3310</v>
      </c>
      <c r="AB171" s="13">
        <v>153</v>
      </c>
      <c r="AC171" s="13">
        <v>9120</v>
      </c>
      <c r="AD171" s="13">
        <f>8254*0.49</f>
        <v>4044.46</v>
      </c>
      <c r="AE171" s="13">
        <v>35.5</v>
      </c>
      <c r="AF171" s="13">
        <v>7004.7596000000012</v>
      </c>
    </row>
    <row r="172" spans="1:32" x14ac:dyDescent="0.2">
      <c r="A172" s="12">
        <v>45827</v>
      </c>
      <c r="B172" s="13">
        <f>7908-(C172+D172+E172+F172)</f>
        <v>5842</v>
      </c>
      <c r="C172" s="13">
        <v>1635</v>
      </c>
      <c r="D172" s="13">
        <v>134</v>
      </c>
      <c r="E172" s="13">
        <v>198</v>
      </c>
      <c r="F172" s="13">
        <v>99</v>
      </c>
      <c r="G172" s="13">
        <v>105</v>
      </c>
      <c r="H172" s="13">
        <v>8706.482</v>
      </c>
      <c r="I172" s="13">
        <v>658.08799999999997</v>
      </c>
      <c r="J172" s="13">
        <v>1609.808</v>
      </c>
      <c r="K172" s="13">
        <v>12568</v>
      </c>
      <c r="L172" s="13">
        <f>3189.15266376+275</f>
        <v>3464.15266376</v>
      </c>
      <c r="M172" s="13">
        <f>9300-N172</f>
        <v>8932</v>
      </c>
      <c r="N172" s="13">
        <v>368</v>
      </c>
      <c r="O172" s="13">
        <v>7832.5</v>
      </c>
      <c r="P172" s="13">
        <v>429</v>
      </c>
      <c r="Q172" s="13">
        <v>7410</v>
      </c>
      <c r="R172" s="13">
        <v>2505</v>
      </c>
      <c r="S172" s="13">
        <v>9659</v>
      </c>
      <c r="T172" s="13">
        <v>14198</v>
      </c>
      <c r="U172" s="13">
        <f>17*6.2898</f>
        <v>106.92659999999999</v>
      </c>
      <c r="V172" s="13">
        <v>828</v>
      </c>
      <c r="W172" s="13">
        <v>0</v>
      </c>
      <c r="X172" s="13">
        <v>4420</v>
      </c>
      <c r="Y172" s="13">
        <v>3219</v>
      </c>
      <c r="Z172" s="13">
        <f>309/0.55</f>
        <v>561.81818181818176</v>
      </c>
      <c r="AA172" s="13">
        <v>3282</v>
      </c>
      <c r="AB172" s="13">
        <v>153</v>
      </c>
      <c r="AC172" s="13">
        <v>8532</v>
      </c>
      <c r="AD172" s="13">
        <f>8255*0.49</f>
        <v>4044.95</v>
      </c>
      <c r="AE172" s="13">
        <v>35.5</v>
      </c>
      <c r="AF172" s="13">
        <v>7153.6107999999995</v>
      </c>
    </row>
    <row r="173" spans="1:32" x14ac:dyDescent="0.2">
      <c r="A173" s="12">
        <v>45828</v>
      </c>
      <c r="B173" s="13">
        <v>5810</v>
      </c>
      <c r="C173" s="13">
        <v>1635</v>
      </c>
      <c r="D173" s="13">
        <v>134</v>
      </c>
      <c r="E173" s="13">
        <v>198</v>
      </c>
      <c r="F173" s="13">
        <v>99</v>
      </c>
      <c r="G173" s="13">
        <v>105</v>
      </c>
      <c r="H173" s="13">
        <v>8511.2639999999992</v>
      </c>
      <c r="I173" s="13">
        <v>657</v>
      </c>
      <c r="J173" s="13">
        <v>1606</v>
      </c>
      <c r="K173" s="13">
        <v>12566</v>
      </c>
      <c r="L173" s="13">
        <v>3471.3410000000003</v>
      </c>
      <c r="M173" s="13">
        <v>8821.8075000000008</v>
      </c>
      <c r="N173" s="13">
        <v>385.1925</v>
      </c>
      <c r="O173" s="13">
        <v>7483.0000000000009</v>
      </c>
      <c r="P173" s="13">
        <v>393</v>
      </c>
      <c r="Q173" s="13">
        <v>7031</v>
      </c>
      <c r="R173" s="13">
        <v>2445</v>
      </c>
      <c r="S173" s="13">
        <v>9814</v>
      </c>
      <c r="T173" s="13">
        <v>14667</v>
      </c>
      <c r="U173" s="13">
        <f>14*6.2898</f>
        <v>88.057199999999995</v>
      </c>
      <c r="V173" s="13">
        <v>828</v>
      </c>
      <c r="W173" s="13">
        <v>557</v>
      </c>
      <c r="X173" s="13">
        <v>4076</v>
      </c>
      <c r="Y173" s="13">
        <v>3228</v>
      </c>
      <c r="Z173" s="13">
        <f>309/0.55</f>
        <v>561.81818181818176</v>
      </c>
      <c r="AA173" s="13">
        <v>4206</v>
      </c>
      <c r="AB173" s="13">
        <v>153</v>
      </c>
      <c r="AC173" s="13">
        <v>9012</v>
      </c>
      <c r="AD173" s="13">
        <f>8260*0.49</f>
        <v>4047.4</v>
      </c>
      <c r="AE173" s="13">
        <v>35.5</v>
      </c>
      <c r="AF173" s="13">
        <v>6979.6611999999996</v>
      </c>
    </row>
    <row r="174" spans="1:32" x14ac:dyDescent="0.2">
      <c r="A174" s="12">
        <v>45829</v>
      </c>
      <c r="B174" s="13">
        <f>7899-(C174+D174+E174+F174)</f>
        <v>5833</v>
      </c>
      <c r="C174" s="13">
        <v>1635</v>
      </c>
      <c r="D174" s="13">
        <v>134</v>
      </c>
      <c r="E174" s="13">
        <v>198</v>
      </c>
      <c r="F174" s="13">
        <v>99</v>
      </c>
      <c r="G174" s="13">
        <v>105</v>
      </c>
      <c r="H174" s="13">
        <v>8615.1479999999992</v>
      </c>
      <c r="I174" s="13">
        <v>669.2</v>
      </c>
      <c r="J174" s="13">
        <v>1546.825</v>
      </c>
      <c r="K174" s="13">
        <v>12675</v>
      </c>
      <c r="L174" s="13">
        <v>3471.8270000000002</v>
      </c>
      <c r="M174" s="13">
        <v>8458.4004999999997</v>
      </c>
      <c r="N174" s="13">
        <v>351.26249999999999</v>
      </c>
      <c r="O174" s="13">
        <v>8044</v>
      </c>
      <c r="P174" s="13">
        <v>361</v>
      </c>
      <c r="Q174" s="13">
        <v>7205</v>
      </c>
      <c r="R174" s="13">
        <v>2492</v>
      </c>
      <c r="S174" s="13">
        <v>9787</v>
      </c>
      <c r="T174" s="13">
        <v>14667</v>
      </c>
      <c r="U174" s="13">
        <f>14*6.2898</f>
        <v>88.057199999999995</v>
      </c>
      <c r="V174" s="13">
        <v>828</v>
      </c>
      <c r="W174" s="13">
        <v>4831</v>
      </c>
      <c r="X174" s="13">
        <v>4256</v>
      </c>
      <c r="Y174" s="13">
        <v>3237</v>
      </c>
      <c r="Z174" s="13">
        <f>285/0.55</f>
        <v>518.18181818181813</v>
      </c>
      <c r="AA174" s="13">
        <v>4310</v>
      </c>
      <c r="AB174" s="13">
        <v>153</v>
      </c>
      <c r="AC174" s="13">
        <v>9362</v>
      </c>
      <c r="AD174" s="13">
        <f>8080*0.49</f>
        <v>3959.2</v>
      </c>
      <c r="AE174" s="13">
        <v>35.5</v>
      </c>
      <c r="AF174" s="13">
        <v>6935</v>
      </c>
    </row>
    <row r="175" spans="1:32" x14ac:dyDescent="0.2">
      <c r="A175" s="12">
        <v>45830</v>
      </c>
      <c r="B175" s="13">
        <f>7885-(C175+D175+E175+F175)</f>
        <v>5819</v>
      </c>
      <c r="C175" s="13">
        <v>1635</v>
      </c>
      <c r="D175" s="13">
        <v>134</v>
      </c>
      <c r="E175" s="13">
        <v>198</v>
      </c>
      <c r="F175" s="13">
        <v>99</v>
      </c>
      <c r="G175" s="13">
        <v>105</v>
      </c>
      <c r="H175" s="13">
        <v>8605.8629999999994</v>
      </c>
      <c r="I175" s="13">
        <v>638.35199999999998</v>
      </c>
      <c r="J175" s="13">
        <v>1400.258</v>
      </c>
      <c r="K175" s="13">
        <v>12623</v>
      </c>
      <c r="L175" s="13">
        <v>3441.5270000000005</v>
      </c>
      <c r="M175" s="13">
        <v>8868.74</v>
      </c>
      <c r="N175" s="13">
        <v>433.26</v>
      </c>
      <c r="O175" s="13">
        <v>8614.5</v>
      </c>
      <c r="P175" s="13">
        <v>369</v>
      </c>
      <c r="Q175" s="13">
        <v>7412</v>
      </c>
      <c r="R175" s="13">
        <v>2421</v>
      </c>
      <c r="S175" s="13">
        <v>9760</v>
      </c>
      <c r="T175" s="13">
        <v>14306</v>
      </c>
      <c r="U175" s="13">
        <f>0.18*6.2898</f>
        <v>1.1321639999999999</v>
      </c>
      <c r="V175" s="13">
        <v>828</v>
      </c>
      <c r="W175" s="13">
        <v>10091</v>
      </c>
      <c r="X175" s="13">
        <v>4267</v>
      </c>
      <c r="Y175" s="13">
        <v>3233</v>
      </c>
      <c r="Z175" s="13">
        <f>285/0.55</f>
        <v>518.18181818181813</v>
      </c>
      <c r="AA175" s="13">
        <v>3266</v>
      </c>
      <c r="AB175" s="13">
        <v>153</v>
      </c>
      <c r="AC175" s="13">
        <v>9393</v>
      </c>
      <c r="AD175" s="13">
        <f>8231*0.49</f>
        <v>4033.19</v>
      </c>
      <c r="AE175" s="13">
        <v>35.5</v>
      </c>
      <c r="AF175" s="13">
        <v>6860</v>
      </c>
    </row>
    <row r="176" spans="1:32" x14ac:dyDescent="0.2">
      <c r="A176" s="12">
        <v>45831</v>
      </c>
      <c r="B176" s="13">
        <f>7860-(C176+D176+E176+F176)</f>
        <v>5794</v>
      </c>
      <c r="C176" s="13">
        <v>1635</v>
      </c>
      <c r="D176" s="13">
        <v>134</v>
      </c>
      <c r="E176" s="13">
        <v>198</v>
      </c>
      <c r="F176" s="13">
        <v>99</v>
      </c>
      <c r="G176" s="13">
        <v>105</v>
      </c>
      <c r="H176" s="13">
        <v>8313</v>
      </c>
      <c r="I176" s="13">
        <v>638.35199999999998</v>
      </c>
      <c r="J176" s="13">
        <v>1473</v>
      </c>
      <c r="K176" s="13">
        <v>12648</v>
      </c>
      <c r="L176" s="13">
        <f>3251+279</f>
        <v>3530</v>
      </c>
      <c r="M176" s="13">
        <v>8868.74</v>
      </c>
      <c r="N176" s="13">
        <v>362</v>
      </c>
      <c r="O176" s="13">
        <v>8586</v>
      </c>
      <c r="P176" s="13">
        <v>385</v>
      </c>
      <c r="Q176" s="13">
        <v>7415</v>
      </c>
      <c r="R176" s="13">
        <v>2408</v>
      </c>
      <c r="S176" s="13">
        <v>9715</v>
      </c>
      <c r="T176" s="13">
        <v>14652</v>
      </c>
      <c r="U176" s="13">
        <f>0.18*6.2898</f>
        <v>1.1321639999999999</v>
      </c>
      <c r="V176" s="13">
        <v>828</v>
      </c>
      <c r="W176" s="13">
        <v>8108</v>
      </c>
      <c r="X176" s="13">
        <v>4050</v>
      </c>
      <c r="Y176" s="13">
        <v>3230</v>
      </c>
      <c r="Z176" s="13">
        <f>286/0.55</f>
        <v>520</v>
      </c>
      <c r="AA176" s="13">
        <v>3307</v>
      </c>
      <c r="AB176" s="13">
        <v>153</v>
      </c>
      <c r="AC176" s="13">
        <v>5495</v>
      </c>
      <c r="AD176" s="13">
        <f>8233*0.49</f>
        <v>4034.17</v>
      </c>
      <c r="AE176" s="13">
        <v>35.5</v>
      </c>
      <c r="AF176" s="13">
        <v>6907</v>
      </c>
    </row>
    <row r="177" spans="1:32" x14ac:dyDescent="0.2">
      <c r="A177" s="12">
        <v>45832</v>
      </c>
      <c r="B177" s="13">
        <f>7881-(C177+D177+E177+F177)</f>
        <v>5815</v>
      </c>
      <c r="C177" s="13">
        <v>1635</v>
      </c>
      <c r="D177" s="13">
        <v>134</v>
      </c>
      <c r="E177" s="13">
        <v>198</v>
      </c>
      <c r="F177" s="13">
        <v>99</v>
      </c>
      <c r="G177" s="13">
        <v>105</v>
      </c>
      <c r="H177" s="13">
        <v>8363</v>
      </c>
      <c r="I177" s="13">
        <v>659</v>
      </c>
      <c r="J177" s="13">
        <v>1455</v>
      </c>
      <c r="K177" s="13">
        <v>12641</v>
      </c>
      <c r="L177" s="13">
        <f>3210+273</f>
        <v>3483</v>
      </c>
      <c r="M177" s="13">
        <f>9315-N177</f>
        <v>8953</v>
      </c>
      <c r="N177" s="13">
        <v>362</v>
      </c>
      <c r="O177" s="13">
        <v>8958</v>
      </c>
      <c r="P177" s="13">
        <v>388</v>
      </c>
      <c r="Q177" s="13">
        <v>7407</v>
      </c>
      <c r="R177" s="13">
        <v>2264</v>
      </c>
      <c r="S177" s="13">
        <v>9440</v>
      </c>
      <c r="T177" s="13">
        <v>15349</v>
      </c>
      <c r="U177" s="13">
        <f>0.18*6.2898</f>
        <v>1.1321639999999999</v>
      </c>
      <c r="V177" s="13">
        <v>828</v>
      </c>
      <c r="W177" s="13">
        <v>8393</v>
      </c>
      <c r="X177" s="13">
        <v>4174</v>
      </c>
      <c r="Y177" s="13">
        <v>3224</v>
      </c>
      <c r="Z177" s="13">
        <f>285/0.55</f>
        <v>518.18181818181813</v>
      </c>
      <c r="AA177" s="13">
        <v>3307</v>
      </c>
      <c r="AB177" s="13">
        <v>153</v>
      </c>
      <c r="AC177" s="13">
        <v>6810</v>
      </c>
      <c r="AD177" s="13">
        <f>8233*0.49</f>
        <v>4034.17</v>
      </c>
      <c r="AE177" s="13">
        <v>35.5</v>
      </c>
      <c r="AF177" s="13">
        <v>6966</v>
      </c>
    </row>
    <row r="178" spans="1:32" x14ac:dyDescent="0.2">
      <c r="A178" s="12">
        <v>45833</v>
      </c>
      <c r="B178" s="13">
        <f>7891-(C178+D178+E178+F178)</f>
        <v>5825</v>
      </c>
      <c r="C178" s="13">
        <v>1635</v>
      </c>
      <c r="D178" s="13">
        <v>134</v>
      </c>
      <c r="E178" s="13">
        <v>198</v>
      </c>
      <c r="F178" s="13">
        <v>99</v>
      </c>
      <c r="G178" s="13">
        <v>105</v>
      </c>
      <c r="H178" s="13">
        <v>8569.2250000000004</v>
      </c>
      <c r="I178" s="13">
        <v>616.84199999999998</v>
      </c>
      <c r="J178" s="13">
        <v>1439.6089999999999</v>
      </c>
      <c r="K178" s="13">
        <v>12646</v>
      </c>
      <c r="L178" s="13">
        <f>3220.57676388+275</f>
        <v>3495.5767638799998</v>
      </c>
      <c r="M178" s="13">
        <f>9112-N178</f>
        <v>8750</v>
      </c>
      <c r="N178" s="13">
        <v>362</v>
      </c>
      <c r="O178" s="13">
        <v>8445</v>
      </c>
      <c r="P178" s="13">
        <v>398</v>
      </c>
      <c r="Q178" s="13">
        <v>7412</v>
      </c>
      <c r="R178" s="13">
        <v>2547</v>
      </c>
      <c r="S178" s="13">
        <v>9463</v>
      </c>
      <c r="T178" s="13">
        <v>15321</v>
      </c>
      <c r="U178" s="13">
        <f>3.4*6.2898</f>
        <v>21.385319999999997</v>
      </c>
      <c r="V178" s="13">
        <v>828</v>
      </c>
      <c r="W178" s="13">
        <v>8160</v>
      </c>
      <c r="X178" s="13">
        <v>4489</v>
      </c>
      <c r="Y178" s="13">
        <v>3217</v>
      </c>
      <c r="Z178" s="13">
        <f>299/0.55</f>
        <v>543.63636363636363</v>
      </c>
      <c r="AA178" s="13">
        <v>3272</v>
      </c>
      <c r="AB178" s="13">
        <v>153</v>
      </c>
      <c r="AC178" s="13">
        <v>5636</v>
      </c>
      <c r="AD178" s="13">
        <f>8246*0.49</f>
        <v>4040.54</v>
      </c>
      <c r="AE178" s="13">
        <v>35.5</v>
      </c>
      <c r="AF178" s="13">
        <v>6972</v>
      </c>
    </row>
    <row r="179" spans="1:32" x14ac:dyDescent="0.2">
      <c r="A179" s="12">
        <v>45834</v>
      </c>
      <c r="B179" s="13">
        <f>7890-(C179+D179+E179+F179)</f>
        <v>5824</v>
      </c>
      <c r="C179" s="13">
        <v>1635</v>
      </c>
      <c r="D179" s="13">
        <v>134</v>
      </c>
      <c r="E179" s="13">
        <v>198</v>
      </c>
      <c r="F179" s="13">
        <v>99</v>
      </c>
      <c r="G179" s="13">
        <v>105</v>
      </c>
      <c r="H179" s="13">
        <v>8526.143</v>
      </c>
      <c r="I179" s="13">
        <v>607.91899999999998</v>
      </c>
      <c r="J179" s="13">
        <v>1415.9860000000001</v>
      </c>
      <c r="K179" s="13">
        <v>12641</v>
      </c>
      <c r="L179" s="13">
        <f>3228.11038836+276</f>
        <v>3504.1103883599999</v>
      </c>
      <c r="M179" s="13">
        <f>8728-N179</f>
        <v>8354</v>
      </c>
      <c r="N179" s="13">
        <v>374</v>
      </c>
      <c r="O179" s="13">
        <v>8710</v>
      </c>
      <c r="P179" s="13">
        <v>397</v>
      </c>
      <c r="Q179" s="13">
        <v>7378</v>
      </c>
      <c r="R179" s="13">
        <v>2859</v>
      </c>
      <c r="S179" s="13">
        <v>9655</v>
      </c>
      <c r="T179" s="13">
        <v>14026</v>
      </c>
      <c r="U179" s="13">
        <f>14*6.2898</f>
        <v>88.057199999999995</v>
      </c>
      <c r="V179" s="13">
        <v>828</v>
      </c>
      <c r="W179" s="13">
        <v>8034</v>
      </c>
      <c r="X179" s="13">
        <v>3969</v>
      </c>
      <c r="Y179" s="13">
        <v>3208</v>
      </c>
      <c r="Z179" s="13">
        <f>295/0.55</f>
        <v>536.36363636363637</v>
      </c>
      <c r="AA179" s="13">
        <v>3289</v>
      </c>
      <c r="AB179" s="13">
        <v>153</v>
      </c>
      <c r="AC179" s="13">
        <v>3737</v>
      </c>
      <c r="AD179" s="13">
        <f>8248*0.49</f>
        <v>4041.52</v>
      </c>
      <c r="AE179" s="13">
        <v>35.5</v>
      </c>
      <c r="AF179" s="13">
        <v>6907</v>
      </c>
    </row>
    <row r="180" spans="1:32" x14ac:dyDescent="0.2">
      <c r="A180" s="12">
        <v>45835</v>
      </c>
      <c r="B180" s="13">
        <f>7877-(C180+D180+E180+F180)</f>
        <v>5811</v>
      </c>
      <c r="C180" s="13">
        <v>1635</v>
      </c>
      <c r="D180" s="13">
        <v>134</v>
      </c>
      <c r="E180" s="13">
        <v>198</v>
      </c>
      <c r="F180" s="13">
        <v>99</v>
      </c>
      <c r="G180" s="13">
        <v>105</v>
      </c>
      <c r="H180" s="13">
        <v>8505.0660000000007</v>
      </c>
      <c r="I180" s="13">
        <v>615.59699999999998</v>
      </c>
      <c r="J180" s="13">
        <v>1467.2049999999999</v>
      </c>
      <c r="K180" s="13">
        <v>12620</v>
      </c>
      <c r="L180" s="13">
        <f>3209.05803716+273</f>
        <v>3482.0580371599999</v>
      </c>
      <c r="M180" s="13">
        <f>7179-N180</f>
        <v>6805</v>
      </c>
      <c r="N180" s="13">
        <v>374</v>
      </c>
      <c r="O180" s="13">
        <v>8288</v>
      </c>
      <c r="P180" s="13">
        <v>353</v>
      </c>
      <c r="Q180" s="13">
        <v>7385</v>
      </c>
      <c r="R180" s="13">
        <v>3099</v>
      </c>
      <c r="S180" s="13">
        <v>9676</v>
      </c>
      <c r="T180" s="13">
        <v>14503</v>
      </c>
      <c r="U180" s="13">
        <f>14*6.2898</f>
        <v>88.057199999999995</v>
      </c>
      <c r="V180" s="13">
        <v>828</v>
      </c>
      <c r="W180" s="13">
        <v>7844</v>
      </c>
      <c r="X180" s="13">
        <v>4374</v>
      </c>
      <c r="Y180" s="13">
        <v>3197</v>
      </c>
      <c r="Z180" s="13">
        <f>295/0.55</f>
        <v>536.36363636363637</v>
      </c>
      <c r="AA180" s="13">
        <v>3294</v>
      </c>
      <c r="AB180" s="13">
        <v>153</v>
      </c>
      <c r="AC180" s="13">
        <v>3959</v>
      </c>
      <c r="AD180" s="13">
        <f>8247*0.49</f>
        <v>4041.0299999999997</v>
      </c>
      <c r="AE180" s="13">
        <v>35.5</v>
      </c>
      <c r="AF180" s="13">
        <v>6875</v>
      </c>
    </row>
    <row r="181" spans="1:32" x14ac:dyDescent="0.2">
      <c r="A181" s="12">
        <v>45836</v>
      </c>
      <c r="B181" s="13">
        <f>7883-(C181+D181+E181+F181)</f>
        <v>5817</v>
      </c>
      <c r="C181" s="13">
        <v>1635</v>
      </c>
      <c r="D181" s="13">
        <v>134</v>
      </c>
      <c r="E181" s="13">
        <v>198</v>
      </c>
      <c r="F181" s="13">
        <v>99</v>
      </c>
      <c r="G181" s="13">
        <v>105</v>
      </c>
      <c r="H181" s="13">
        <v>8384.5779999999995</v>
      </c>
      <c r="I181" s="13">
        <v>595.92200000000003</v>
      </c>
      <c r="J181" s="13">
        <v>1477.5640000000001</v>
      </c>
      <c r="K181" s="13">
        <v>12626</v>
      </c>
      <c r="L181" s="13">
        <f>3215.8721778+274</f>
        <v>3489.8721777999999</v>
      </c>
      <c r="M181" s="13">
        <f>7380-N181</f>
        <v>6978</v>
      </c>
      <c r="N181" s="13">
        <v>402</v>
      </c>
      <c r="O181" s="13">
        <v>8788</v>
      </c>
      <c r="P181" s="13">
        <v>429</v>
      </c>
      <c r="Q181" s="13">
        <v>7364</v>
      </c>
      <c r="R181" s="13">
        <v>2985</v>
      </c>
      <c r="S181" s="13">
        <v>9771</v>
      </c>
      <c r="T181" s="13">
        <v>15687</v>
      </c>
      <c r="U181" s="13">
        <f>7*6.2898</f>
        <v>44.028599999999997</v>
      </c>
      <c r="V181" s="13">
        <v>828</v>
      </c>
      <c r="W181" s="13">
        <v>7756</v>
      </c>
      <c r="X181" s="13">
        <v>3908</v>
      </c>
      <c r="Y181" s="13">
        <v>3165</v>
      </c>
      <c r="Z181" s="13">
        <f>293/0.55</f>
        <v>532.72727272727263</v>
      </c>
      <c r="AA181" s="13">
        <v>3293</v>
      </c>
      <c r="AB181" s="13">
        <v>153</v>
      </c>
      <c r="AC181" s="13">
        <v>3331</v>
      </c>
      <c r="AD181" s="13">
        <f>8248*0.49</f>
        <v>4041.52</v>
      </c>
      <c r="AE181" s="13">
        <v>35.5</v>
      </c>
      <c r="AF181" s="13">
        <v>7003</v>
      </c>
    </row>
    <row r="182" spans="1:32" x14ac:dyDescent="0.2">
      <c r="A182" s="12">
        <v>45837</v>
      </c>
      <c r="B182" s="13">
        <f>7986-(C182+D182+E182+F182)</f>
        <v>5920</v>
      </c>
      <c r="C182" s="13">
        <v>1635</v>
      </c>
      <c r="D182" s="13">
        <v>134</v>
      </c>
      <c r="E182" s="13">
        <v>198</v>
      </c>
      <c r="F182" s="13">
        <v>99</v>
      </c>
      <c r="G182" s="13">
        <v>105</v>
      </c>
      <c r="H182" s="13">
        <v>8437.6329999999998</v>
      </c>
      <c r="I182" s="13">
        <v>617.78099999999995</v>
      </c>
      <c r="J182" s="13">
        <v>1561.693</v>
      </c>
      <c r="K182" s="13">
        <v>12616</v>
      </c>
      <c r="L182" s="13">
        <f>3226.31255192+276</f>
        <v>3502.3125519199998</v>
      </c>
      <c r="M182" s="13">
        <f>8445-N182</f>
        <v>8026</v>
      </c>
      <c r="N182" s="13">
        <v>419</v>
      </c>
      <c r="O182" s="13">
        <v>8253</v>
      </c>
      <c r="P182" s="13">
        <v>438</v>
      </c>
      <c r="Q182" s="13">
        <v>7382</v>
      </c>
      <c r="R182" s="13">
        <v>3021</v>
      </c>
      <c r="S182" s="13">
        <v>9558</v>
      </c>
      <c r="T182" s="13">
        <v>14623</v>
      </c>
      <c r="U182" s="13">
        <f>10*6.2898</f>
        <v>62.897999999999996</v>
      </c>
      <c r="V182" s="13">
        <v>828</v>
      </c>
      <c r="W182" s="13">
        <v>7660</v>
      </c>
      <c r="X182" s="13">
        <v>4203</v>
      </c>
      <c r="Y182" s="13">
        <v>3129</v>
      </c>
      <c r="Z182" s="13">
        <f>289/0.55</f>
        <v>525.45454545454538</v>
      </c>
      <c r="AA182" s="13">
        <v>3296</v>
      </c>
      <c r="AB182" s="13">
        <v>153</v>
      </c>
      <c r="AC182" s="13">
        <v>2060</v>
      </c>
      <c r="AD182" s="13">
        <f>8246*0.49</f>
        <v>4040.54</v>
      </c>
      <c r="AE182" s="13">
        <v>35.5</v>
      </c>
      <c r="AF182" s="13">
        <v>7003</v>
      </c>
    </row>
    <row r="183" spans="1:32" x14ac:dyDescent="0.2">
      <c r="A183" s="12">
        <v>45838</v>
      </c>
      <c r="B183" s="13">
        <f>7988-(C183+D183+E183+F183)</f>
        <v>5922</v>
      </c>
      <c r="C183" s="13">
        <v>1635</v>
      </c>
      <c r="D183" s="13">
        <v>134</v>
      </c>
      <c r="E183" s="13">
        <v>198</v>
      </c>
      <c r="F183" s="13">
        <v>99</v>
      </c>
      <c r="G183" s="13">
        <v>105</v>
      </c>
      <c r="H183" s="13">
        <v>8370.7929999999997</v>
      </c>
      <c r="I183" s="13">
        <v>580.14099999999996</v>
      </c>
      <c r="J183" s="13">
        <v>1600.8309999999999</v>
      </c>
      <c r="K183" s="13">
        <v>12596</v>
      </c>
      <c r="L183" s="13">
        <f>3224.68892556+276</f>
        <v>3500.6889255599999</v>
      </c>
      <c r="M183" s="13">
        <f>9218-N183</f>
        <v>8846</v>
      </c>
      <c r="N183" s="13">
        <v>372</v>
      </c>
      <c r="O183" s="13">
        <v>8796</v>
      </c>
      <c r="P183" s="13">
        <v>419</v>
      </c>
      <c r="Q183" s="13">
        <v>7392</v>
      </c>
      <c r="R183" s="13">
        <v>3105</v>
      </c>
      <c r="S183" s="13">
        <v>9604</v>
      </c>
      <c r="T183" s="13">
        <v>15012</v>
      </c>
      <c r="U183" s="13">
        <f>7*6.2898</f>
        <v>44.028599999999997</v>
      </c>
      <c r="V183" s="13">
        <v>828</v>
      </c>
      <c r="W183" s="13">
        <v>7667</v>
      </c>
      <c r="X183" s="13">
        <v>3991</v>
      </c>
      <c r="Y183" s="13">
        <v>3135</v>
      </c>
      <c r="Z183" s="13">
        <f>283/0.55</f>
        <v>514.5454545454545</v>
      </c>
      <c r="AA183" s="13">
        <v>3299</v>
      </c>
      <c r="AB183" s="13">
        <v>153</v>
      </c>
      <c r="AC183" s="13">
        <v>2060</v>
      </c>
      <c r="AD183" s="13">
        <f>8248*0.49</f>
        <v>4041.52</v>
      </c>
      <c r="AE183" s="13">
        <v>35.5</v>
      </c>
      <c r="AF183" s="13">
        <v>7003</v>
      </c>
    </row>
    <row r="184" spans="1:32" x14ac:dyDescent="0.2">
      <c r="A184" s="12">
        <v>45839</v>
      </c>
      <c r="B184" s="13">
        <f>7992-(C184+D184+E184+F184)</f>
        <v>5921</v>
      </c>
      <c r="C184" s="13">
        <v>1635</v>
      </c>
      <c r="D184" s="13">
        <v>134</v>
      </c>
      <c r="E184" s="13">
        <v>198</v>
      </c>
      <c r="F184" s="13">
        <v>104</v>
      </c>
      <c r="G184" s="13">
        <v>100</v>
      </c>
      <c r="H184" s="13">
        <v>8286.1939999999995</v>
      </c>
      <c r="I184" s="13">
        <v>585.41700000000003</v>
      </c>
      <c r="J184" s="13">
        <v>1615.3889999999999</v>
      </c>
      <c r="K184" s="13">
        <v>12626</v>
      </c>
      <c r="L184" s="13">
        <f>3221.86425296+275</f>
        <v>3496.8642529600002</v>
      </c>
      <c r="M184" s="13">
        <f>9310-N184</f>
        <v>8937</v>
      </c>
      <c r="N184" s="13">
        <v>373</v>
      </c>
      <c r="O184" s="13">
        <v>8253</v>
      </c>
      <c r="P184" s="13">
        <v>438</v>
      </c>
      <c r="Q184" s="13">
        <v>7210</v>
      </c>
      <c r="R184" s="13">
        <v>3058</v>
      </c>
      <c r="S184" s="13">
        <v>9617</v>
      </c>
      <c r="T184" s="13">
        <v>16398</v>
      </c>
      <c r="U184" s="13">
        <v>0</v>
      </c>
      <c r="V184" s="13">
        <v>828</v>
      </c>
      <c r="W184" s="13">
        <v>7402</v>
      </c>
      <c r="X184" s="13">
        <v>3941</v>
      </c>
      <c r="Y184" s="13">
        <v>3146</v>
      </c>
      <c r="Z184" s="13">
        <f>179/0.55</f>
        <v>325.45454545454544</v>
      </c>
      <c r="AA184" s="13">
        <v>3320</v>
      </c>
      <c r="AB184" s="13">
        <v>139</v>
      </c>
      <c r="AC184" s="13">
        <v>2386</v>
      </c>
      <c r="AD184" s="13">
        <f>8246*0.49</f>
        <v>4040.54</v>
      </c>
      <c r="AE184" s="13">
        <v>35.5</v>
      </c>
      <c r="AF184" s="13">
        <v>7003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2025-08-16T08:37:14Z</dcterms:created>
  <dcterms:modified xsi:type="dcterms:W3CDTF">2025-08-22T03:24:50Z</dcterms:modified>
</cp:coreProperties>
</file>